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1835"/>
  </bookViews>
  <sheets>
    <sheet name="Est Effect of Base Rate Inc" sheetId="1" r:id="rId1"/>
    <sheet name="Billing Determinants" sheetId="2" r:id="rId2"/>
    <sheet name="Billing Comparison Sch 16" sheetId="3" r:id="rId3"/>
    <sheet name="Billing Comparison Sch 24" sheetId="4" r:id="rId4"/>
    <sheet name="Billing Comparison Sch 36" sheetId="5" r:id="rId5"/>
    <sheet name="Billing Comparison Sch 40" sheetId="6" r:id="rId6"/>
    <sheet name="Billing Comparison Sch 48 Sec" sheetId="7" r:id="rId7"/>
    <sheet name="Billing Comparison Sch 48 Pri" sheetId="8" r:id="rId8"/>
    <sheet name="Billing Comparison Sch 48 Ded" sheetId="9" r:id="rId9"/>
    <sheet name="Low Income Credit" sheetId="10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\0" localSheetId="2">[1]Jan!#REF!</definedName>
    <definedName name="\0" localSheetId="3">[1]Jan!#REF!</definedName>
    <definedName name="\0" localSheetId="4">[1]Jan!#REF!</definedName>
    <definedName name="\0" localSheetId="5">[1]Jan!#REF!</definedName>
    <definedName name="\0" localSheetId="8">[1]Jan!#REF!</definedName>
    <definedName name="\0" localSheetId="7">[1]Jan!#REF!</definedName>
    <definedName name="\0" localSheetId="6">[1]Jan!#REF!</definedName>
    <definedName name="\0" localSheetId="1">[1]Jan!#REF!</definedName>
    <definedName name="\0" localSheetId="9">[1]Jan!#REF!</definedName>
    <definedName name="\0">[1]Jan!#REF!</definedName>
    <definedName name="\A" localSheetId="2">#REF!</definedName>
    <definedName name="\A" localSheetId="3">#REF!</definedName>
    <definedName name="\A" localSheetId="4">#REF!</definedName>
    <definedName name="\A" localSheetId="5">#REF!</definedName>
    <definedName name="\A" localSheetId="8">#REF!</definedName>
    <definedName name="\A" localSheetId="7">#REF!</definedName>
    <definedName name="\A" localSheetId="6">#REF!</definedName>
    <definedName name="\A" localSheetId="1">#REF!</definedName>
    <definedName name="\A" localSheetId="9">#REF!</definedName>
    <definedName name="\A">#REF!</definedName>
    <definedName name="\B" localSheetId="2">#REF!</definedName>
    <definedName name="\B" localSheetId="3">#REF!</definedName>
    <definedName name="\B" localSheetId="4">#REF!</definedName>
    <definedName name="\B" localSheetId="5">#REF!</definedName>
    <definedName name="\B" localSheetId="8">#REF!</definedName>
    <definedName name="\B" localSheetId="7">#REF!</definedName>
    <definedName name="\B" localSheetId="6">#REF!</definedName>
    <definedName name="\B" localSheetId="1">#REF!</definedName>
    <definedName name="\B" localSheetId="9">#REF!</definedName>
    <definedName name="\B">#REF!</definedName>
    <definedName name="\BACK1" localSheetId="2">#REF!</definedName>
    <definedName name="\BACK1" localSheetId="3">#REF!</definedName>
    <definedName name="\BACK1" localSheetId="4">#REF!</definedName>
    <definedName name="\BACK1" localSheetId="5">#REF!</definedName>
    <definedName name="\BACK1" localSheetId="8">#REF!</definedName>
    <definedName name="\BACK1" localSheetId="7">#REF!</definedName>
    <definedName name="\BACK1" localSheetId="6">#REF!</definedName>
    <definedName name="\BACK1" localSheetId="1">#REF!</definedName>
    <definedName name="\BACK1" localSheetId="9">#REF!</definedName>
    <definedName name="\BACK1">#REF!</definedName>
    <definedName name="\BLOCK" localSheetId="2">#REF!</definedName>
    <definedName name="\BLOCK" localSheetId="3">#REF!</definedName>
    <definedName name="\BLOCK" localSheetId="4">#REF!</definedName>
    <definedName name="\BLOCK" localSheetId="5">#REF!</definedName>
    <definedName name="\BLOCK" localSheetId="8">#REF!</definedName>
    <definedName name="\BLOCK" localSheetId="7">#REF!</definedName>
    <definedName name="\BLOCK" localSheetId="6">#REF!</definedName>
    <definedName name="\BLOCK" localSheetId="1">#REF!</definedName>
    <definedName name="\BLOCK" localSheetId="9">#REF!</definedName>
    <definedName name="\BLOCK">#REF!</definedName>
    <definedName name="\BLOCKT" localSheetId="2">#REF!</definedName>
    <definedName name="\BLOCKT" localSheetId="3">#REF!</definedName>
    <definedName name="\BLOCKT" localSheetId="4">#REF!</definedName>
    <definedName name="\BLOCKT" localSheetId="5">#REF!</definedName>
    <definedName name="\BLOCKT" localSheetId="8">#REF!</definedName>
    <definedName name="\BLOCKT" localSheetId="7">#REF!</definedName>
    <definedName name="\BLOCKT" localSheetId="6">#REF!</definedName>
    <definedName name="\BLOCKT" localSheetId="1">#REF!</definedName>
    <definedName name="\BLOCKT" localSheetId="9">#REF!</definedName>
    <definedName name="\BLOCKT">#REF!</definedName>
    <definedName name="\C" localSheetId="2">#REF!</definedName>
    <definedName name="\C" localSheetId="3">#REF!</definedName>
    <definedName name="\C" localSheetId="4">#REF!</definedName>
    <definedName name="\C" localSheetId="5">#REF!</definedName>
    <definedName name="\C" localSheetId="8">#REF!</definedName>
    <definedName name="\C" localSheetId="7">#REF!</definedName>
    <definedName name="\C" localSheetId="6">#REF!</definedName>
    <definedName name="\C" localSheetId="1">#REF!</definedName>
    <definedName name="\C" localSheetId="9">#REF!</definedName>
    <definedName name="\C">#REF!</definedName>
    <definedName name="\COMP" localSheetId="2">#REF!</definedName>
    <definedName name="\COMP" localSheetId="3">#REF!</definedName>
    <definedName name="\COMP" localSheetId="4">#REF!</definedName>
    <definedName name="\COMP" localSheetId="5">#REF!</definedName>
    <definedName name="\COMP" localSheetId="8">#REF!</definedName>
    <definedName name="\COMP" localSheetId="7">#REF!</definedName>
    <definedName name="\COMP" localSheetId="6">#REF!</definedName>
    <definedName name="\COMP" localSheetId="1">#REF!</definedName>
    <definedName name="\COMP" localSheetId="9">#REF!</definedName>
    <definedName name="\COMP">#REF!</definedName>
    <definedName name="\COMPT" localSheetId="2">#REF!</definedName>
    <definedName name="\COMPT" localSheetId="3">#REF!</definedName>
    <definedName name="\COMPT" localSheetId="4">#REF!</definedName>
    <definedName name="\COMPT" localSheetId="5">#REF!</definedName>
    <definedName name="\COMPT" localSheetId="8">#REF!</definedName>
    <definedName name="\COMPT" localSheetId="7">#REF!</definedName>
    <definedName name="\COMPT" localSheetId="6">#REF!</definedName>
    <definedName name="\COMPT" localSheetId="1">#REF!</definedName>
    <definedName name="\COMPT" localSheetId="9">#REF!</definedName>
    <definedName name="\COMPT">#REF!</definedName>
    <definedName name="\G" localSheetId="2">#REF!</definedName>
    <definedName name="\G" localSheetId="3">#REF!</definedName>
    <definedName name="\G" localSheetId="4">#REF!</definedName>
    <definedName name="\G" localSheetId="5">#REF!</definedName>
    <definedName name="\G" localSheetId="8">#REF!</definedName>
    <definedName name="\G" localSheetId="7">#REF!</definedName>
    <definedName name="\G" localSheetId="6">#REF!</definedName>
    <definedName name="\G" localSheetId="1">#REF!</definedName>
    <definedName name="\G" localSheetId="9">#REF!</definedName>
    <definedName name="\G">#REF!</definedName>
    <definedName name="\I" localSheetId="2">#REF!</definedName>
    <definedName name="\I" localSheetId="3">#REF!</definedName>
    <definedName name="\I" localSheetId="4">#REF!</definedName>
    <definedName name="\I" localSheetId="5">#REF!</definedName>
    <definedName name="\I" localSheetId="8">#REF!</definedName>
    <definedName name="\I" localSheetId="7">#REF!</definedName>
    <definedName name="\I" localSheetId="6">#REF!</definedName>
    <definedName name="\I" localSheetId="1">#REF!</definedName>
    <definedName name="\I" localSheetId="9">#REF!</definedName>
    <definedName name="\I">#REF!</definedName>
    <definedName name="\K" localSheetId="2">#REF!</definedName>
    <definedName name="\K" localSheetId="3">#REF!</definedName>
    <definedName name="\K" localSheetId="4">#REF!</definedName>
    <definedName name="\K" localSheetId="5">#REF!</definedName>
    <definedName name="\K" localSheetId="8">#REF!</definedName>
    <definedName name="\K" localSheetId="7">#REF!</definedName>
    <definedName name="\K" localSheetId="6">#REF!</definedName>
    <definedName name="\K" localSheetId="1">#REF!</definedName>
    <definedName name="\K" localSheetId="9">#REF!</definedName>
    <definedName name="\K">#REF!</definedName>
    <definedName name="\L" localSheetId="2">#REF!</definedName>
    <definedName name="\L" localSheetId="3">#REF!</definedName>
    <definedName name="\L" localSheetId="4">#REF!</definedName>
    <definedName name="\L" localSheetId="5">#REF!</definedName>
    <definedName name="\L" localSheetId="8">#REF!</definedName>
    <definedName name="\L" localSheetId="7">#REF!</definedName>
    <definedName name="\L" localSheetId="6">#REF!</definedName>
    <definedName name="\L" localSheetId="1">#REF!</definedName>
    <definedName name="\L" localSheetId="9">#REF!</definedName>
    <definedName name="\L">#REF!</definedName>
    <definedName name="\M" localSheetId="2">#REF!</definedName>
    <definedName name="\M" localSheetId="3">#REF!</definedName>
    <definedName name="\M" localSheetId="4">#REF!</definedName>
    <definedName name="\M" localSheetId="5">#REF!</definedName>
    <definedName name="\M" localSheetId="8">#REF!</definedName>
    <definedName name="\M" localSheetId="7">#REF!</definedName>
    <definedName name="\M" localSheetId="6">#REF!</definedName>
    <definedName name="\M" localSheetId="1">#REF!</definedName>
    <definedName name="\M" localSheetId="9">#REF!</definedName>
    <definedName name="\M">#REF!</definedName>
    <definedName name="\P" localSheetId="2">#REF!</definedName>
    <definedName name="\P" localSheetId="3">#REF!</definedName>
    <definedName name="\P" localSheetId="4">#REF!</definedName>
    <definedName name="\P" localSheetId="5">#REF!</definedName>
    <definedName name="\P" localSheetId="8">#REF!</definedName>
    <definedName name="\P" localSheetId="7">#REF!</definedName>
    <definedName name="\P" localSheetId="6">#REF!</definedName>
    <definedName name="\P" localSheetId="1">#REF!</definedName>
    <definedName name="\P" localSheetId="9">#REF!</definedName>
    <definedName name="\P">#REF!</definedName>
    <definedName name="\Q" localSheetId="2">[2]Actual!#REF!</definedName>
    <definedName name="\Q" localSheetId="3">[2]Actual!#REF!</definedName>
    <definedName name="\Q" localSheetId="4">[2]Actual!#REF!</definedName>
    <definedName name="\Q" localSheetId="5">[2]Actual!#REF!</definedName>
    <definedName name="\Q" localSheetId="8">[2]Actual!#REF!</definedName>
    <definedName name="\Q" localSheetId="7">[2]Actual!#REF!</definedName>
    <definedName name="\Q" localSheetId="6">[2]Actual!#REF!</definedName>
    <definedName name="\Q" localSheetId="1">[2]Actual!#REF!</definedName>
    <definedName name="\Q" localSheetId="9">[2]Actual!#REF!</definedName>
    <definedName name="\Q">[2]Actual!#REF!</definedName>
    <definedName name="\R" localSheetId="2">#REF!</definedName>
    <definedName name="\R" localSheetId="3">#REF!</definedName>
    <definedName name="\R" localSheetId="4">#REF!</definedName>
    <definedName name="\R" localSheetId="5">#REF!</definedName>
    <definedName name="\R" localSheetId="8">#REF!</definedName>
    <definedName name="\R" localSheetId="7">#REF!</definedName>
    <definedName name="\R" localSheetId="6">#REF!</definedName>
    <definedName name="\R" localSheetId="1">#REF!</definedName>
    <definedName name="\R" localSheetId="9">#REF!</definedName>
    <definedName name="\R">#REF!</definedName>
    <definedName name="\S" localSheetId="2">#REF!</definedName>
    <definedName name="\S" localSheetId="3">#REF!</definedName>
    <definedName name="\S" localSheetId="4">#REF!</definedName>
    <definedName name="\S" localSheetId="5">#REF!</definedName>
    <definedName name="\S" localSheetId="8">#REF!</definedName>
    <definedName name="\S" localSheetId="7">#REF!</definedName>
    <definedName name="\S" localSheetId="6">#REF!</definedName>
    <definedName name="\S" localSheetId="1">#REF!</definedName>
    <definedName name="\S" localSheetId="9">#REF!</definedName>
    <definedName name="\S">#REF!</definedName>
    <definedName name="\TABLE1" localSheetId="2">#REF!</definedName>
    <definedName name="\TABLE1" localSheetId="3">#REF!</definedName>
    <definedName name="\TABLE1" localSheetId="4">#REF!</definedName>
    <definedName name="\TABLE1" localSheetId="5">#REF!</definedName>
    <definedName name="\TABLE1" localSheetId="8">#REF!</definedName>
    <definedName name="\TABLE1" localSheetId="7">#REF!</definedName>
    <definedName name="\TABLE1" localSheetId="6">#REF!</definedName>
    <definedName name="\TABLE1" localSheetId="1">#REF!</definedName>
    <definedName name="\TABLE1" localSheetId="9">#REF!</definedName>
    <definedName name="\TABLE1">#REF!</definedName>
    <definedName name="\TABLE2" localSheetId="2">#REF!</definedName>
    <definedName name="\TABLE2" localSheetId="3">#REF!</definedName>
    <definedName name="\TABLE2" localSheetId="4">#REF!</definedName>
    <definedName name="\TABLE2" localSheetId="5">#REF!</definedName>
    <definedName name="\TABLE2" localSheetId="8">#REF!</definedName>
    <definedName name="\TABLE2" localSheetId="7">#REF!</definedName>
    <definedName name="\TABLE2" localSheetId="6">#REF!</definedName>
    <definedName name="\TABLE2" localSheetId="1">#REF!</definedName>
    <definedName name="\TABLE2" localSheetId="9">#REF!</definedName>
    <definedName name="\TABLE2">#REF!</definedName>
    <definedName name="\TABLEA" localSheetId="2">#REF!</definedName>
    <definedName name="\TABLEA" localSheetId="3">#REF!</definedName>
    <definedName name="\TABLEA" localSheetId="4">#REF!</definedName>
    <definedName name="\TABLEA" localSheetId="5">#REF!</definedName>
    <definedName name="\TABLEA" localSheetId="8">#REF!</definedName>
    <definedName name="\TABLEA" localSheetId="7">#REF!</definedName>
    <definedName name="\TABLEA" localSheetId="6">#REF!</definedName>
    <definedName name="\TABLEA" localSheetId="1">#REF!</definedName>
    <definedName name="\TABLEA" localSheetId="9">#REF!</definedName>
    <definedName name="\TABLEA">#REF!</definedName>
    <definedName name="\TBL2" localSheetId="2">#REF!</definedName>
    <definedName name="\TBL2" localSheetId="3">#REF!</definedName>
    <definedName name="\TBL2" localSheetId="4">#REF!</definedName>
    <definedName name="\TBL2" localSheetId="5">#REF!</definedName>
    <definedName name="\TBL2" localSheetId="8">#REF!</definedName>
    <definedName name="\TBL2" localSheetId="7">#REF!</definedName>
    <definedName name="\TBL2" localSheetId="6">#REF!</definedName>
    <definedName name="\TBL2" localSheetId="1">#REF!</definedName>
    <definedName name="\TBL2" localSheetId="9">#REF!</definedName>
    <definedName name="\TBL2">#REF!</definedName>
    <definedName name="\TBL3" localSheetId="2">#REF!</definedName>
    <definedName name="\TBL3" localSheetId="3">#REF!</definedName>
    <definedName name="\TBL3" localSheetId="4">#REF!</definedName>
    <definedName name="\TBL3" localSheetId="5">#REF!</definedName>
    <definedName name="\TBL3" localSheetId="8">#REF!</definedName>
    <definedName name="\TBL3" localSheetId="7">#REF!</definedName>
    <definedName name="\TBL3" localSheetId="6">#REF!</definedName>
    <definedName name="\TBL3" localSheetId="1">#REF!</definedName>
    <definedName name="\TBL3" localSheetId="9">#REF!</definedName>
    <definedName name="\TBL3">#REF!</definedName>
    <definedName name="\TBL4" localSheetId="2">#REF!</definedName>
    <definedName name="\TBL4" localSheetId="3">#REF!</definedName>
    <definedName name="\TBL4" localSheetId="4">#REF!</definedName>
    <definedName name="\TBL4" localSheetId="5">#REF!</definedName>
    <definedName name="\TBL4" localSheetId="8">#REF!</definedName>
    <definedName name="\TBL4" localSheetId="7">#REF!</definedName>
    <definedName name="\TBL4" localSheetId="6">#REF!</definedName>
    <definedName name="\TBL4" localSheetId="1">#REF!</definedName>
    <definedName name="\TBL4" localSheetId="9">#REF!</definedName>
    <definedName name="\TBL4">#REF!</definedName>
    <definedName name="\TBL5" localSheetId="2">#REF!</definedName>
    <definedName name="\TBL5" localSheetId="3">#REF!</definedName>
    <definedName name="\TBL5" localSheetId="4">#REF!</definedName>
    <definedName name="\TBL5" localSheetId="5">#REF!</definedName>
    <definedName name="\TBL5" localSheetId="8">#REF!</definedName>
    <definedName name="\TBL5" localSheetId="7">#REF!</definedName>
    <definedName name="\TBL5" localSheetId="6">#REF!</definedName>
    <definedName name="\TBL5" localSheetId="1">#REF!</definedName>
    <definedName name="\TBL5" localSheetId="9">#REF!</definedName>
    <definedName name="\TBL5">#REF!</definedName>
    <definedName name="\W" localSheetId="2">#REF!</definedName>
    <definedName name="\W" localSheetId="3">#REF!</definedName>
    <definedName name="\W" localSheetId="4">#REF!</definedName>
    <definedName name="\W" localSheetId="5">#REF!</definedName>
    <definedName name="\W" localSheetId="8">#REF!</definedName>
    <definedName name="\W" localSheetId="7">#REF!</definedName>
    <definedName name="\W" localSheetId="6">#REF!</definedName>
    <definedName name="\W" localSheetId="1">#REF!</definedName>
    <definedName name="\W" localSheetId="9">#REF!</definedName>
    <definedName name="\W">#REF!</definedName>
    <definedName name="\WORK1" localSheetId="2">#REF!</definedName>
    <definedName name="\WORK1" localSheetId="3">#REF!</definedName>
    <definedName name="\WORK1" localSheetId="4">#REF!</definedName>
    <definedName name="\WORK1" localSheetId="5">#REF!</definedName>
    <definedName name="\WORK1" localSheetId="8">#REF!</definedName>
    <definedName name="\WORK1" localSheetId="7">#REF!</definedName>
    <definedName name="\WORK1" localSheetId="6">#REF!</definedName>
    <definedName name="\WORK1" localSheetId="1">#REF!</definedName>
    <definedName name="\WORK1" localSheetId="9">#REF!</definedName>
    <definedName name="\WORK1">#REF!</definedName>
    <definedName name="\X" localSheetId="2">#REF!</definedName>
    <definedName name="\X" localSheetId="3">#REF!</definedName>
    <definedName name="\X" localSheetId="4">#REF!</definedName>
    <definedName name="\X" localSheetId="5">#REF!</definedName>
    <definedName name="\X" localSheetId="8">#REF!</definedName>
    <definedName name="\X" localSheetId="7">#REF!</definedName>
    <definedName name="\X" localSheetId="6">#REF!</definedName>
    <definedName name="\X" localSheetId="1">#REF!</definedName>
    <definedName name="\X" localSheetId="9">#REF!</definedName>
    <definedName name="\X">#REF!</definedName>
    <definedName name="\Z" localSheetId="2">#REF!</definedName>
    <definedName name="\Z" localSheetId="3">#REF!</definedName>
    <definedName name="\Z" localSheetId="4">#REF!</definedName>
    <definedName name="\Z" localSheetId="5">#REF!</definedName>
    <definedName name="\Z" localSheetId="8">#REF!</definedName>
    <definedName name="\Z" localSheetId="7">#REF!</definedName>
    <definedName name="\Z" localSheetId="6">#REF!</definedName>
    <definedName name="\Z" localSheetId="1">#REF!</definedName>
    <definedName name="\Z" localSheetId="9">#REF!</definedName>
    <definedName name="\Z">#REF!</definedName>
    <definedName name="__123Graph_A" localSheetId="2" hidden="1">[3]Inputs!#REF!</definedName>
    <definedName name="__123Graph_A" localSheetId="3" hidden="1">[3]Inputs!#REF!</definedName>
    <definedName name="__123Graph_A" localSheetId="4" hidden="1">[3]Inputs!#REF!</definedName>
    <definedName name="__123Graph_A" localSheetId="5" hidden="1">[3]Inputs!#REF!</definedName>
    <definedName name="__123Graph_A" localSheetId="8" hidden="1">[3]Inputs!#REF!</definedName>
    <definedName name="__123Graph_A" localSheetId="7" hidden="1">[3]Inputs!#REF!</definedName>
    <definedName name="__123Graph_A" localSheetId="6" hidden="1">[3]Inputs!#REF!</definedName>
    <definedName name="__123Graph_A" localSheetId="1" hidden="1">[4]Inputs!#REF!</definedName>
    <definedName name="__123Graph_A" localSheetId="0" hidden="1">[5]Inputs!#REF!</definedName>
    <definedName name="__123Graph_A" localSheetId="9" hidden="1">[6]Inputs!#REF!</definedName>
    <definedName name="__123Graph_A" hidden="1">[6]Inputs!#REF!</definedName>
    <definedName name="__123Graph_B" localSheetId="2" hidden="1">[3]Inputs!#REF!</definedName>
    <definedName name="__123Graph_B" localSheetId="3" hidden="1">[3]Inputs!#REF!</definedName>
    <definedName name="__123Graph_B" localSheetId="4" hidden="1">[3]Inputs!#REF!</definedName>
    <definedName name="__123Graph_B" localSheetId="5" hidden="1">[3]Inputs!#REF!</definedName>
    <definedName name="__123Graph_B" localSheetId="8" hidden="1">[3]Inputs!#REF!</definedName>
    <definedName name="__123Graph_B" localSheetId="7" hidden="1">[3]Inputs!#REF!</definedName>
    <definedName name="__123Graph_B" localSheetId="6" hidden="1">[3]Inputs!#REF!</definedName>
    <definedName name="__123Graph_B" localSheetId="1" hidden="1">[4]Inputs!#REF!</definedName>
    <definedName name="__123Graph_B" localSheetId="0" hidden="1">[5]Inputs!#REF!</definedName>
    <definedName name="__123Graph_B" localSheetId="9" hidden="1">[6]Inputs!#REF!</definedName>
    <definedName name="__123Graph_B" hidden="1">[6]Inputs!#REF!</definedName>
    <definedName name="__123Graph_D" localSheetId="2" hidden="1">[3]Inputs!#REF!</definedName>
    <definedName name="__123Graph_D" localSheetId="3" hidden="1">[3]Inputs!#REF!</definedName>
    <definedName name="__123Graph_D" localSheetId="4" hidden="1">[3]Inputs!#REF!</definedName>
    <definedName name="__123Graph_D" localSheetId="5" hidden="1">[3]Inputs!#REF!</definedName>
    <definedName name="__123Graph_D" localSheetId="8" hidden="1">[3]Inputs!#REF!</definedName>
    <definedName name="__123Graph_D" localSheetId="7" hidden="1">[3]Inputs!#REF!</definedName>
    <definedName name="__123Graph_D" localSheetId="6" hidden="1">[3]Inputs!#REF!</definedName>
    <definedName name="__123Graph_D" localSheetId="1" hidden="1">[4]Inputs!#REF!</definedName>
    <definedName name="__123Graph_D" localSheetId="0" hidden="1">[5]Inputs!#REF!</definedName>
    <definedName name="__123Graph_D" localSheetId="9" hidden="1">[6]Inputs!#REF!</definedName>
    <definedName name="__123Graph_D" hidden="1">[6]Inputs!#REF!</definedName>
    <definedName name="_1Price_Ta" localSheetId="2">#REF!</definedName>
    <definedName name="_1Price_Ta" localSheetId="3">#REF!</definedName>
    <definedName name="_1Price_Ta" localSheetId="4">#REF!</definedName>
    <definedName name="_1Price_Ta" localSheetId="5">#REF!</definedName>
    <definedName name="_1Price_Ta" localSheetId="8">#REF!</definedName>
    <definedName name="_1Price_Ta" localSheetId="7">#REF!</definedName>
    <definedName name="_1Price_Ta" localSheetId="6">#REF!</definedName>
    <definedName name="_1Price_Ta" localSheetId="1">#REF!</definedName>
    <definedName name="_1Price_Ta" localSheetId="9">#REF!</definedName>
    <definedName name="_1Price_Ta">#REF!</definedName>
    <definedName name="_2Price_Ta" localSheetId="2">#REF!</definedName>
    <definedName name="_2Price_Ta" localSheetId="3">#REF!</definedName>
    <definedName name="_2Price_Ta" localSheetId="4">#REF!</definedName>
    <definedName name="_2Price_Ta" localSheetId="5">#REF!</definedName>
    <definedName name="_2Price_Ta" localSheetId="8">#REF!</definedName>
    <definedName name="_2Price_Ta" localSheetId="7">#REF!</definedName>
    <definedName name="_2Price_Ta" localSheetId="6">#REF!</definedName>
    <definedName name="_2Price_Ta" localSheetId="1">#REF!</definedName>
    <definedName name="_2Price_Ta" localSheetId="9">#REF!</definedName>
    <definedName name="_2Price_Ta">#REF!</definedName>
    <definedName name="_B" localSheetId="2">'[7]Rate Design'!#REF!</definedName>
    <definedName name="_B" localSheetId="3">'[7]Rate Design'!#REF!</definedName>
    <definedName name="_B" localSheetId="4">'[7]Rate Design'!#REF!</definedName>
    <definedName name="_B" localSheetId="5">'[7]Rate Design'!#REF!</definedName>
    <definedName name="_B" localSheetId="8">'[7]Rate Design'!#REF!</definedName>
    <definedName name="_B" localSheetId="7">'[7]Rate Design'!#REF!</definedName>
    <definedName name="_B" localSheetId="6">'[7]Rate Design'!#REF!</definedName>
    <definedName name="_B" localSheetId="1">'[7]Rate Design'!#REF!</definedName>
    <definedName name="_B" localSheetId="9">'[7]Rate Design'!#REF!</definedName>
    <definedName name="_B">'[7]Rate Design'!#REF!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8" hidden="1">#REF!</definedName>
    <definedName name="_Fill" localSheetId="7" hidden="1">#REF!</definedName>
    <definedName name="_Fill" localSheetId="6" hidden="1">#REF!</definedName>
    <definedName name="_Fill" localSheetId="1" hidden="1">#REF!</definedName>
    <definedName name="_Fill" localSheetId="9" hidden="1">#REF!</definedName>
    <definedName name="_Fill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8" hidden="1">#REF!</definedName>
    <definedName name="_Key1" localSheetId="7" hidden="1">#REF!</definedName>
    <definedName name="_Key1" localSheetId="6" hidden="1">#REF!</definedName>
    <definedName name="_Key1" localSheetId="1" hidden="1">#REF!</definedName>
    <definedName name="_Key1" localSheetId="9" hidden="1">#REF!</definedName>
    <definedName name="_Key1" hidden="1">#REF!</definedName>
    <definedName name="_Key2" localSheetId="2" hidden="1">#REF!</definedName>
    <definedName name="_Key2" localSheetId="3" hidden="1">#REF!</definedName>
    <definedName name="_Key2" localSheetId="4" hidden="1">#REF!</definedName>
    <definedName name="_Key2" localSheetId="5" hidden="1">#REF!</definedName>
    <definedName name="_Key2" localSheetId="8" hidden="1">#REF!</definedName>
    <definedName name="_Key2" localSheetId="7" hidden="1">#REF!</definedName>
    <definedName name="_Key2" localSheetId="6" hidden="1">#REF!</definedName>
    <definedName name="_Key2" localSheetId="1" hidden="1">#REF!</definedName>
    <definedName name="_Key2" localSheetId="9" hidden="1">#REF!</definedName>
    <definedName name="_Key2" hidden="1">#REF!</definedName>
    <definedName name="_MEN2" localSheetId="2">[1]Jan!#REF!</definedName>
    <definedName name="_MEN2" localSheetId="3">[1]Jan!#REF!</definedName>
    <definedName name="_MEN2" localSheetId="4">[1]Jan!#REF!</definedName>
    <definedName name="_MEN2" localSheetId="5">[1]Jan!#REF!</definedName>
    <definedName name="_MEN2" localSheetId="8">[1]Jan!#REF!</definedName>
    <definedName name="_MEN2" localSheetId="7">[1]Jan!#REF!</definedName>
    <definedName name="_MEN2" localSheetId="6">[1]Jan!#REF!</definedName>
    <definedName name="_MEN2" localSheetId="1">[1]Jan!#REF!</definedName>
    <definedName name="_MEN2" localSheetId="9">[1]Jan!#REF!</definedName>
    <definedName name="_MEN2">[1]Jan!#REF!</definedName>
    <definedName name="_MEN3" localSheetId="2">[1]Jan!#REF!</definedName>
    <definedName name="_MEN3" localSheetId="3">[1]Jan!#REF!</definedName>
    <definedName name="_MEN3" localSheetId="4">[1]Jan!#REF!</definedName>
    <definedName name="_MEN3" localSheetId="5">[1]Jan!#REF!</definedName>
    <definedName name="_MEN3" localSheetId="8">[1]Jan!#REF!</definedName>
    <definedName name="_MEN3" localSheetId="7">[1]Jan!#REF!</definedName>
    <definedName name="_MEN3" localSheetId="6">[1]Jan!#REF!</definedName>
    <definedName name="_MEN3" localSheetId="1">[1]Jan!#REF!</definedName>
    <definedName name="_MEN3" localSheetId="9">[1]Jan!#REF!</definedName>
    <definedName name="_MEN3">[1]Jan!#REF!</definedName>
    <definedName name="_Order1" hidden="1">0</definedName>
    <definedName name="_Order2" hidden="1">0</definedName>
    <definedName name="_P" localSheetId="2">#REF!</definedName>
    <definedName name="_P" localSheetId="3">#REF!</definedName>
    <definedName name="_P" localSheetId="4">#REF!</definedName>
    <definedName name="_P" localSheetId="5">#REF!</definedName>
    <definedName name="_P" localSheetId="8">#REF!</definedName>
    <definedName name="_P" localSheetId="7">#REF!</definedName>
    <definedName name="_P" localSheetId="6">#REF!</definedName>
    <definedName name="_P" localSheetId="1">#REF!</definedName>
    <definedName name="_P" localSheetId="9">#REF!</definedName>
    <definedName name="_P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8" hidden="1">#REF!</definedName>
    <definedName name="_Sort" localSheetId="7" hidden="1">#REF!</definedName>
    <definedName name="_Sort" localSheetId="6" hidden="1">#REF!</definedName>
    <definedName name="_Sort" localSheetId="1" hidden="1">#REF!</definedName>
    <definedName name="_Sort" localSheetId="9" hidden="1">#REF!</definedName>
    <definedName name="_Sort" hidden="1">#REF!</definedName>
    <definedName name="_TOP1" localSheetId="2">[1]Jan!#REF!</definedName>
    <definedName name="_TOP1" localSheetId="3">[1]Jan!#REF!</definedName>
    <definedName name="_TOP1" localSheetId="4">[1]Jan!#REF!</definedName>
    <definedName name="_TOP1" localSheetId="5">[1]Jan!#REF!</definedName>
    <definedName name="_TOP1" localSheetId="8">[1]Jan!#REF!</definedName>
    <definedName name="_TOP1" localSheetId="7">[1]Jan!#REF!</definedName>
    <definedName name="_TOP1" localSheetId="6">[1]Jan!#REF!</definedName>
    <definedName name="_TOP1" localSheetId="1">[1]Jan!#REF!</definedName>
    <definedName name="_TOP1" localSheetId="9">[1]Jan!#REF!</definedName>
    <definedName name="_TOP1">[1]Jan!#REF!</definedName>
    <definedName name="a" localSheetId="2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8" hidden="1">#REF!</definedName>
    <definedName name="a" localSheetId="7" hidden="1">#REF!</definedName>
    <definedName name="a" localSheetId="6" hidden="1">#REF!</definedName>
    <definedName name="a" localSheetId="1" hidden="1">#REF!</definedName>
    <definedName name="a" localSheetId="0" hidden="1">#REF!</definedName>
    <definedName name="a" hidden="1">'[6]DSM Output'!$J$21:$J$23</definedName>
    <definedName name="Acct108364" localSheetId="2">'[8]Func Study'!#REF!</definedName>
    <definedName name="Acct108364" localSheetId="3">'[8]Func Study'!#REF!</definedName>
    <definedName name="Acct108364" localSheetId="4">'[8]Func Study'!#REF!</definedName>
    <definedName name="Acct108364" localSheetId="5">'[8]Func Study'!#REF!</definedName>
    <definedName name="Acct108364" localSheetId="8">'[8]Func Study'!#REF!</definedName>
    <definedName name="Acct108364" localSheetId="7">'[8]Func Study'!#REF!</definedName>
    <definedName name="Acct108364" localSheetId="6">'[8]Func Study'!#REF!</definedName>
    <definedName name="Acct108364" localSheetId="1">'[8]Func Study'!#REF!</definedName>
    <definedName name="Acct108364" localSheetId="9">'[8]Func Study'!#REF!</definedName>
    <definedName name="Acct108364">'[8]Func Study'!#REF!</definedName>
    <definedName name="Acct108364S" localSheetId="2">'[8]Func Study'!#REF!</definedName>
    <definedName name="Acct108364S" localSheetId="3">'[8]Func Study'!#REF!</definedName>
    <definedName name="Acct108364S" localSheetId="4">'[8]Func Study'!#REF!</definedName>
    <definedName name="Acct108364S" localSheetId="5">'[8]Func Study'!#REF!</definedName>
    <definedName name="Acct108364S" localSheetId="8">'[8]Func Study'!#REF!</definedName>
    <definedName name="Acct108364S" localSheetId="7">'[8]Func Study'!#REF!</definedName>
    <definedName name="Acct108364S" localSheetId="6">'[8]Func Study'!#REF!</definedName>
    <definedName name="Acct108364S" localSheetId="1">'[8]Func Study'!#REF!</definedName>
    <definedName name="Acct108364S" localSheetId="9">'[8]Func Study'!#REF!</definedName>
    <definedName name="Acct108364S">'[8]Func Study'!#REF!</definedName>
    <definedName name="Acct228.42TROJD" localSheetId="2">'[9]Func Study'!#REF!</definedName>
    <definedName name="Acct228.42TROJD" localSheetId="3">'[9]Func Study'!#REF!</definedName>
    <definedName name="Acct228.42TROJD" localSheetId="4">'[9]Func Study'!#REF!</definedName>
    <definedName name="Acct228.42TROJD" localSheetId="5">'[9]Func Study'!#REF!</definedName>
    <definedName name="Acct228.42TROJD" localSheetId="8">'[9]Func Study'!#REF!</definedName>
    <definedName name="Acct228.42TROJD" localSheetId="7">'[9]Func Study'!#REF!</definedName>
    <definedName name="Acct228.42TROJD" localSheetId="6">'[9]Func Study'!#REF!</definedName>
    <definedName name="Acct228.42TROJD" localSheetId="1">'[9]Func Study'!#REF!</definedName>
    <definedName name="Acct228.42TROJD" localSheetId="9">'[9]Func Study'!#REF!</definedName>
    <definedName name="Acct228.42TROJD">'[9]Func Study'!#REF!</definedName>
    <definedName name="Acct2281SO">'[10]Func Study'!$H$2190</definedName>
    <definedName name="Acct2283SO">'[10]Func Study'!$H$2198</definedName>
    <definedName name="Acct22842TROJD" localSheetId="2">'[9]Func Study'!#REF!</definedName>
    <definedName name="Acct22842TROJD" localSheetId="3">'[9]Func Study'!#REF!</definedName>
    <definedName name="Acct22842TROJD" localSheetId="4">'[9]Func Study'!#REF!</definedName>
    <definedName name="Acct22842TROJD" localSheetId="5">'[9]Func Study'!#REF!</definedName>
    <definedName name="Acct22842TROJD" localSheetId="8">'[9]Func Study'!#REF!</definedName>
    <definedName name="Acct22842TROJD" localSheetId="7">'[9]Func Study'!#REF!</definedName>
    <definedName name="Acct22842TROJD" localSheetId="6">'[9]Func Study'!#REF!</definedName>
    <definedName name="Acct22842TROJD" localSheetId="1">'[9]Func Study'!#REF!</definedName>
    <definedName name="Acct22842TROJD" localSheetId="9">'[9]Func Study'!#REF!</definedName>
    <definedName name="Acct22842TROJD">'[9]Func Study'!#REF!</definedName>
    <definedName name="Acct228SO">'[10]Func Study'!$H$2194</definedName>
    <definedName name="Acct350">'[10]Func Study'!$H$1628</definedName>
    <definedName name="Acct352">'[10]Func Study'!$H$1635</definedName>
    <definedName name="Acct353">'[10]Func Study'!$H$1641</definedName>
    <definedName name="Acct354">'[10]Func Study'!$H$1647</definedName>
    <definedName name="Acct355">'[10]Func Study'!$H$1654</definedName>
    <definedName name="Acct356">'[10]Func Study'!$H$1660</definedName>
    <definedName name="Acct357">'[10]Func Study'!$H$1666</definedName>
    <definedName name="Acct358">'[10]Func Study'!$H$1672</definedName>
    <definedName name="Acct359">'[10]Func Study'!$H$1678</definedName>
    <definedName name="Acct360">'[10]Func Study'!$H$1698</definedName>
    <definedName name="Acct361">'[10]Func Study'!$H$1704</definedName>
    <definedName name="Acct362">'[10]Func Study'!$H$1710</definedName>
    <definedName name="Acct364">'[10]Func Study'!$H$1717</definedName>
    <definedName name="Acct365">'[10]Func Study'!$H$1724</definedName>
    <definedName name="Acct366">'[10]Func Study'!$H$1731</definedName>
    <definedName name="Acct367">'[10]Func Study'!$H$1738</definedName>
    <definedName name="Acct368">'[10]Func Study'!$H$1744</definedName>
    <definedName name="Acct369">'[10]Func Study'!$H$1751</definedName>
    <definedName name="Acct370">'[10]Func Study'!$H$1762</definedName>
    <definedName name="Acct371">'[10]Func Study'!$H$1769</definedName>
    <definedName name="Acct372">'[10]Func Study'!$H$1776</definedName>
    <definedName name="Acct372A">'[10]Func Study'!$H$1775</definedName>
    <definedName name="Acct372DP">'[10]Func Study'!$H$1773</definedName>
    <definedName name="Acct372DS">'[10]Func Study'!$H$1774</definedName>
    <definedName name="Acct373">'[10]Func Study'!$H$1782</definedName>
    <definedName name="Acct41011" localSheetId="2">'[11]Functional Study'!#REF!</definedName>
    <definedName name="Acct41011" localSheetId="3">'[11]Functional Study'!#REF!</definedName>
    <definedName name="Acct41011" localSheetId="4">'[11]Functional Study'!#REF!</definedName>
    <definedName name="Acct41011" localSheetId="5">'[11]Functional Study'!#REF!</definedName>
    <definedName name="Acct41011" localSheetId="8">'[11]Functional Study'!#REF!</definedName>
    <definedName name="Acct41011" localSheetId="7">'[11]Functional Study'!#REF!</definedName>
    <definedName name="Acct41011" localSheetId="6">'[11]Functional Study'!#REF!</definedName>
    <definedName name="Acct41011" localSheetId="1">'[11]Functional Study'!#REF!</definedName>
    <definedName name="Acct41011" localSheetId="9">'[11]Functional Study'!#REF!</definedName>
    <definedName name="Acct41011">'[11]Functional Study'!#REF!</definedName>
    <definedName name="Acct41011BADDEBT" localSheetId="2">'[11]Functional Study'!#REF!</definedName>
    <definedName name="Acct41011BADDEBT" localSheetId="3">'[11]Functional Study'!#REF!</definedName>
    <definedName name="Acct41011BADDEBT" localSheetId="4">'[11]Functional Study'!#REF!</definedName>
    <definedName name="Acct41011BADDEBT" localSheetId="5">'[11]Functional Study'!#REF!</definedName>
    <definedName name="Acct41011BADDEBT" localSheetId="8">'[11]Functional Study'!#REF!</definedName>
    <definedName name="Acct41011BADDEBT" localSheetId="7">'[11]Functional Study'!#REF!</definedName>
    <definedName name="Acct41011BADDEBT" localSheetId="6">'[11]Functional Study'!#REF!</definedName>
    <definedName name="Acct41011BADDEBT" localSheetId="1">'[11]Functional Study'!#REF!</definedName>
    <definedName name="Acct41011BADDEBT" localSheetId="9">'[11]Functional Study'!#REF!</definedName>
    <definedName name="Acct41011BADDEBT">'[11]Functional Study'!#REF!</definedName>
    <definedName name="Acct41011DITEXP" localSheetId="2">'[11]Functional Study'!#REF!</definedName>
    <definedName name="Acct41011DITEXP" localSheetId="3">'[11]Functional Study'!#REF!</definedName>
    <definedName name="Acct41011DITEXP" localSheetId="4">'[11]Functional Study'!#REF!</definedName>
    <definedName name="Acct41011DITEXP" localSheetId="5">'[11]Functional Study'!#REF!</definedName>
    <definedName name="Acct41011DITEXP" localSheetId="8">'[11]Functional Study'!#REF!</definedName>
    <definedName name="Acct41011DITEXP" localSheetId="7">'[11]Functional Study'!#REF!</definedName>
    <definedName name="Acct41011DITEXP" localSheetId="6">'[11]Functional Study'!#REF!</definedName>
    <definedName name="Acct41011DITEXP" localSheetId="1">'[11]Functional Study'!#REF!</definedName>
    <definedName name="Acct41011DITEXP" localSheetId="9">'[11]Functional Study'!#REF!</definedName>
    <definedName name="Acct41011DITEXP">'[11]Functional Study'!#REF!</definedName>
    <definedName name="Acct41011S" localSheetId="2">'[11]Functional Study'!#REF!</definedName>
    <definedName name="Acct41011S" localSheetId="3">'[11]Functional Study'!#REF!</definedName>
    <definedName name="Acct41011S" localSheetId="4">'[11]Functional Study'!#REF!</definedName>
    <definedName name="Acct41011S" localSheetId="5">'[11]Functional Study'!#REF!</definedName>
    <definedName name="Acct41011S" localSheetId="8">'[11]Functional Study'!#REF!</definedName>
    <definedName name="Acct41011S" localSheetId="7">'[11]Functional Study'!#REF!</definedName>
    <definedName name="Acct41011S" localSheetId="6">'[11]Functional Study'!#REF!</definedName>
    <definedName name="Acct41011S" localSheetId="1">'[11]Functional Study'!#REF!</definedName>
    <definedName name="Acct41011S" localSheetId="9">'[11]Functional Study'!#REF!</definedName>
    <definedName name="Acct41011S">'[11]Functional Study'!#REF!</definedName>
    <definedName name="Acct41011SE" localSheetId="2">'[11]Functional Study'!#REF!</definedName>
    <definedName name="Acct41011SE" localSheetId="3">'[11]Functional Study'!#REF!</definedName>
    <definedName name="Acct41011SE" localSheetId="4">'[11]Functional Study'!#REF!</definedName>
    <definedName name="Acct41011SE" localSheetId="5">'[11]Functional Study'!#REF!</definedName>
    <definedName name="Acct41011SE" localSheetId="8">'[11]Functional Study'!#REF!</definedName>
    <definedName name="Acct41011SE" localSheetId="7">'[11]Functional Study'!#REF!</definedName>
    <definedName name="Acct41011SE" localSheetId="6">'[11]Functional Study'!#REF!</definedName>
    <definedName name="Acct41011SE" localSheetId="1">'[11]Functional Study'!#REF!</definedName>
    <definedName name="Acct41011SE" localSheetId="9">'[11]Functional Study'!#REF!</definedName>
    <definedName name="Acct41011SE">'[11]Functional Study'!#REF!</definedName>
    <definedName name="Acct41011SG1" localSheetId="2">'[11]Functional Study'!#REF!</definedName>
    <definedName name="Acct41011SG1" localSheetId="3">'[11]Functional Study'!#REF!</definedName>
    <definedName name="Acct41011SG1" localSheetId="4">'[11]Functional Study'!#REF!</definedName>
    <definedName name="Acct41011SG1" localSheetId="5">'[11]Functional Study'!#REF!</definedName>
    <definedName name="Acct41011SG1" localSheetId="8">'[11]Functional Study'!#REF!</definedName>
    <definedName name="Acct41011SG1" localSheetId="7">'[11]Functional Study'!#REF!</definedName>
    <definedName name="Acct41011SG1" localSheetId="6">'[11]Functional Study'!#REF!</definedName>
    <definedName name="Acct41011SG1" localSheetId="1">'[11]Functional Study'!#REF!</definedName>
    <definedName name="Acct41011SG1" localSheetId="9">'[11]Functional Study'!#REF!</definedName>
    <definedName name="Acct41011SG1">'[11]Functional Study'!#REF!</definedName>
    <definedName name="Acct41011SG2" localSheetId="2">'[11]Functional Study'!#REF!</definedName>
    <definedName name="Acct41011SG2" localSheetId="3">'[11]Functional Study'!#REF!</definedName>
    <definedName name="Acct41011SG2" localSheetId="4">'[11]Functional Study'!#REF!</definedName>
    <definedName name="Acct41011SG2" localSheetId="5">'[11]Functional Study'!#REF!</definedName>
    <definedName name="Acct41011SG2" localSheetId="8">'[11]Functional Study'!#REF!</definedName>
    <definedName name="Acct41011SG2" localSheetId="7">'[11]Functional Study'!#REF!</definedName>
    <definedName name="Acct41011SG2" localSheetId="6">'[11]Functional Study'!#REF!</definedName>
    <definedName name="Acct41011SG2" localSheetId="1">'[11]Functional Study'!#REF!</definedName>
    <definedName name="Acct41011SG2" localSheetId="9">'[11]Functional Study'!#REF!</definedName>
    <definedName name="Acct41011SG2">'[11]Functional Study'!#REF!</definedName>
    <definedName name="ACCT41011SGCT" localSheetId="2">'[11]Functional Study'!#REF!</definedName>
    <definedName name="ACCT41011SGCT" localSheetId="3">'[11]Functional Study'!#REF!</definedName>
    <definedName name="ACCT41011SGCT" localSheetId="4">'[11]Functional Study'!#REF!</definedName>
    <definedName name="ACCT41011SGCT" localSheetId="5">'[11]Functional Study'!#REF!</definedName>
    <definedName name="ACCT41011SGCT" localSheetId="8">'[11]Functional Study'!#REF!</definedName>
    <definedName name="ACCT41011SGCT" localSheetId="7">'[11]Functional Study'!#REF!</definedName>
    <definedName name="ACCT41011SGCT" localSheetId="6">'[11]Functional Study'!#REF!</definedName>
    <definedName name="ACCT41011SGCT" localSheetId="1">'[11]Functional Study'!#REF!</definedName>
    <definedName name="ACCT41011SGCT" localSheetId="9">'[11]Functional Study'!#REF!</definedName>
    <definedName name="ACCT41011SGCT">'[11]Functional Study'!#REF!</definedName>
    <definedName name="Acct41011SGPP" localSheetId="2">'[11]Functional Study'!#REF!</definedName>
    <definedName name="Acct41011SGPP" localSheetId="3">'[11]Functional Study'!#REF!</definedName>
    <definedName name="Acct41011SGPP" localSheetId="4">'[11]Functional Study'!#REF!</definedName>
    <definedName name="Acct41011SGPP" localSheetId="5">'[11]Functional Study'!#REF!</definedName>
    <definedName name="Acct41011SGPP" localSheetId="8">'[11]Functional Study'!#REF!</definedName>
    <definedName name="Acct41011SGPP" localSheetId="7">'[11]Functional Study'!#REF!</definedName>
    <definedName name="Acct41011SGPP" localSheetId="6">'[11]Functional Study'!#REF!</definedName>
    <definedName name="Acct41011SGPP" localSheetId="1">'[11]Functional Study'!#REF!</definedName>
    <definedName name="Acct41011SGPP" localSheetId="9">'[11]Functional Study'!#REF!</definedName>
    <definedName name="Acct41011SGPP">'[11]Functional Study'!#REF!</definedName>
    <definedName name="Acct41011SNP" localSheetId="2">'[11]Functional Study'!#REF!</definedName>
    <definedName name="Acct41011SNP" localSheetId="3">'[11]Functional Study'!#REF!</definedName>
    <definedName name="Acct41011SNP" localSheetId="4">'[11]Functional Study'!#REF!</definedName>
    <definedName name="Acct41011SNP" localSheetId="5">'[11]Functional Study'!#REF!</definedName>
    <definedName name="Acct41011SNP" localSheetId="8">'[11]Functional Study'!#REF!</definedName>
    <definedName name="Acct41011SNP" localSheetId="7">'[11]Functional Study'!#REF!</definedName>
    <definedName name="Acct41011SNP" localSheetId="6">'[11]Functional Study'!#REF!</definedName>
    <definedName name="Acct41011SNP" localSheetId="1">'[11]Functional Study'!#REF!</definedName>
    <definedName name="Acct41011SNP" localSheetId="9">'[11]Functional Study'!#REF!</definedName>
    <definedName name="Acct41011SNP">'[11]Functional Study'!#REF!</definedName>
    <definedName name="ACCT41011SNPD" localSheetId="2">'[11]Functional Study'!#REF!</definedName>
    <definedName name="ACCT41011SNPD" localSheetId="3">'[11]Functional Study'!#REF!</definedName>
    <definedName name="ACCT41011SNPD" localSheetId="4">'[11]Functional Study'!#REF!</definedName>
    <definedName name="ACCT41011SNPD" localSheetId="5">'[11]Functional Study'!#REF!</definedName>
    <definedName name="ACCT41011SNPD" localSheetId="8">'[11]Functional Study'!#REF!</definedName>
    <definedName name="ACCT41011SNPD" localSheetId="7">'[11]Functional Study'!#REF!</definedName>
    <definedName name="ACCT41011SNPD" localSheetId="6">'[11]Functional Study'!#REF!</definedName>
    <definedName name="ACCT41011SNPD" localSheetId="1">'[11]Functional Study'!#REF!</definedName>
    <definedName name="ACCT41011SNPD" localSheetId="9">'[11]Functional Study'!#REF!</definedName>
    <definedName name="ACCT41011SNPD">'[11]Functional Study'!#REF!</definedName>
    <definedName name="Acct41011SO" localSheetId="2">'[11]Functional Study'!#REF!</definedName>
    <definedName name="Acct41011SO" localSheetId="3">'[11]Functional Study'!#REF!</definedName>
    <definedName name="Acct41011SO" localSheetId="4">'[11]Functional Study'!#REF!</definedName>
    <definedName name="Acct41011SO" localSheetId="5">'[11]Functional Study'!#REF!</definedName>
    <definedName name="Acct41011SO" localSheetId="8">'[11]Functional Study'!#REF!</definedName>
    <definedName name="Acct41011SO" localSheetId="7">'[11]Functional Study'!#REF!</definedName>
    <definedName name="Acct41011SO" localSheetId="6">'[11]Functional Study'!#REF!</definedName>
    <definedName name="Acct41011SO" localSheetId="1">'[11]Functional Study'!#REF!</definedName>
    <definedName name="Acct41011SO" localSheetId="9">'[11]Functional Study'!#REF!</definedName>
    <definedName name="Acct41011SO">'[11]Functional Study'!#REF!</definedName>
    <definedName name="Acct41011TROJP" localSheetId="2">'[11]Functional Study'!#REF!</definedName>
    <definedName name="Acct41011TROJP" localSheetId="3">'[11]Functional Study'!#REF!</definedName>
    <definedName name="Acct41011TROJP" localSheetId="4">'[11]Functional Study'!#REF!</definedName>
    <definedName name="Acct41011TROJP" localSheetId="5">'[11]Functional Study'!#REF!</definedName>
    <definedName name="Acct41011TROJP" localSheetId="8">'[11]Functional Study'!#REF!</definedName>
    <definedName name="Acct41011TROJP" localSheetId="7">'[11]Functional Study'!#REF!</definedName>
    <definedName name="Acct41011TROJP" localSheetId="6">'[11]Functional Study'!#REF!</definedName>
    <definedName name="Acct41011TROJP" localSheetId="1">'[11]Functional Study'!#REF!</definedName>
    <definedName name="Acct41011TROJP" localSheetId="9">'[11]Functional Study'!#REF!</definedName>
    <definedName name="Acct41011TROJP">'[11]Functional Study'!#REF!</definedName>
    <definedName name="Acct41111" localSheetId="2">'[11]Functional Study'!#REF!</definedName>
    <definedName name="Acct41111" localSheetId="3">'[11]Functional Study'!#REF!</definedName>
    <definedName name="Acct41111" localSheetId="4">'[11]Functional Study'!#REF!</definedName>
    <definedName name="Acct41111" localSheetId="5">'[11]Functional Study'!#REF!</definedName>
    <definedName name="Acct41111" localSheetId="8">'[11]Functional Study'!#REF!</definedName>
    <definedName name="Acct41111" localSheetId="7">'[11]Functional Study'!#REF!</definedName>
    <definedName name="Acct41111" localSheetId="6">'[11]Functional Study'!#REF!</definedName>
    <definedName name="Acct41111" localSheetId="1">'[11]Functional Study'!#REF!</definedName>
    <definedName name="Acct41111" localSheetId="9">'[11]Functional Study'!#REF!</definedName>
    <definedName name="Acct41111">'[11]Functional Study'!#REF!</definedName>
    <definedName name="Acct41111BADDEBT" localSheetId="2">'[11]Functional Study'!#REF!</definedName>
    <definedName name="Acct41111BADDEBT" localSheetId="3">'[11]Functional Study'!#REF!</definedName>
    <definedName name="Acct41111BADDEBT" localSheetId="4">'[11]Functional Study'!#REF!</definedName>
    <definedName name="Acct41111BADDEBT" localSheetId="5">'[11]Functional Study'!#REF!</definedName>
    <definedName name="Acct41111BADDEBT" localSheetId="8">'[11]Functional Study'!#REF!</definedName>
    <definedName name="Acct41111BADDEBT" localSheetId="7">'[11]Functional Study'!#REF!</definedName>
    <definedName name="Acct41111BADDEBT" localSheetId="6">'[11]Functional Study'!#REF!</definedName>
    <definedName name="Acct41111BADDEBT" localSheetId="1">'[11]Functional Study'!#REF!</definedName>
    <definedName name="Acct41111BADDEBT" localSheetId="9">'[11]Functional Study'!#REF!</definedName>
    <definedName name="Acct41111BADDEBT">'[11]Functional Study'!#REF!</definedName>
    <definedName name="Acct41111DITEXP" localSheetId="2">'[11]Functional Study'!#REF!</definedName>
    <definedName name="Acct41111DITEXP" localSheetId="3">'[11]Functional Study'!#REF!</definedName>
    <definedName name="Acct41111DITEXP" localSheetId="4">'[11]Functional Study'!#REF!</definedName>
    <definedName name="Acct41111DITEXP" localSheetId="5">'[11]Functional Study'!#REF!</definedName>
    <definedName name="Acct41111DITEXP" localSheetId="8">'[11]Functional Study'!#REF!</definedName>
    <definedName name="Acct41111DITEXP" localSheetId="7">'[11]Functional Study'!#REF!</definedName>
    <definedName name="Acct41111DITEXP" localSheetId="6">'[11]Functional Study'!#REF!</definedName>
    <definedName name="Acct41111DITEXP" localSheetId="1">'[11]Functional Study'!#REF!</definedName>
    <definedName name="Acct41111DITEXP" localSheetId="9">'[11]Functional Study'!#REF!</definedName>
    <definedName name="Acct41111DITEXP">'[11]Functional Study'!#REF!</definedName>
    <definedName name="Acct41111S" localSheetId="2">'[11]Functional Study'!#REF!</definedName>
    <definedName name="Acct41111S" localSheetId="3">'[11]Functional Study'!#REF!</definedName>
    <definedName name="Acct41111S" localSheetId="4">'[11]Functional Study'!#REF!</definedName>
    <definedName name="Acct41111S" localSheetId="5">'[11]Functional Study'!#REF!</definedName>
    <definedName name="Acct41111S" localSheetId="8">'[11]Functional Study'!#REF!</definedName>
    <definedName name="Acct41111S" localSheetId="7">'[11]Functional Study'!#REF!</definedName>
    <definedName name="Acct41111S" localSheetId="6">'[11]Functional Study'!#REF!</definedName>
    <definedName name="Acct41111S" localSheetId="1">'[11]Functional Study'!#REF!</definedName>
    <definedName name="Acct41111S" localSheetId="9">'[11]Functional Study'!#REF!</definedName>
    <definedName name="Acct41111S">'[11]Functional Study'!#REF!</definedName>
    <definedName name="Acct41111SE" localSheetId="2">'[11]Functional Study'!#REF!</definedName>
    <definedName name="Acct41111SE" localSheetId="3">'[11]Functional Study'!#REF!</definedName>
    <definedName name="Acct41111SE" localSheetId="4">'[11]Functional Study'!#REF!</definedName>
    <definedName name="Acct41111SE" localSheetId="5">'[11]Functional Study'!#REF!</definedName>
    <definedName name="Acct41111SE" localSheetId="8">'[11]Functional Study'!#REF!</definedName>
    <definedName name="Acct41111SE" localSheetId="7">'[11]Functional Study'!#REF!</definedName>
    <definedName name="Acct41111SE" localSheetId="6">'[11]Functional Study'!#REF!</definedName>
    <definedName name="Acct41111SE" localSheetId="1">'[11]Functional Study'!#REF!</definedName>
    <definedName name="Acct41111SE" localSheetId="9">'[11]Functional Study'!#REF!</definedName>
    <definedName name="Acct41111SE">'[11]Functional Study'!#REF!</definedName>
    <definedName name="Acct41111SG1" localSheetId="2">'[11]Functional Study'!#REF!</definedName>
    <definedName name="Acct41111SG1" localSheetId="3">'[11]Functional Study'!#REF!</definedName>
    <definedName name="Acct41111SG1" localSheetId="4">'[11]Functional Study'!#REF!</definedName>
    <definedName name="Acct41111SG1" localSheetId="5">'[11]Functional Study'!#REF!</definedName>
    <definedName name="Acct41111SG1" localSheetId="8">'[11]Functional Study'!#REF!</definedName>
    <definedName name="Acct41111SG1" localSheetId="7">'[11]Functional Study'!#REF!</definedName>
    <definedName name="Acct41111SG1" localSheetId="6">'[11]Functional Study'!#REF!</definedName>
    <definedName name="Acct41111SG1" localSheetId="1">'[11]Functional Study'!#REF!</definedName>
    <definedName name="Acct41111SG1" localSheetId="9">'[11]Functional Study'!#REF!</definedName>
    <definedName name="Acct41111SG1">'[11]Functional Study'!#REF!</definedName>
    <definedName name="Acct41111SG2" localSheetId="2">'[11]Functional Study'!#REF!</definedName>
    <definedName name="Acct41111SG2" localSheetId="3">'[11]Functional Study'!#REF!</definedName>
    <definedName name="Acct41111SG2" localSheetId="4">'[11]Functional Study'!#REF!</definedName>
    <definedName name="Acct41111SG2" localSheetId="5">'[11]Functional Study'!#REF!</definedName>
    <definedName name="Acct41111SG2" localSheetId="8">'[11]Functional Study'!#REF!</definedName>
    <definedName name="Acct41111SG2" localSheetId="7">'[11]Functional Study'!#REF!</definedName>
    <definedName name="Acct41111SG2" localSheetId="6">'[11]Functional Study'!#REF!</definedName>
    <definedName name="Acct41111SG2" localSheetId="1">'[11]Functional Study'!#REF!</definedName>
    <definedName name="Acct41111SG2" localSheetId="9">'[11]Functional Study'!#REF!</definedName>
    <definedName name="Acct41111SG2">'[11]Functional Study'!#REF!</definedName>
    <definedName name="Acct41111SG3" localSheetId="2">'[11]Functional Study'!#REF!</definedName>
    <definedName name="Acct41111SG3" localSheetId="3">'[11]Functional Study'!#REF!</definedName>
    <definedName name="Acct41111SG3" localSheetId="4">'[11]Functional Study'!#REF!</definedName>
    <definedName name="Acct41111SG3" localSheetId="5">'[11]Functional Study'!#REF!</definedName>
    <definedName name="Acct41111SG3" localSheetId="8">'[11]Functional Study'!#REF!</definedName>
    <definedName name="Acct41111SG3" localSheetId="7">'[11]Functional Study'!#REF!</definedName>
    <definedName name="Acct41111SG3" localSheetId="6">'[11]Functional Study'!#REF!</definedName>
    <definedName name="Acct41111SG3" localSheetId="1">'[11]Functional Study'!#REF!</definedName>
    <definedName name="Acct41111SG3" localSheetId="9">'[11]Functional Study'!#REF!</definedName>
    <definedName name="Acct41111SG3">'[11]Functional Study'!#REF!</definedName>
    <definedName name="Acct41111SGPP" localSheetId="2">'[11]Functional Study'!#REF!</definedName>
    <definedName name="Acct41111SGPP" localSheetId="3">'[11]Functional Study'!#REF!</definedName>
    <definedName name="Acct41111SGPP" localSheetId="4">'[11]Functional Study'!#REF!</definedName>
    <definedName name="Acct41111SGPP" localSheetId="5">'[11]Functional Study'!#REF!</definedName>
    <definedName name="Acct41111SGPP" localSheetId="8">'[11]Functional Study'!#REF!</definedName>
    <definedName name="Acct41111SGPP" localSheetId="7">'[11]Functional Study'!#REF!</definedName>
    <definedName name="Acct41111SGPP" localSheetId="6">'[11]Functional Study'!#REF!</definedName>
    <definedName name="Acct41111SGPP" localSheetId="1">'[11]Functional Study'!#REF!</definedName>
    <definedName name="Acct41111SGPP" localSheetId="9">'[11]Functional Study'!#REF!</definedName>
    <definedName name="Acct41111SGPP">'[11]Functional Study'!#REF!</definedName>
    <definedName name="Acct41111SNP" localSheetId="2">'[11]Functional Study'!#REF!</definedName>
    <definedName name="Acct41111SNP" localSheetId="3">'[11]Functional Study'!#REF!</definedName>
    <definedName name="Acct41111SNP" localSheetId="4">'[11]Functional Study'!#REF!</definedName>
    <definedName name="Acct41111SNP" localSheetId="5">'[11]Functional Study'!#REF!</definedName>
    <definedName name="Acct41111SNP" localSheetId="8">'[11]Functional Study'!#REF!</definedName>
    <definedName name="Acct41111SNP" localSheetId="7">'[11]Functional Study'!#REF!</definedName>
    <definedName name="Acct41111SNP" localSheetId="6">'[11]Functional Study'!#REF!</definedName>
    <definedName name="Acct41111SNP" localSheetId="1">'[11]Functional Study'!#REF!</definedName>
    <definedName name="Acct41111SNP" localSheetId="9">'[11]Functional Study'!#REF!</definedName>
    <definedName name="Acct41111SNP">'[11]Functional Study'!#REF!</definedName>
    <definedName name="Acct41111SNTP" localSheetId="2">'[11]Functional Study'!#REF!</definedName>
    <definedName name="Acct41111SNTP" localSheetId="3">'[11]Functional Study'!#REF!</definedName>
    <definedName name="Acct41111SNTP" localSheetId="4">'[11]Functional Study'!#REF!</definedName>
    <definedName name="Acct41111SNTP" localSheetId="5">'[11]Functional Study'!#REF!</definedName>
    <definedName name="Acct41111SNTP" localSheetId="8">'[11]Functional Study'!#REF!</definedName>
    <definedName name="Acct41111SNTP" localSheetId="7">'[11]Functional Study'!#REF!</definedName>
    <definedName name="Acct41111SNTP" localSheetId="6">'[11]Functional Study'!#REF!</definedName>
    <definedName name="Acct41111SNTP" localSheetId="1">'[11]Functional Study'!#REF!</definedName>
    <definedName name="Acct41111SNTP" localSheetId="9">'[11]Functional Study'!#REF!</definedName>
    <definedName name="Acct41111SNTP">'[11]Functional Study'!#REF!</definedName>
    <definedName name="Acct41111SO" localSheetId="2">'[11]Functional Study'!#REF!</definedName>
    <definedName name="Acct41111SO" localSheetId="3">'[11]Functional Study'!#REF!</definedName>
    <definedName name="Acct41111SO" localSheetId="4">'[11]Functional Study'!#REF!</definedName>
    <definedName name="Acct41111SO" localSheetId="5">'[11]Functional Study'!#REF!</definedName>
    <definedName name="Acct41111SO" localSheetId="8">'[11]Functional Study'!#REF!</definedName>
    <definedName name="Acct41111SO" localSheetId="7">'[11]Functional Study'!#REF!</definedName>
    <definedName name="Acct41111SO" localSheetId="6">'[11]Functional Study'!#REF!</definedName>
    <definedName name="Acct41111SO" localSheetId="1">'[11]Functional Study'!#REF!</definedName>
    <definedName name="Acct41111SO" localSheetId="9">'[11]Functional Study'!#REF!</definedName>
    <definedName name="Acct41111SO">'[11]Functional Study'!#REF!</definedName>
    <definedName name="Acct41111TROJP" localSheetId="2">'[11]Functional Study'!#REF!</definedName>
    <definedName name="Acct41111TROJP" localSheetId="3">'[11]Functional Study'!#REF!</definedName>
    <definedName name="Acct41111TROJP" localSheetId="4">'[11]Functional Study'!#REF!</definedName>
    <definedName name="Acct41111TROJP" localSheetId="5">'[11]Functional Study'!#REF!</definedName>
    <definedName name="Acct41111TROJP" localSheetId="8">'[11]Functional Study'!#REF!</definedName>
    <definedName name="Acct41111TROJP" localSheetId="7">'[11]Functional Study'!#REF!</definedName>
    <definedName name="Acct41111TROJP" localSheetId="6">'[11]Functional Study'!#REF!</definedName>
    <definedName name="Acct41111TROJP" localSheetId="1">'[11]Functional Study'!#REF!</definedName>
    <definedName name="Acct41111TROJP" localSheetId="9">'[11]Functional Study'!#REF!</definedName>
    <definedName name="Acct41111TROJP">'[11]Functional Study'!#REF!</definedName>
    <definedName name="Acct411BADDEBT" localSheetId="2">'[11]Functional Study'!#REF!</definedName>
    <definedName name="Acct411BADDEBT" localSheetId="3">'[11]Functional Study'!#REF!</definedName>
    <definedName name="Acct411BADDEBT" localSheetId="4">'[11]Functional Study'!#REF!</definedName>
    <definedName name="Acct411BADDEBT" localSheetId="5">'[11]Functional Study'!#REF!</definedName>
    <definedName name="Acct411BADDEBT" localSheetId="8">'[11]Functional Study'!#REF!</definedName>
    <definedName name="Acct411BADDEBT" localSheetId="7">'[11]Functional Study'!#REF!</definedName>
    <definedName name="Acct411BADDEBT" localSheetId="6">'[11]Functional Study'!#REF!</definedName>
    <definedName name="Acct411BADDEBT" localSheetId="1">'[11]Functional Study'!#REF!</definedName>
    <definedName name="Acct411BADDEBT" localSheetId="9">'[11]Functional Study'!#REF!</definedName>
    <definedName name="Acct411BADDEBT">'[11]Functional Study'!#REF!</definedName>
    <definedName name="Acct411DGP" localSheetId="2">'[11]Functional Study'!#REF!</definedName>
    <definedName name="Acct411DGP" localSheetId="3">'[11]Functional Study'!#REF!</definedName>
    <definedName name="Acct411DGP" localSheetId="4">'[11]Functional Study'!#REF!</definedName>
    <definedName name="Acct411DGP" localSheetId="5">'[11]Functional Study'!#REF!</definedName>
    <definedName name="Acct411DGP" localSheetId="8">'[11]Functional Study'!#REF!</definedName>
    <definedName name="Acct411DGP" localSheetId="7">'[11]Functional Study'!#REF!</definedName>
    <definedName name="Acct411DGP" localSheetId="6">'[11]Functional Study'!#REF!</definedName>
    <definedName name="Acct411DGP" localSheetId="1">'[11]Functional Study'!#REF!</definedName>
    <definedName name="Acct411DGP" localSheetId="9">'[11]Functional Study'!#REF!</definedName>
    <definedName name="Acct411DGP">'[11]Functional Study'!#REF!</definedName>
    <definedName name="Acct411DGU" localSheetId="2">'[11]Functional Study'!#REF!</definedName>
    <definedName name="Acct411DGU" localSheetId="3">'[11]Functional Study'!#REF!</definedName>
    <definedName name="Acct411DGU" localSheetId="4">'[11]Functional Study'!#REF!</definedName>
    <definedName name="Acct411DGU" localSheetId="5">'[11]Functional Study'!#REF!</definedName>
    <definedName name="Acct411DGU" localSheetId="8">'[11]Functional Study'!#REF!</definedName>
    <definedName name="Acct411DGU" localSheetId="7">'[11]Functional Study'!#REF!</definedName>
    <definedName name="Acct411DGU" localSheetId="6">'[11]Functional Study'!#REF!</definedName>
    <definedName name="Acct411DGU" localSheetId="1">'[11]Functional Study'!#REF!</definedName>
    <definedName name="Acct411DGU" localSheetId="9">'[11]Functional Study'!#REF!</definedName>
    <definedName name="Acct411DGU">'[11]Functional Study'!#REF!</definedName>
    <definedName name="Acct411DITEXP" localSheetId="2">'[11]Functional Study'!#REF!</definedName>
    <definedName name="Acct411DITEXP" localSheetId="3">'[11]Functional Study'!#REF!</definedName>
    <definedName name="Acct411DITEXP" localSheetId="4">'[11]Functional Study'!#REF!</definedName>
    <definedName name="Acct411DITEXP" localSheetId="5">'[11]Functional Study'!#REF!</definedName>
    <definedName name="Acct411DITEXP" localSheetId="8">'[11]Functional Study'!#REF!</definedName>
    <definedName name="Acct411DITEXP" localSheetId="7">'[11]Functional Study'!#REF!</definedName>
    <definedName name="Acct411DITEXP" localSheetId="6">'[11]Functional Study'!#REF!</definedName>
    <definedName name="Acct411DITEXP" localSheetId="1">'[11]Functional Study'!#REF!</definedName>
    <definedName name="Acct411DITEXP" localSheetId="9">'[11]Functional Study'!#REF!</definedName>
    <definedName name="Acct411DITEXP">'[11]Functional Study'!#REF!</definedName>
    <definedName name="Acct411DNPP" localSheetId="2">'[11]Functional Study'!#REF!</definedName>
    <definedName name="Acct411DNPP" localSheetId="3">'[11]Functional Study'!#REF!</definedName>
    <definedName name="Acct411DNPP" localSheetId="4">'[11]Functional Study'!#REF!</definedName>
    <definedName name="Acct411DNPP" localSheetId="5">'[11]Functional Study'!#REF!</definedName>
    <definedName name="Acct411DNPP" localSheetId="8">'[11]Functional Study'!#REF!</definedName>
    <definedName name="Acct411DNPP" localSheetId="7">'[11]Functional Study'!#REF!</definedName>
    <definedName name="Acct411DNPP" localSheetId="6">'[11]Functional Study'!#REF!</definedName>
    <definedName name="Acct411DNPP" localSheetId="1">'[11]Functional Study'!#REF!</definedName>
    <definedName name="Acct411DNPP" localSheetId="9">'[11]Functional Study'!#REF!</definedName>
    <definedName name="Acct411DNPP">'[11]Functional Study'!#REF!</definedName>
    <definedName name="Acct411DNPTP" localSheetId="2">'[11]Functional Study'!#REF!</definedName>
    <definedName name="Acct411DNPTP" localSheetId="3">'[11]Functional Study'!#REF!</definedName>
    <definedName name="Acct411DNPTP" localSheetId="4">'[11]Functional Study'!#REF!</definedName>
    <definedName name="Acct411DNPTP" localSheetId="5">'[11]Functional Study'!#REF!</definedName>
    <definedName name="Acct411DNPTP" localSheetId="8">'[11]Functional Study'!#REF!</definedName>
    <definedName name="Acct411DNPTP" localSheetId="7">'[11]Functional Study'!#REF!</definedName>
    <definedName name="Acct411DNPTP" localSheetId="6">'[11]Functional Study'!#REF!</definedName>
    <definedName name="Acct411DNPTP" localSheetId="1">'[11]Functional Study'!#REF!</definedName>
    <definedName name="Acct411DNPTP" localSheetId="9">'[11]Functional Study'!#REF!</definedName>
    <definedName name="Acct411DNPTP">'[11]Functional Study'!#REF!</definedName>
    <definedName name="Acct411S" localSheetId="2">'[11]Functional Study'!#REF!</definedName>
    <definedName name="Acct411S" localSheetId="3">'[11]Functional Study'!#REF!</definedName>
    <definedName name="Acct411S" localSheetId="4">'[11]Functional Study'!#REF!</definedName>
    <definedName name="Acct411S" localSheetId="5">'[11]Functional Study'!#REF!</definedName>
    <definedName name="Acct411S" localSheetId="8">'[11]Functional Study'!#REF!</definedName>
    <definedName name="Acct411S" localSheetId="7">'[11]Functional Study'!#REF!</definedName>
    <definedName name="Acct411S" localSheetId="6">'[11]Functional Study'!#REF!</definedName>
    <definedName name="Acct411S" localSheetId="1">'[11]Functional Study'!#REF!</definedName>
    <definedName name="Acct411S" localSheetId="9">'[11]Functional Study'!#REF!</definedName>
    <definedName name="Acct411S">'[11]Functional Study'!#REF!</definedName>
    <definedName name="Acct411SE" localSheetId="2">'[11]Functional Study'!#REF!</definedName>
    <definedName name="Acct411SE" localSheetId="3">'[11]Functional Study'!#REF!</definedName>
    <definedName name="Acct411SE" localSheetId="4">'[11]Functional Study'!#REF!</definedName>
    <definedName name="Acct411SE" localSheetId="5">'[11]Functional Study'!#REF!</definedName>
    <definedName name="Acct411SE" localSheetId="8">'[11]Functional Study'!#REF!</definedName>
    <definedName name="Acct411SE" localSheetId="7">'[11]Functional Study'!#REF!</definedName>
    <definedName name="Acct411SE" localSheetId="6">'[11]Functional Study'!#REF!</definedName>
    <definedName name="Acct411SE" localSheetId="1">'[11]Functional Study'!#REF!</definedName>
    <definedName name="Acct411SE" localSheetId="9">'[11]Functional Study'!#REF!</definedName>
    <definedName name="Acct411SE">'[11]Functional Study'!#REF!</definedName>
    <definedName name="Acct411SG" localSheetId="2">'[11]Functional Study'!#REF!</definedName>
    <definedName name="Acct411SG" localSheetId="3">'[11]Functional Study'!#REF!</definedName>
    <definedName name="Acct411SG" localSheetId="4">'[11]Functional Study'!#REF!</definedName>
    <definedName name="Acct411SG" localSheetId="5">'[11]Functional Study'!#REF!</definedName>
    <definedName name="Acct411SG" localSheetId="8">'[11]Functional Study'!#REF!</definedName>
    <definedName name="Acct411SG" localSheetId="7">'[11]Functional Study'!#REF!</definedName>
    <definedName name="Acct411SG" localSheetId="6">'[11]Functional Study'!#REF!</definedName>
    <definedName name="Acct411SG" localSheetId="1">'[11]Functional Study'!#REF!</definedName>
    <definedName name="Acct411SG" localSheetId="9">'[11]Functional Study'!#REF!</definedName>
    <definedName name="Acct411SG">'[11]Functional Study'!#REF!</definedName>
    <definedName name="Acct411SGPP" localSheetId="2">'[11]Functional Study'!#REF!</definedName>
    <definedName name="Acct411SGPP" localSheetId="3">'[11]Functional Study'!#REF!</definedName>
    <definedName name="Acct411SGPP" localSheetId="4">'[11]Functional Study'!#REF!</definedName>
    <definedName name="Acct411SGPP" localSheetId="5">'[11]Functional Study'!#REF!</definedName>
    <definedName name="Acct411SGPP" localSheetId="8">'[11]Functional Study'!#REF!</definedName>
    <definedName name="Acct411SGPP" localSheetId="7">'[11]Functional Study'!#REF!</definedName>
    <definedName name="Acct411SGPP" localSheetId="6">'[11]Functional Study'!#REF!</definedName>
    <definedName name="Acct411SGPP" localSheetId="1">'[11]Functional Study'!#REF!</definedName>
    <definedName name="Acct411SGPP" localSheetId="9">'[11]Functional Study'!#REF!</definedName>
    <definedName name="Acct411SGPP">'[11]Functional Study'!#REF!</definedName>
    <definedName name="Acct411SO" localSheetId="2">'[11]Functional Study'!#REF!</definedName>
    <definedName name="Acct411SO" localSheetId="3">'[11]Functional Study'!#REF!</definedName>
    <definedName name="Acct411SO" localSheetId="4">'[11]Functional Study'!#REF!</definedName>
    <definedName name="Acct411SO" localSheetId="5">'[11]Functional Study'!#REF!</definedName>
    <definedName name="Acct411SO" localSheetId="8">'[11]Functional Study'!#REF!</definedName>
    <definedName name="Acct411SO" localSheetId="7">'[11]Functional Study'!#REF!</definedName>
    <definedName name="Acct411SO" localSheetId="6">'[11]Functional Study'!#REF!</definedName>
    <definedName name="Acct411SO" localSheetId="1">'[11]Functional Study'!#REF!</definedName>
    <definedName name="Acct411SO" localSheetId="9">'[11]Functional Study'!#REF!</definedName>
    <definedName name="Acct411SO">'[11]Functional Study'!#REF!</definedName>
    <definedName name="Acct411TROJP" localSheetId="2">'[11]Functional Study'!#REF!</definedName>
    <definedName name="Acct411TROJP" localSheetId="3">'[11]Functional Study'!#REF!</definedName>
    <definedName name="Acct411TROJP" localSheetId="4">'[11]Functional Study'!#REF!</definedName>
    <definedName name="Acct411TROJP" localSheetId="5">'[11]Functional Study'!#REF!</definedName>
    <definedName name="Acct411TROJP" localSheetId="8">'[11]Functional Study'!#REF!</definedName>
    <definedName name="Acct411TROJP" localSheetId="7">'[11]Functional Study'!#REF!</definedName>
    <definedName name="Acct411TROJP" localSheetId="6">'[11]Functional Study'!#REF!</definedName>
    <definedName name="Acct411TROJP" localSheetId="1">'[11]Functional Study'!#REF!</definedName>
    <definedName name="Acct411TROJP" localSheetId="9">'[11]Functional Study'!#REF!</definedName>
    <definedName name="Acct411TROJP">'[11]Functional Study'!#REF!</definedName>
    <definedName name="Acct447DGU" localSheetId="2">'[9]Func Study'!#REF!</definedName>
    <definedName name="Acct447DGU" localSheetId="3">'[9]Func Study'!#REF!</definedName>
    <definedName name="Acct447DGU" localSheetId="4">'[9]Func Study'!#REF!</definedName>
    <definedName name="Acct447DGU" localSheetId="5">'[9]Func Study'!#REF!</definedName>
    <definedName name="Acct447DGU" localSheetId="8">'[9]Func Study'!#REF!</definedName>
    <definedName name="Acct447DGU" localSheetId="7">'[9]Func Study'!#REF!</definedName>
    <definedName name="Acct447DGU" localSheetId="6">'[9]Func Study'!#REF!</definedName>
    <definedName name="Acct447DGU" localSheetId="1">'[9]Func Study'!#REF!</definedName>
    <definedName name="Acct447DGU" localSheetId="9">'[9]Func Study'!#REF!</definedName>
    <definedName name="Acct447DGU">'[9]Func Study'!#REF!</definedName>
    <definedName name="Acct448S">'[10]Func Study'!$H$274</definedName>
    <definedName name="Acct450S">'[10]Func Study'!$H$302</definedName>
    <definedName name="Acct451S">'[10]Func Study'!$H$307</definedName>
    <definedName name="Acct454S">'[10]Func Study'!$H$318</definedName>
    <definedName name="Acct456S">'[10]Func Study'!$H$325</definedName>
    <definedName name="Acct510" localSheetId="2">'[10]Func Study'!#REF!</definedName>
    <definedName name="Acct510" localSheetId="3">'[10]Func Study'!#REF!</definedName>
    <definedName name="Acct510" localSheetId="4">'[10]Func Study'!#REF!</definedName>
    <definedName name="Acct510" localSheetId="5">'[10]Func Study'!#REF!</definedName>
    <definedName name="Acct510" localSheetId="8">'[10]Func Study'!#REF!</definedName>
    <definedName name="Acct510" localSheetId="7">'[10]Func Study'!#REF!</definedName>
    <definedName name="Acct510" localSheetId="6">'[10]Func Study'!#REF!</definedName>
    <definedName name="Acct510" localSheetId="1">'[10]Func Study'!#REF!</definedName>
    <definedName name="Acct510" localSheetId="9">'[10]Func Study'!#REF!</definedName>
    <definedName name="Acct510">'[10]Func Study'!#REF!</definedName>
    <definedName name="Acct510DNPPSU" localSheetId="2">'[10]Func Study'!#REF!</definedName>
    <definedName name="Acct510DNPPSU" localSheetId="3">'[10]Func Study'!#REF!</definedName>
    <definedName name="Acct510DNPPSU" localSheetId="4">'[10]Func Study'!#REF!</definedName>
    <definedName name="Acct510DNPPSU" localSheetId="5">'[10]Func Study'!#REF!</definedName>
    <definedName name="Acct510DNPPSU" localSheetId="8">'[10]Func Study'!#REF!</definedName>
    <definedName name="Acct510DNPPSU" localSheetId="7">'[10]Func Study'!#REF!</definedName>
    <definedName name="Acct510DNPPSU" localSheetId="6">'[10]Func Study'!#REF!</definedName>
    <definedName name="Acct510DNPPSU" localSheetId="1">'[10]Func Study'!#REF!</definedName>
    <definedName name="Acct510DNPPSU" localSheetId="9">'[10]Func Study'!#REF!</definedName>
    <definedName name="Acct510DNPPSU">'[10]Func Study'!#REF!</definedName>
    <definedName name="ACCT510JBG" localSheetId="2">'[10]Func Study'!#REF!</definedName>
    <definedName name="ACCT510JBG" localSheetId="3">'[10]Func Study'!#REF!</definedName>
    <definedName name="ACCT510JBG" localSheetId="4">'[10]Func Study'!#REF!</definedName>
    <definedName name="ACCT510JBG" localSheetId="5">'[10]Func Study'!#REF!</definedName>
    <definedName name="ACCT510JBG" localSheetId="8">'[10]Func Study'!#REF!</definedName>
    <definedName name="ACCT510JBG" localSheetId="7">'[10]Func Study'!#REF!</definedName>
    <definedName name="ACCT510JBG" localSheetId="6">'[10]Func Study'!#REF!</definedName>
    <definedName name="ACCT510JBG" localSheetId="1">'[10]Func Study'!#REF!</definedName>
    <definedName name="ACCT510JBG" localSheetId="9">'[10]Func Study'!#REF!</definedName>
    <definedName name="ACCT510JBG">'[10]Func Study'!#REF!</definedName>
    <definedName name="ACCT510SSGCH" localSheetId="2">'[10]Func Study'!#REF!</definedName>
    <definedName name="ACCT510SSGCH" localSheetId="3">'[10]Func Study'!#REF!</definedName>
    <definedName name="ACCT510SSGCH" localSheetId="4">'[10]Func Study'!#REF!</definedName>
    <definedName name="ACCT510SSGCH" localSheetId="5">'[10]Func Study'!#REF!</definedName>
    <definedName name="ACCT510SSGCH" localSheetId="8">'[10]Func Study'!#REF!</definedName>
    <definedName name="ACCT510SSGCH" localSheetId="7">'[10]Func Study'!#REF!</definedName>
    <definedName name="ACCT510SSGCH" localSheetId="6">'[10]Func Study'!#REF!</definedName>
    <definedName name="ACCT510SSGCH" localSheetId="1">'[10]Func Study'!#REF!</definedName>
    <definedName name="ACCT510SSGCH" localSheetId="9">'[10]Func Study'!#REF!</definedName>
    <definedName name="ACCT510SSGCH">'[10]Func Study'!#REF!</definedName>
    <definedName name="ACCT557CAGE">'[10]Func Study'!$H$683</definedName>
    <definedName name="Acct557CT">'[10]Func Study'!$H$681</definedName>
    <definedName name="Acct580">'[10]Func Study'!$H$791</definedName>
    <definedName name="Acct581">'[10]Func Study'!$H$796</definedName>
    <definedName name="Acct582">'[10]Func Study'!$H$801</definedName>
    <definedName name="Acct583">'[10]Func Study'!$H$806</definedName>
    <definedName name="Acct584">'[10]Func Study'!$H$811</definedName>
    <definedName name="Acct585">'[10]Func Study'!$H$816</definedName>
    <definedName name="Acct586">'[10]Func Study'!$H$821</definedName>
    <definedName name="Acct587">'[10]Func Study'!$H$826</definedName>
    <definedName name="Acct588">'[10]Func Study'!$H$831</definedName>
    <definedName name="Acct589">'[10]Func Study'!$H$836</definedName>
    <definedName name="Acct590">'[10]Func Study'!$H$841</definedName>
    <definedName name="Acct591">'[10]Func Study'!$H$846</definedName>
    <definedName name="Acct592">'[10]Func Study'!$H$851</definedName>
    <definedName name="Acct593">'[10]Func Study'!$H$856</definedName>
    <definedName name="Acct594">'[10]Func Study'!$H$861</definedName>
    <definedName name="Acct595">'[10]Func Study'!$H$866</definedName>
    <definedName name="Acct596">'[10]Func Study'!$H$876</definedName>
    <definedName name="Acct597">'[10]Func Study'!$H$881</definedName>
    <definedName name="Acct598">'[10]Func Study'!$H$886</definedName>
    <definedName name="ACCT904SG" localSheetId="2">'[12]Functional Study'!#REF!</definedName>
    <definedName name="ACCT904SG" localSheetId="3">'[12]Functional Study'!#REF!</definedName>
    <definedName name="ACCT904SG" localSheetId="4">'[12]Functional Study'!#REF!</definedName>
    <definedName name="ACCT904SG" localSheetId="5">'[12]Functional Study'!#REF!</definedName>
    <definedName name="ACCT904SG" localSheetId="8">'[12]Functional Study'!#REF!</definedName>
    <definedName name="ACCT904SG" localSheetId="7">'[12]Functional Study'!#REF!</definedName>
    <definedName name="ACCT904SG" localSheetId="6">'[12]Functional Study'!#REF!</definedName>
    <definedName name="ACCT904SG" localSheetId="1">'[12]Functional Study'!#REF!</definedName>
    <definedName name="ACCT904SG" localSheetId="9">'[12]Functional Study'!#REF!</definedName>
    <definedName name="ACCT904SG">'[12]Functional Study'!#REF!</definedName>
    <definedName name="AcctAGA">'[10]Func Study'!$H$296</definedName>
    <definedName name="AcctDFAD" localSheetId="2">'[10]Func Study'!#REF!</definedName>
    <definedName name="AcctDFAD" localSheetId="3">'[10]Func Study'!#REF!</definedName>
    <definedName name="AcctDFAD" localSheetId="4">'[10]Func Study'!#REF!</definedName>
    <definedName name="AcctDFAD" localSheetId="5">'[10]Func Study'!#REF!</definedName>
    <definedName name="AcctDFAD" localSheetId="8">'[10]Func Study'!#REF!</definedName>
    <definedName name="AcctDFAD" localSheetId="7">'[10]Func Study'!#REF!</definedName>
    <definedName name="AcctDFAD" localSheetId="6">'[10]Func Study'!#REF!</definedName>
    <definedName name="AcctDFAD" localSheetId="1">'[10]Func Study'!#REF!</definedName>
    <definedName name="AcctDFAD" localSheetId="9">'[10]Func Study'!#REF!</definedName>
    <definedName name="AcctDFAD">'[10]Func Study'!#REF!</definedName>
    <definedName name="AcctDFAP" localSheetId="2">'[10]Func Study'!#REF!</definedName>
    <definedName name="AcctDFAP" localSheetId="3">'[10]Func Study'!#REF!</definedName>
    <definedName name="AcctDFAP" localSheetId="4">'[10]Func Study'!#REF!</definedName>
    <definedName name="AcctDFAP" localSheetId="5">'[10]Func Study'!#REF!</definedName>
    <definedName name="AcctDFAP" localSheetId="8">'[10]Func Study'!#REF!</definedName>
    <definedName name="AcctDFAP" localSheetId="7">'[10]Func Study'!#REF!</definedName>
    <definedName name="AcctDFAP" localSheetId="6">'[10]Func Study'!#REF!</definedName>
    <definedName name="AcctDFAP" localSheetId="1">'[10]Func Study'!#REF!</definedName>
    <definedName name="AcctDFAP" localSheetId="9">'[10]Func Study'!#REF!</definedName>
    <definedName name="AcctDFAP">'[10]Func Study'!#REF!</definedName>
    <definedName name="AcctDFAT" localSheetId="2">'[10]Func Study'!#REF!</definedName>
    <definedName name="AcctDFAT" localSheetId="3">'[10]Func Study'!#REF!</definedName>
    <definedName name="AcctDFAT" localSheetId="4">'[10]Func Study'!#REF!</definedName>
    <definedName name="AcctDFAT" localSheetId="5">'[10]Func Study'!#REF!</definedName>
    <definedName name="AcctDFAT" localSheetId="8">'[10]Func Study'!#REF!</definedName>
    <definedName name="AcctDFAT" localSheetId="7">'[10]Func Study'!#REF!</definedName>
    <definedName name="AcctDFAT" localSheetId="6">'[10]Func Study'!#REF!</definedName>
    <definedName name="AcctDFAT" localSheetId="1">'[10]Func Study'!#REF!</definedName>
    <definedName name="AcctDFAT" localSheetId="9">'[10]Func Study'!#REF!</definedName>
    <definedName name="AcctDFAT">'[10]Func Study'!#REF!</definedName>
    <definedName name="AcctTable">[13]Variables!$AK$42:$AK$396</definedName>
    <definedName name="AcctTS0">'[10]Func Study'!$H$1686</definedName>
    <definedName name="ActualROR">'[9]G+T+D+R+M'!$H$61</definedName>
    <definedName name="Adjs2avg">[14]Inputs!$L$255:'[14]Inputs'!$T$505</definedName>
    <definedName name="APR" localSheetId="2">[15]Backup!#REF!</definedName>
    <definedName name="APR" localSheetId="3">[15]Backup!#REF!</definedName>
    <definedName name="APR" localSheetId="4">[15]Backup!#REF!</definedName>
    <definedName name="APR" localSheetId="5">[15]Backup!#REF!</definedName>
    <definedName name="APR" localSheetId="8">[15]Backup!#REF!</definedName>
    <definedName name="APR" localSheetId="7">[15]Backup!#REF!</definedName>
    <definedName name="APR" localSheetId="6">[15]Backup!#REF!</definedName>
    <definedName name="APR" localSheetId="1">#REF!</definedName>
    <definedName name="APR" localSheetId="9">[15]Backup!#REF!</definedName>
    <definedName name="APR">[15]Backup!#REF!</definedName>
    <definedName name="APRT" localSheetId="2">#REF!</definedName>
    <definedName name="APRT" localSheetId="3">#REF!</definedName>
    <definedName name="APRT" localSheetId="4">#REF!</definedName>
    <definedName name="APRT" localSheetId="5">#REF!</definedName>
    <definedName name="APRT" localSheetId="8">#REF!</definedName>
    <definedName name="APRT" localSheetId="7">#REF!</definedName>
    <definedName name="APRT" localSheetId="6">#REF!</definedName>
    <definedName name="APRT" localSheetId="1">#REF!</definedName>
    <definedName name="APRT" localSheetId="9">#REF!</definedName>
    <definedName name="APRT">#REF!</definedName>
    <definedName name="AUG" localSheetId="2">[15]Backup!#REF!</definedName>
    <definedName name="AUG" localSheetId="3">[15]Backup!#REF!</definedName>
    <definedName name="AUG" localSheetId="4">[15]Backup!#REF!</definedName>
    <definedName name="AUG" localSheetId="5">[15]Backup!#REF!</definedName>
    <definedName name="AUG" localSheetId="8">[15]Backup!#REF!</definedName>
    <definedName name="AUG" localSheetId="7">[15]Backup!#REF!</definedName>
    <definedName name="AUG" localSheetId="6">[15]Backup!#REF!</definedName>
    <definedName name="AUG" localSheetId="1">#REF!</definedName>
    <definedName name="AUG" localSheetId="9">[15]Backup!#REF!</definedName>
    <definedName name="AUG">[15]Backup!#REF!</definedName>
    <definedName name="AUGT" localSheetId="2">#REF!</definedName>
    <definedName name="AUGT" localSheetId="3">#REF!</definedName>
    <definedName name="AUGT" localSheetId="4">#REF!</definedName>
    <definedName name="AUGT" localSheetId="5">#REF!</definedName>
    <definedName name="AUGT" localSheetId="8">#REF!</definedName>
    <definedName name="AUGT" localSheetId="7">#REF!</definedName>
    <definedName name="AUGT" localSheetId="6">#REF!</definedName>
    <definedName name="AUGT" localSheetId="1">#REF!</definedName>
    <definedName name="AUGT" localSheetId="9">#REF!</definedName>
    <definedName name="AUGT">#REF!</definedName>
    <definedName name="AvgFactors">[13]Factors!$B$3:$P$99</definedName>
    <definedName name="BACK1" localSheetId="2">#REF!</definedName>
    <definedName name="BACK1" localSheetId="3">#REF!</definedName>
    <definedName name="BACK1" localSheetId="4">#REF!</definedName>
    <definedName name="BACK1" localSheetId="5">#REF!</definedName>
    <definedName name="BACK1" localSheetId="8">#REF!</definedName>
    <definedName name="BACK1" localSheetId="7">#REF!</definedName>
    <definedName name="BACK1" localSheetId="6">#REF!</definedName>
    <definedName name="BACK1" localSheetId="1">#REF!</definedName>
    <definedName name="BACK1" localSheetId="9">#REF!</definedName>
    <definedName name="BACK1">#REF!</definedName>
    <definedName name="BACK2" localSheetId="2">#REF!</definedName>
    <definedName name="BACK2" localSheetId="3">#REF!</definedName>
    <definedName name="BACK2" localSheetId="4">#REF!</definedName>
    <definedName name="BACK2" localSheetId="5">#REF!</definedName>
    <definedName name="BACK2" localSheetId="8">#REF!</definedName>
    <definedName name="BACK2" localSheetId="7">#REF!</definedName>
    <definedName name="BACK2" localSheetId="6">#REF!</definedName>
    <definedName name="BACK2" localSheetId="1">#REF!</definedName>
    <definedName name="BACK2" localSheetId="9">#REF!</definedName>
    <definedName name="BACK2">#REF!</definedName>
    <definedName name="BACK3" localSheetId="2">#REF!</definedName>
    <definedName name="BACK3" localSheetId="3">#REF!</definedName>
    <definedName name="BACK3" localSheetId="4">#REF!</definedName>
    <definedName name="BACK3" localSheetId="5">#REF!</definedName>
    <definedName name="BACK3" localSheetId="8">#REF!</definedName>
    <definedName name="BACK3" localSheetId="7">#REF!</definedName>
    <definedName name="BACK3" localSheetId="6">#REF!</definedName>
    <definedName name="BACK3" localSheetId="1">#REF!</definedName>
    <definedName name="BACK3" localSheetId="9">#REF!</definedName>
    <definedName name="BACK3">#REF!</definedName>
    <definedName name="BACKUP1" localSheetId="2">#REF!</definedName>
    <definedName name="BACKUP1" localSheetId="3">#REF!</definedName>
    <definedName name="BACKUP1" localSheetId="4">#REF!</definedName>
    <definedName name="BACKUP1" localSheetId="5">#REF!</definedName>
    <definedName name="BACKUP1" localSheetId="8">#REF!</definedName>
    <definedName name="BACKUP1" localSheetId="7">#REF!</definedName>
    <definedName name="BACKUP1" localSheetId="6">#REF!</definedName>
    <definedName name="BACKUP1" localSheetId="1">#REF!</definedName>
    <definedName name="BACKUP1" localSheetId="9">#REF!</definedName>
    <definedName name="BACKUP1">#REF!</definedName>
    <definedName name="BOOKADJ" localSheetId="2">#REF!</definedName>
    <definedName name="BOOKADJ" localSheetId="3">#REF!</definedName>
    <definedName name="BOOKADJ" localSheetId="4">#REF!</definedName>
    <definedName name="BOOKADJ" localSheetId="5">#REF!</definedName>
    <definedName name="BOOKADJ" localSheetId="8">#REF!</definedName>
    <definedName name="BOOKADJ" localSheetId="7">#REF!</definedName>
    <definedName name="BOOKADJ" localSheetId="6">#REF!</definedName>
    <definedName name="BOOKADJ" localSheetId="1">#REF!</definedName>
    <definedName name="BOOKADJ" localSheetId="9">#REF!</definedName>
    <definedName name="BOOKADJ">#REF!</definedName>
    <definedName name="cap">[16]Readings!$B$2</definedName>
    <definedName name="Check" localSheetId="2">#REF!</definedName>
    <definedName name="Check" localSheetId="3">#REF!</definedName>
    <definedName name="Check" localSheetId="4">#REF!</definedName>
    <definedName name="Check" localSheetId="5">#REF!</definedName>
    <definedName name="Check" localSheetId="8">#REF!</definedName>
    <definedName name="Check" localSheetId="7">#REF!</definedName>
    <definedName name="Check" localSheetId="6">#REF!</definedName>
    <definedName name="Check" localSheetId="1">#REF!</definedName>
    <definedName name="Check" localSheetId="9">#REF!</definedName>
    <definedName name="Check">#REF!</definedName>
    <definedName name="Classification">'[10]Func Study'!$AB$251</definedName>
    <definedName name="COMADJ" localSheetId="2">#REF!</definedName>
    <definedName name="COMADJ" localSheetId="3">#REF!</definedName>
    <definedName name="COMADJ" localSheetId="4">#REF!</definedName>
    <definedName name="COMADJ" localSheetId="5">#REF!</definedName>
    <definedName name="COMADJ" localSheetId="8">#REF!</definedName>
    <definedName name="COMADJ" localSheetId="7">#REF!</definedName>
    <definedName name="COMADJ" localSheetId="6">#REF!</definedName>
    <definedName name="COMADJ" localSheetId="1">#REF!</definedName>
    <definedName name="COMADJ" localSheetId="9">#REF!</definedName>
    <definedName name="COMADJ">#REF!</definedName>
    <definedName name="COMP" localSheetId="2">#REF!</definedName>
    <definedName name="COMP" localSheetId="3">#REF!</definedName>
    <definedName name="COMP" localSheetId="4">#REF!</definedName>
    <definedName name="COMP" localSheetId="5">#REF!</definedName>
    <definedName name="COMP" localSheetId="8">#REF!</definedName>
    <definedName name="COMP" localSheetId="7">#REF!</definedName>
    <definedName name="COMP" localSheetId="6">#REF!</definedName>
    <definedName name="COMP" localSheetId="1">#REF!</definedName>
    <definedName name="COMP" localSheetId="9">#REF!</definedName>
    <definedName name="COMP">#REF!</definedName>
    <definedName name="COMPACTUAL" localSheetId="2">#REF!</definedName>
    <definedName name="COMPACTUAL" localSheetId="3">#REF!</definedName>
    <definedName name="COMPACTUAL" localSheetId="4">#REF!</definedName>
    <definedName name="COMPACTUAL" localSheetId="5">#REF!</definedName>
    <definedName name="COMPACTUAL" localSheetId="8">#REF!</definedName>
    <definedName name="COMPACTUAL" localSheetId="7">#REF!</definedName>
    <definedName name="COMPACTUAL" localSheetId="6">#REF!</definedName>
    <definedName name="COMPACTUAL" localSheetId="1">#REF!</definedName>
    <definedName name="COMPACTUAL" localSheetId="9">#REF!</definedName>
    <definedName name="COMPACTUAL">#REF!</definedName>
    <definedName name="COMPT" localSheetId="2">#REF!</definedName>
    <definedName name="COMPT" localSheetId="3">#REF!</definedName>
    <definedName name="COMPT" localSheetId="4">#REF!</definedName>
    <definedName name="COMPT" localSheetId="5">#REF!</definedName>
    <definedName name="COMPT" localSheetId="8">#REF!</definedName>
    <definedName name="COMPT" localSheetId="7">#REF!</definedName>
    <definedName name="COMPT" localSheetId="6">#REF!</definedName>
    <definedName name="COMPT" localSheetId="1">#REF!</definedName>
    <definedName name="COMPT" localSheetId="9">#REF!</definedName>
    <definedName name="COMPT">#REF!</definedName>
    <definedName name="COMPWEATHER" localSheetId="2">#REF!</definedName>
    <definedName name="COMPWEATHER" localSheetId="3">#REF!</definedName>
    <definedName name="COMPWEATHER" localSheetId="4">#REF!</definedName>
    <definedName name="COMPWEATHER" localSheetId="5">#REF!</definedName>
    <definedName name="COMPWEATHER" localSheetId="8">#REF!</definedName>
    <definedName name="COMPWEATHER" localSheetId="7">#REF!</definedName>
    <definedName name="COMPWEATHER" localSheetId="6">#REF!</definedName>
    <definedName name="COMPWEATHER" localSheetId="1">#REF!</definedName>
    <definedName name="COMPWEATHER" localSheetId="9">#REF!</definedName>
    <definedName name="COMPWEATHER">#REF!</definedName>
    <definedName name="COSFacVal">[10]Inputs!$R$5</definedName>
    <definedName name="_xlnm.Database" localSheetId="2">[17]Invoice!#REF!</definedName>
    <definedName name="_xlnm.Database" localSheetId="3">[17]Invoice!#REF!</definedName>
    <definedName name="_xlnm.Database" localSheetId="4">[17]Invoice!#REF!</definedName>
    <definedName name="_xlnm.Database" localSheetId="5">[17]Invoice!#REF!</definedName>
    <definedName name="_xlnm.Database" localSheetId="8">[17]Invoice!#REF!</definedName>
    <definedName name="_xlnm.Database" localSheetId="7">[17]Invoice!#REF!</definedName>
    <definedName name="_xlnm.Database" localSheetId="6">[17]Invoice!#REF!</definedName>
    <definedName name="_xlnm.Database" localSheetId="1">[17]Invoice!#REF!</definedName>
    <definedName name="_xlnm.Database" localSheetId="9">[17]Invoice!#REF!</definedName>
    <definedName name="_xlnm.Database">[17]Invoice!#REF!</definedName>
    <definedName name="DATE" localSheetId="2">[18]Jan!#REF!</definedName>
    <definedName name="DATE" localSheetId="3">[18]Jan!#REF!</definedName>
    <definedName name="DATE" localSheetId="4">[18]Jan!#REF!</definedName>
    <definedName name="DATE" localSheetId="5">[18]Jan!#REF!</definedName>
    <definedName name="DATE" localSheetId="8">[18]Jan!#REF!</definedName>
    <definedName name="DATE" localSheetId="7">[18]Jan!#REF!</definedName>
    <definedName name="DATE" localSheetId="6">[18]Jan!#REF!</definedName>
    <definedName name="DATE" localSheetId="1">[18]Jan!#REF!</definedName>
    <definedName name="DATE" localSheetId="9">[18]Jan!#REF!</definedName>
    <definedName name="DATE">[18]Jan!#REF!</definedName>
    <definedName name="DEC" localSheetId="2">[15]Backup!#REF!</definedName>
    <definedName name="DEC" localSheetId="3">[15]Backup!#REF!</definedName>
    <definedName name="DEC" localSheetId="4">[15]Backup!#REF!</definedName>
    <definedName name="DEC" localSheetId="5">[15]Backup!#REF!</definedName>
    <definedName name="DEC" localSheetId="8">[15]Backup!#REF!</definedName>
    <definedName name="DEC" localSheetId="7">[15]Backup!#REF!</definedName>
    <definedName name="DEC" localSheetId="6">[15]Backup!#REF!</definedName>
    <definedName name="DEC" localSheetId="1">#REF!</definedName>
    <definedName name="DEC" localSheetId="9">[15]Backup!#REF!</definedName>
    <definedName name="DEC">[15]Backup!#REF!</definedName>
    <definedName name="DECT" localSheetId="2">#REF!</definedName>
    <definedName name="DECT" localSheetId="3">#REF!</definedName>
    <definedName name="DECT" localSheetId="4">#REF!</definedName>
    <definedName name="DECT" localSheetId="5">#REF!</definedName>
    <definedName name="DECT" localSheetId="8">#REF!</definedName>
    <definedName name="DECT" localSheetId="7">#REF!</definedName>
    <definedName name="DECT" localSheetId="6">#REF!</definedName>
    <definedName name="DECT" localSheetId="1">#REF!</definedName>
    <definedName name="DECT" localSheetId="9">#REF!</definedName>
    <definedName name="DECT">#REF!</definedName>
    <definedName name="Demand">[9]Inputs!$D$8</definedName>
    <definedName name="Demand2">[19]Inputs!$D$11</definedName>
    <definedName name="Dis">'[10]Func Study'!$AB$250</definedName>
    <definedName name="DisFac">'[10]Func Dist Factor Table'!$A$11:$G$25</definedName>
    <definedName name="Dist_factor" localSheetId="2">#REF!</definedName>
    <definedName name="Dist_factor" localSheetId="3">#REF!</definedName>
    <definedName name="Dist_factor" localSheetId="4">#REF!</definedName>
    <definedName name="Dist_factor" localSheetId="5">#REF!</definedName>
    <definedName name="Dist_factor" localSheetId="8">#REF!</definedName>
    <definedName name="Dist_factor" localSheetId="7">#REF!</definedName>
    <definedName name="Dist_factor" localSheetId="6">#REF!</definedName>
    <definedName name="Dist_factor" localSheetId="1">#REF!</definedName>
    <definedName name="Dist_factor" localSheetId="9">#REF!</definedName>
    <definedName name="Dist_factor">#REF!</definedName>
    <definedName name="DistPeakMethod" localSheetId="2">[12]Inputs!#REF!</definedName>
    <definedName name="DistPeakMethod" localSheetId="3">[12]Inputs!#REF!</definedName>
    <definedName name="DistPeakMethod" localSheetId="4">[12]Inputs!#REF!</definedName>
    <definedName name="DistPeakMethod" localSheetId="5">[12]Inputs!#REF!</definedName>
    <definedName name="DistPeakMethod" localSheetId="8">[12]Inputs!#REF!</definedName>
    <definedName name="DistPeakMethod" localSheetId="7">[12]Inputs!#REF!</definedName>
    <definedName name="DistPeakMethod" localSheetId="6">[12]Inputs!#REF!</definedName>
    <definedName name="DistPeakMethod" localSheetId="1">[12]Inputs!#REF!</definedName>
    <definedName name="DistPeakMethod" localSheetId="9">[12]Inputs!#REF!</definedName>
    <definedName name="DistPeakMethod">[12]Inputs!#REF!</definedName>
    <definedName name="DUDE" localSheetId="2" hidden="1">#REF!</definedName>
    <definedName name="DUDE" localSheetId="3" hidden="1">#REF!</definedName>
    <definedName name="DUDE" localSheetId="4" hidden="1">#REF!</definedName>
    <definedName name="DUDE" localSheetId="5" hidden="1">#REF!</definedName>
    <definedName name="DUDE" localSheetId="8" hidden="1">#REF!</definedName>
    <definedName name="DUDE" localSheetId="7" hidden="1">#REF!</definedName>
    <definedName name="DUDE" localSheetId="6" hidden="1">#REF!</definedName>
    <definedName name="DUDE" localSheetId="1" hidden="1">#REF!</definedName>
    <definedName name="DUDE" localSheetId="9" hidden="1">#REF!</definedName>
    <definedName name="DUDE" hidden="1">#REF!</definedName>
    <definedName name="energy">[16]Readings!$B$3</definedName>
    <definedName name="Engy">[9]Inputs!$D$9</definedName>
    <definedName name="Engy2">[19]Inputs!$D$12</definedName>
    <definedName name="f101top" localSheetId="2">#REF!</definedName>
    <definedName name="f101top" localSheetId="3">#REF!</definedName>
    <definedName name="f101top" localSheetId="4">#REF!</definedName>
    <definedName name="f101top" localSheetId="5">#REF!</definedName>
    <definedName name="f101top" localSheetId="8">#REF!</definedName>
    <definedName name="f101top" localSheetId="7">#REF!</definedName>
    <definedName name="f101top" localSheetId="6">#REF!</definedName>
    <definedName name="f101top" localSheetId="1">#REF!</definedName>
    <definedName name="f101top" localSheetId="9">#REF!</definedName>
    <definedName name="f101top">#REF!</definedName>
    <definedName name="f104top" localSheetId="2">#REF!</definedName>
    <definedName name="f104top" localSheetId="3">#REF!</definedName>
    <definedName name="f104top" localSheetId="4">#REF!</definedName>
    <definedName name="f104top" localSheetId="5">#REF!</definedName>
    <definedName name="f104top" localSheetId="8">#REF!</definedName>
    <definedName name="f104top" localSheetId="7">#REF!</definedName>
    <definedName name="f104top" localSheetId="6">#REF!</definedName>
    <definedName name="f104top" localSheetId="1">#REF!</definedName>
    <definedName name="f104top" localSheetId="9">#REF!</definedName>
    <definedName name="f104top">#REF!</definedName>
    <definedName name="f138top" localSheetId="2">#REF!</definedName>
    <definedName name="f138top" localSheetId="3">#REF!</definedName>
    <definedName name="f138top" localSheetId="4">#REF!</definedName>
    <definedName name="f138top" localSheetId="5">#REF!</definedName>
    <definedName name="f138top" localSheetId="8">#REF!</definedName>
    <definedName name="f138top" localSheetId="7">#REF!</definedName>
    <definedName name="f138top" localSheetId="6">#REF!</definedName>
    <definedName name="f138top" localSheetId="1">#REF!</definedName>
    <definedName name="f138top" localSheetId="9">#REF!</definedName>
    <definedName name="f138top">#REF!</definedName>
    <definedName name="f140top" localSheetId="2">#REF!</definedName>
    <definedName name="f140top" localSheetId="3">#REF!</definedName>
    <definedName name="f140top" localSheetId="4">#REF!</definedName>
    <definedName name="f140top" localSheetId="5">#REF!</definedName>
    <definedName name="f140top" localSheetId="8">#REF!</definedName>
    <definedName name="f140top" localSheetId="7">#REF!</definedName>
    <definedName name="f140top" localSheetId="6">#REF!</definedName>
    <definedName name="f140top" localSheetId="1">#REF!</definedName>
    <definedName name="f140top" localSheetId="9">#REF!</definedName>
    <definedName name="f140top">#REF!</definedName>
    <definedName name="Factorck">'[10]COS Factor Table'!$O$15:$O$113</definedName>
    <definedName name="FactorType">[13]Variables!$AK$2:$AL$12</definedName>
    <definedName name="FACTP" localSheetId="2">#REF!</definedName>
    <definedName name="FACTP" localSheetId="3">#REF!</definedName>
    <definedName name="FACTP" localSheetId="4">#REF!</definedName>
    <definedName name="FACTP" localSheetId="5">#REF!</definedName>
    <definedName name="FACTP" localSheetId="8">#REF!</definedName>
    <definedName name="FACTP" localSheetId="7">#REF!</definedName>
    <definedName name="FACTP" localSheetId="6">#REF!</definedName>
    <definedName name="FACTP" localSheetId="1">#REF!</definedName>
    <definedName name="FACTP" localSheetId="9">#REF!</definedName>
    <definedName name="FACTP">#REF!</definedName>
    <definedName name="FactSum">'[10]COS Factor Table'!$A$14:$O$113</definedName>
    <definedName name="FEB" localSheetId="2">[15]Backup!#REF!</definedName>
    <definedName name="FEB" localSheetId="3">[15]Backup!#REF!</definedName>
    <definedName name="FEB" localSheetId="4">[15]Backup!#REF!</definedName>
    <definedName name="FEB" localSheetId="5">[15]Backup!#REF!</definedName>
    <definedName name="FEB" localSheetId="8">[15]Backup!#REF!</definedName>
    <definedName name="FEB" localSheetId="7">[15]Backup!#REF!</definedName>
    <definedName name="FEB" localSheetId="6">[15]Backup!#REF!</definedName>
    <definedName name="FEB" localSheetId="1">#REF!</definedName>
    <definedName name="FEB" localSheetId="9">[15]Backup!#REF!</definedName>
    <definedName name="FEB">[15]Backup!#REF!</definedName>
    <definedName name="FEBT" localSheetId="2">#REF!</definedName>
    <definedName name="FEBT" localSheetId="3">#REF!</definedName>
    <definedName name="FEBT" localSheetId="4">#REF!</definedName>
    <definedName name="FEBT" localSheetId="5">#REF!</definedName>
    <definedName name="FEBT" localSheetId="8">#REF!</definedName>
    <definedName name="FEBT" localSheetId="7">#REF!</definedName>
    <definedName name="FEBT" localSheetId="6">#REF!</definedName>
    <definedName name="FEBT" localSheetId="1">#REF!</definedName>
    <definedName name="FEBT" localSheetId="9">#REF!</definedName>
    <definedName name="FEBT">#REF!</definedName>
    <definedName name="FranchiseTax">[14]Variables!$D$26</definedName>
    <definedName name="Func">'[10]Func Factor Table'!$A$10:$H$77</definedName>
    <definedName name="Func_Ftrs" localSheetId="2">#REF!</definedName>
    <definedName name="Func_Ftrs" localSheetId="3">#REF!</definedName>
    <definedName name="Func_Ftrs" localSheetId="4">#REF!</definedName>
    <definedName name="Func_Ftrs" localSheetId="5">#REF!</definedName>
    <definedName name="Func_Ftrs" localSheetId="8">#REF!</definedName>
    <definedName name="Func_Ftrs" localSheetId="7">#REF!</definedName>
    <definedName name="Func_Ftrs" localSheetId="6">#REF!</definedName>
    <definedName name="Func_Ftrs" localSheetId="1">#REF!</definedName>
    <definedName name="Func_Ftrs" localSheetId="9">#REF!</definedName>
    <definedName name="Func_Ftrs">#REF!</definedName>
    <definedName name="Func_GTD_Percents" localSheetId="2">#REF!</definedName>
    <definedName name="Func_GTD_Percents" localSheetId="3">#REF!</definedName>
    <definedName name="Func_GTD_Percents" localSheetId="4">#REF!</definedName>
    <definedName name="Func_GTD_Percents" localSheetId="5">#REF!</definedName>
    <definedName name="Func_GTD_Percents" localSheetId="8">#REF!</definedName>
    <definedName name="Func_GTD_Percents" localSheetId="7">#REF!</definedName>
    <definedName name="Func_GTD_Percents" localSheetId="6">#REF!</definedName>
    <definedName name="Func_GTD_Percents" localSheetId="1">#REF!</definedName>
    <definedName name="Func_GTD_Percents" localSheetId="9">#REF!</definedName>
    <definedName name="Func_GTD_Percents">#REF!</definedName>
    <definedName name="Func_MC" localSheetId="2">#REF!</definedName>
    <definedName name="Func_MC" localSheetId="3">#REF!</definedName>
    <definedName name="Func_MC" localSheetId="4">#REF!</definedName>
    <definedName name="Func_MC" localSheetId="5">#REF!</definedName>
    <definedName name="Func_MC" localSheetId="8">#REF!</definedName>
    <definedName name="Func_MC" localSheetId="7">#REF!</definedName>
    <definedName name="Func_MC" localSheetId="6">#REF!</definedName>
    <definedName name="Func_MC" localSheetId="1">#REF!</definedName>
    <definedName name="Func_MC" localSheetId="9">#REF!</definedName>
    <definedName name="Func_MC">#REF!</definedName>
    <definedName name="Func_Percents" localSheetId="2">#REF!</definedName>
    <definedName name="Func_Percents" localSheetId="3">#REF!</definedName>
    <definedName name="Func_Percents" localSheetId="4">#REF!</definedName>
    <definedName name="Func_Percents" localSheetId="5">#REF!</definedName>
    <definedName name="Func_Percents" localSheetId="8">#REF!</definedName>
    <definedName name="Func_Percents" localSheetId="7">#REF!</definedName>
    <definedName name="Func_Percents" localSheetId="6">#REF!</definedName>
    <definedName name="Func_Percents" localSheetId="1">#REF!</definedName>
    <definedName name="Func_Percents" localSheetId="9">#REF!</definedName>
    <definedName name="Func_Percents">#REF!</definedName>
    <definedName name="Func_Rev_Req1" localSheetId="2">#REF!</definedName>
    <definedName name="Func_Rev_Req1" localSheetId="3">#REF!</definedName>
    <definedName name="Func_Rev_Req1" localSheetId="4">#REF!</definedName>
    <definedName name="Func_Rev_Req1" localSheetId="5">#REF!</definedName>
    <definedName name="Func_Rev_Req1" localSheetId="8">#REF!</definedName>
    <definedName name="Func_Rev_Req1" localSheetId="7">#REF!</definedName>
    <definedName name="Func_Rev_Req1" localSheetId="6">#REF!</definedName>
    <definedName name="Func_Rev_Req1" localSheetId="1">#REF!</definedName>
    <definedName name="Func_Rev_Req1" localSheetId="9">#REF!</definedName>
    <definedName name="Func_Rev_Req1">#REF!</definedName>
    <definedName name="Func_Rev_Req2" localSheetId="2">#REF!</definedName>
    <definedName name="Func_Rev_Req2" localSheetId="3">#REF!</definedName>
    <definedName name="Func_Rev_Req2" localSheetId="4">#REF!</definedName>
    <definedName name="Func_Rev_Req2" localSheetId="5">#REF!</definedName>
    <definedName name="Func_Rev_Req2" localSheetId="8">#REF!</definedName>
    <definedName name="Func_Rev_Req2" localSheetId="7">#REF!</definedName>
    <definedName name="Func_Rev_Req2" localSheetId="6">#REF!</definedName>
    <definedName name="Func_Rev_Req2" localSheetId="1">#REF!</definedName>
    <definedName name="Func_Rev_Req2" localSheetId="9">#REF!</definedName>
    <definedName name="Func_Rev_Req2">#REF!</definedName>
    <definedName name="Func_Revenue" localSheetId="2">#REF!</definedName>
    <definedName name="Func_Revenue" localSheetId="3">#REF!</definedName>
    <definedName name="Func_Revenue" localSheetId="4">#REF!</definedName>
    <definedName name="Func_Revenue" localSheetId="5">#REF!</definedName>
    <definedName name="Func_Revenue" localSheetId="8">#REF!</definedName>
    <definedName name="Func_Revenue" localSheetId="7">#REF!</definedName>
    <definedName name="Func_Revenue" localSheetId="6">#REF!</definedName>
    <definedName name="Func_Revenue" localSheetId="1">#REF!</definedName>
    <definedName name="Func_Revenue" localSheetId="9">#REF!</definedName>
    <definedName name="Func_Revenue">#REF!</definedName>
    <definedName name="Function">'[10]Func Study'!$AB$250</definedName>
    <definedName name="GREATER10MW" localSheetId="2">#REF!</definedName>
    <definedName name="GREATER10MW" localSheetId="3">#REF!</definedName>
    <definedName name="GREATER10MW" localSheetId="4">#REF!</definedName>
    <definedName name="GREATER10MW" localSheetId="5">#REF!</definedName>
    <definedName name="GREATER10MW" localSheetId="8">#REF!</definedName>
    <definedName name="GREATER10MW" localSheetId="7">#REF!</definedName>
    <definedName name="GREATER10MW" localSheetId="6">#REF!</definedName>
    <definedName name="GREATER10MW" localSheetId="1">#REF!</definedName>
    <definedName name="GREATER10MW" localSheetId="9">#REF!</definedName>
    <definedName name="GREATER10MW">#REF!</definedName>
    <definedName name="GTD_Percents" localSheetId="2">#REF!</definedName>
    <definedName name="GTD_Percents" localSheetId="3">#REF!</definedName>
    <definedName name="GTD_Percents" localSheetId="4">#REF!</definedName>
    <definedName name="GTD_Percents" localSheetId="5">#REF!</definedName>
    <definedName name="GTD_Percents" localSheetId="8">#REF!</definedName>
    <definedName name="GTD_Percents" localSheetId="7">#REF!</definedName>
    <definedName name="GTD_Percents" localSheetId="6">#REF!</definedName>
    <definedName name="GTD_Percents" localSheetId="1">#REF!</definedName>
    <definedName name="GTD_Percents" localSheetId="9">#REF!</definedName>
    <definedName name="GTD_Percents">#REF!</definedName>
    <definedName name="HEIGHT" localSheetId="2">#REF!</definedName>
    <definedName name="HEIGHT" localSheetId="3">#REF!</definedName>
    <definedName name="HEIGHT" localSheetId="4">#REF!</definedName>
    <definedName name="HEIGHT" localSheetId="5">#REF!</definedName>
    <definedName name="HEIGHT" localSheetId="8">#REF!</definedName>
    <definedName name="HEIGHT" localSheetId="7">#REF!</definedName>
    <definedName name="HEIGHT" localSheetId="6">#REF!</definedName>
    <definedName name="HEIGHT" localSheetId="1">#REF!</definedName>
    <definedName name="HEIGHT" localSheetId="9">#REF!</definedName>
    <definedName name="HEIGHT">#REF!</definedName>
    <definedName name="ID_0303_RVN_data" localSheetId="2">#REF!</definedName>
    <definedName name="ID_0303_RVN_data" localSheetId="3">#REF!</definedName>
    <definedName name="ID_0303_RVN_data" localSheetId="4">#REF!</definedName>
    <definedName name="ID_0303_RVN_data" localSheetId="5">#REF!</definedName>
    <definedName name="ID_0303_RVN_data" localSheetId="8">#REF!</definedName>
    <definedName name="ID_0303_RVN_data" localSheetId="7">#REF!</definedName>
    <definedName name="ID_0303_RVN_data" localSheetId="6">#REF!</definedName>
    <definedName name="ID_0303_RVN_data" localSheetId="1">#REF!</definedName>
    <definedName name="ID_0303_RVN_data" localSheetId="9">#REF!</definedName>
    <definedName name="ID_0303_RVN_data">#REF!</definedName>
    <definedName name="IDcontractsRVN" localSheetId="2">#REF!</definedName>
    <definedName name="IDcontractsRVN" localSheetId="3">#REF!</definedName>
    <definedName name="IDcontractsRVN" localSheetId="4">#REF!</definedName>
    <definedName name="IDcontractsRVN" localSheetId="5">#REF!</definedName>
    <definedName name="IDcontractsRVN" localSheetId="8">#REF!</definedName>
    <definedName name="IDcontractsRVN" localSheetId="7">#REF!</definedName>
    <definedName name="IDcontractsRVN" localSheetId="6">#REF!</definedName>
    <definedName name="IDcontractsRVN" localSheetId="1">#REF!</definedName>
    <definedName name="IDcontractsRVN" localSheetId="9">#REF!</definedName>
    <definedName name="IDcontractsRVN">#REF!</definedName>
    <definedName name="INDADJ" localSheetId="2">#REF!</definedName>
    <definedName name="INDADJ" localSheetId="3">#REF!</definedName>
    <definedName name="INDADJ" localSheetId="4">#REF!</definedName>
    <definedName name="INDADJ" localSheetId="5">#REF!</definedName>
    <definedName name="INDADJ" localSheetId="8">#REF!</definedName>
    <definedName name="INDADJ" localSheetId="7">#REF!</definedName>
    <definedName name="INDADJ" localSheetId="6">#REF!</definedName>
    <definedName name="INDADJ" localSheetId="1">#REF!</definedName>
    <definedName name="INDADJ" localSheetId="9">#REF!</definedName>
    <definedName name="INDADJ">#REF!</definedName>
    <definedName name="INPUT" localSheetId="2">[20]Summary!#REF!</definedName>
    <definedName name="INPUT" localSheetId="3">[20]Summary!#REF!</definedName>
    <definedName name="INPUT" localSheetId="4">[20]Summary!#REF!</definedName>
    <definedName name="INPUT" localSheetId="5">[20]Summary!#REF!</definedName>
    <definedName name="INPUT" localSheetId="8">[20]Summary!#REF!</definedName>
    <definedName name="INPUT" localSheetId="7">[20]Summary!#REF!</definedName>
    <definedName name="INPUT" localSheetId="6">[20]Summary!#REF!</definedName>
    <definedName name="INPUT" localSheetId="1">[20]Summary!#REF!</definedName>
    <definedName name="INPUT" localSheetId="9">[20]Summary!#REF!</definedName>
    <definedName name="INPUT">[20]Summary!#REF!</definedName>
    <definedName name="Instructions" localSheetId="2">#REF!</definedName>
    <definedName name="Instructions" localSheetId="3">#REF!</definedName>
    <definedName name="Instructions" localSheetId="4">#REF!</definedName>
    <definedName name="Instructions" localSheetId="5">#REF!</definedName>
    <definedName name="Instructions" localSheetId="8">#REF!</definedName>
    <definedName name="Instructions" localSheetId="7">#REF!</definedName>
    <definedName name="Instructions" localSheetId="6">#REF!</definedName>
    <definedName name="Instructions" localSheetId="1">#REF!</definedName>
    <definedName name="Instructions" localSheetId="9">#REF!</definedName>
    <definedName name="Instructions">#REF!</definedName>
    <definedName name="JAN" localSheetId="2">[15]Backup!#REF!</definedName>
    <definedName name="JAN" localSheetId="3">[15]Backup!#REF!</definedName>
    <definedName name="JAN" localSheetId="4">[15]Backup!#REF!</definedName>
    <definedName name="JAN" localSheetId="5">[15]Backup!#REF!</definedName>
    <definedName name="JAN" localSheetId="8">[15]Backup!#REF!</definedName>
    <definedName name="JAN" localSheetId="7">[15]Backup!#REF!</definedName>
    <definedName name="JAN" localSheetId="6">[15]Backup!#REF!</definedName>
    <definedName name="JAN" localSheetId="1">#REF!</definedName>
    <definedName name="JAN" localSheetId="9">[15]Backup!#REF!</definedName>
    <definedName name="JAN">[15]Backup!#REF!</definedName>
    <definedName name="JANT" localSheetId="2">#REF!</definedName>
    <definedName name="JANT" localSheetId="3">#REF!</definedName>
    <definedName name="JANT" localSheetId="4">#REF!</definedName>
    <definedName name="JANT" localSheetId="5">#REF!</definedName>
    <definedName name="JANT" localSheetId="8">#REF!</definedName>
    <definedName name="JANT" localSheetId="7">#REF!</definedName>
    <definedName name="JANT" localSheetId="6">#REF!</definedName>
    <definedName name="JANT" localSheetId="1">#REF!</definedName>
    <definedName name="JANT" localSheetId="9">#REF!</definedName>
    <definedName name="JANT">#REF!</definedName>
    <definedName name="jjj">[21]Inputs!$N$18</definedName>
    <definedName name="JUL" localSheetId="2">[15]Backup!#REF!</definedName>
    <definedName name="JUL" localSheetId="3">[15]Backup!#REF!</definedName>
    <definedName name="JUL" localSheetId="4">[15]Backup!#REF!</definedName>
    <definedName name="JUL" localSheetId="5">[15]Backup!#REF!</definedName>
    <definedName name="JUL" localSheetId="8">[15]Backup!#REF!</definedName>
    <definedName name="JUL" localSheetId="7">[15]Backup!#REF!</definedName>
    <definedName name="JUL" localSheetId="6">[15]Backup!#REF!</definedName>
    <definedName name="JUL" localSheetId="1">#REF!</definedName>
    <definedName name="JUL" localSheetId="9">[15]Backup!#REF!</definedName>
    <definedName name="JUL">[15]Backup!#REF!</definedName>
    <definedName name="JULT" localSheetId="2">#REF!</definedName>
    <definedName name="JULT" localSheetId="3">#REF!</definedName>
    <definedName name="JULT" localSheetId="4">#REF!</definedName>
    <definedName name="JULT" localSheetId="5">#REF!</definedName>
    <definedName name="JULT" localSheetId="8">#REF!</definedName>
    <definedName name="JULT" localSheetId="7">#REF!</definedName>
    <definedName name="JULT" localSheetId="6">#REF!</definedName>
    <definedName name="JULT" localSheetId="1">#REF!</definedName>
    <definedName name="JULT" localSheetId="9">#REF!</definedName>
    <definedName name="JULT">#REF!</definedName>
    <definedName name="JUN" localSheetId="2">[15]Backup!#REF!</definedName>
    <definedName name="JUN" localSheetId="3">[15]Backup!#REF!</definedName>
    <definedName name="JUN" localSheetId="4">[15]Backup!#REF!</definedName>
    <definedName name="JUN" localSheetId="5">[15]Backup!#REF!</definedName>
    <definedName name="JUN" localSheetId="8">[15]Backup!#REF!</definedName>
    <definedName name="JUN" localSheetId="7">[15]Backup!#REF!</definedName>
    <definedName name="JUN" localSheetId="6">[15]Backup!#REF!</definedName>
    <definedName name="JUN" localSheetId="1">#REF!</definedName>
    <definedName name="JUN" localSheetId="9">[15]Backup!#REF!</definedName>
    <definedName name="JUN">[15]Backup!#REF!</definedName>
    <definedName name="JUNT" localSheetId="2">#REF!</definedName>
    <definedName name="JUNT" localSheetId="3">#REF!</definedName>
    <definedName name="JUNT" localSheetId="4">#REF!</definedName>
    <definedName name="JUNT" localSheetId="5">#REF!</definedName>
    <definedName name="JUNT" localSheetId="8">#REF!</definedName>
    <definedName name="JUNT" localSheetId="7">#REF!</definedName>
    <definedName name="JUNT" localSheetId="6">#REF!</definedName>
    <definedName name="JUNT" localSheetId="1">#REF!</definedName>
    <definedName name="JUNT" localSheetId="9">#REF!</definedName>
    <definedName name="JUNT">#REF!</definedName>
    <definedName name="Jurisdiction">[13]Variables!$AK$15</definedName>
    <definedName name="JurisNumber">[13]Variables!$AL$15</definedName>
    <definedName name="LABORMOD" localSheetId="2">#REF!</definedName>
    <definedName name="LABORMOD" localSheetId="3">#REF!</definedName>
    <definedName name="LABORMOD" localSheetId="4">#REF!</definedName>
    <definedName name="LABORMOD" localSheetId="5">#REF!</definedName>
    <definedName name="LABORMOD" localSheetId="8">#REF!</definedName>
    <definedName name="LABORMOD" localSheetId="7">#REF!</definedName>
    <definedName name="LABORMOD" localSheetId="6">#REF!</definedName>
    <definedName name="LABORMOD" localSheetId="1">#REF!</definedName>
    <definedName name="LABORMOD" localSheetId="9">#REF!</definedName>
    <definedName name="LABORMOD">#REF!</definedName>
    <definedName name="LABORROLL" localSheetId="2">#REF!</definedName>
    <definedName name="LABORROLL" localSheetId="3">#REF!</definedName>
    <definedName name="LABORROLL" localSheetId="4">#REF!</definedName>
    <definedName name="LABORROLL" localSheetId="5">#REF!</definedName>
    <definedName name="LABORROLL" localSheetId="8">#REF!</definedName>
    <definedName name="LABORROLL" localSheetId="7">#REF!</definedName>
    <definedName name="LABORROLL" localSheetId="6">#REF!</definedName>
    <definedName name="LABORROLL" localSheetId="1">#REF!</definedName>
    <definedName name="LABORROLL" localSheetId="9">#REF!</definedName>
    <definedName name="LABORROLL">#REF!</definedName>
    <definedName name="limcount" hidden="1">1</definedName>
    <definedName name="Line_Ext_Credit" localSheetId="2">#REF!</definedName>
    <definedName name="Line_Ext_Credit" localSheetId="3">#REF!</definedName>
    <definedName name="Line_Ext_Credit" localSheetId="4">#REF!</definedName>
    <definedName name="Line_Ext_Credit" localSheetId="5">#REF!</definedName>
    <definedName name="Line_Ext_Credit" localSheetId="8">#REF!</definedName>
    <definedName name="Line_Ext_Credit" localSheetId="7">#REF!</definedName>
    <definedName name="Line_Ext_Credit" localSheetId="6">#REF!</definedName>
    <definedName name="Line_Ext_Credit" localSheetId="1">#REF!</definedName>
    <definedName name="Line_Ext_Credit" localSheetId="9">#REF!</definedName>
    <definedName name="Line_Ext_Credit">#REF!</definedName>
    <definedName name="LinkCos">'[10]JAM Download'!$K$4</definedName>
    <definedName name="LOG" localSheetId="2">[15]Backup!#REF!</definedName>
    <definedName name="LOG" localSheetId="3">[15]Backup!#REF!</definedName>
    <definedName name="LOG" localSheetId="4">[15]Backup!#REF!</definedName>
    <definedName name="LOG" localSheetId="5">[15]Backup!#REF!</definedName>
    <definedName name="LOG" localSheetId="8">[15]Backup!#REF!</definedName>
    <definedName name="LOG" localSheetId="7">[15]Backup!#REF!</definedName>
    <definedName name="LOG" localSheetId="6">[15]Backup!#REF!</definedName>
    <definedName name="LOG" localSheetId="1">[15]Backup!#REF!</definedName>
    <definedName name="LOG" localSheetId="9">[15]Backup!#REF!</definedName>
    <definedName name="LOG">[15]Backup!#REF!</definedName>
    <definedName name="LOSS" localSheetId="2">[15]Backup!#REF!</definedName>
    <definedName name="LOSS" localSheetId="3">[15]Backup!#REF!</definedName>
    <definedName name="LOSS" localSheetId="4">[15]Backup!#REF!</definedName>
    <definedName name="LOSS" localSheetId="5">[15]Backup!#REF!</definedName>
    <definedName name="LOSS" localSheetId="8">[15]Backup!#REF!</definedName>
    <definedName name="LOSS" localSheetId="7">[15]Backup!#REF!</definedName>
    <definedName name="LOSS" localSheetId="6">[15]Backup!#REF!</definedName>
    <definedName name="LOSS" localSheetId="1">[15]Backup!#REF!</definedName>
    <definedName name="LOSS" localSheetId="9">[15]Backup!#REF!</definedName>
    <definedName name="LOSS">[15]Backup!#REF!</definedName>
    <definedName name="MACTIT" localSheetId="2">#REF!</definedName>
    <definedName name="MACTIT" localSheetId="3">#REF!</definedName>
    <definedName name="MACTIT" localSheetId="4">#REF!</definedName>
    <definedName name="MACTIT" localSheetId="5">#REF!</definedName>
    <definedName name="MACTIT" localSheetId="8">#REF!</definedName>
    <definedName name="MACTIT" localSheetId="7">#REF!</definedName>
    <definedName name="MACTIT" localSheetId="6">#REF!</definedName>
    <definedName name="MACTIT" localSheetId="1">#REF!</definedName>
    <definedName name="MACTIT" localSheetId="9">#REF!</definedName>
    <definedName name="MACTIT">#REF!</definedName>
    <definedName name="MAR" localSheetId="2">[15]Backup!#REF!</definedName>
    <definedName name="MAR" localSheetId="3">[15]Backup!#REF!</definedName>
    <definedName name="MAR" localSheetId="4">[15]Backup!#REF!</definedName>
    <definedName name="MAR" localSheetId="5">[15]Backup!#REF!</definedName>
    <definedName name="MAR" localSheetId="8">[15]Backup!#REF!</definedName>
    <definedName name="MAR" localSheetId="7">[15]Backup!#REF!</definedName>
    <definedName name="MAR" localSheetId="6">[15]Backup!#REF!</definedName>
    <definedName name="MAR" localSheetId="1">#REF!</definedName>
    <definedName name="MAR" localSheetId="9">[15]Backup!#REF!</definedName>
    <definedName name="MAR">[15]Backup!#REF!</definedName>
    <definedName name="MART" localSheetId="2">#REF!</definedName>
    <definedName name="MART" localSheetId="3">#REF!</definedName>
    <definedName name="MART" localSheetId="4">#REF!</definedName>
    <definedName name="MART" localSheetId="5">#REF!</definedName>
    <definedName name="MART" localSheetId="8">#REF!</definedName>
    <definedName name="MART" localSheetId="7">#REF!</definedName>
    <definedName name="MART" localSheetId="6">#REF!</definedName>
    <definedName name="MART" localSheetId="1">#REF!</definedName>
    <definedName name="MART" localSheetId="9">#REF!</definedName>
    <definedName name="MART">#REF!</definedName>
    <definedName name="MAY" localSheetId="2">[15]Backup!#REF!</definedName>
    <definedName name="MAY" localSheetId="3">[15]Backup!#REF!</definedName>
    <definedName name="MAY" localSheetId="4">[15]Backup!#REF!</definedName>
    <definedName name="MAY" localSheetId="5">[15]Backup!#REF!</definedName>
    <definedName name="MAY" localSheetId="8">[15]Backup!#REF!</definedName>
    <definedName name="MAY" localSheetId="7">[15]Backup!#REF!</definedName>
    <definedName name="MAY" localSheetId="6">[15]Backup!#REF!</definedName>
    <definedName name="MAY" localSheetId="1">#REF!</definedName>
    <definedName name="MAY" localSheetId="9">[15]Backup!#REF!</definedName>
    <definedName name="MAY">[15]Backup!#REF!</definedName>
    <definedName name="MAYT" localSheetId="2">#REF!</definedName>
    <definedName name="MAYT" localSheetId="3">#REF!</definedName>
    <definedName name="MAYT" localSheetId="4">#REF!</definedName>
    <definedName name="MAYT" localSheetId="5">#REF!</definedName>
    <definedName name="MAYT" localSheetId="8">#REF!</definedName>
    <definedName name="MAYT" localSheetId="7">#REF!</definedName>
    <definedName name="MAYT" localSheetId="6">#REF!</definedName>
    <definedName name="MAYT" localSheetId="1">#REF!</definedName>
    <definedName name="MAYT" localSheetId="9">#REF!</definedName>
    <definedName name="MAYT">#REF!</definedName>
    <definedName name="MCtoREV" localSheetId="2">#REF!</definedName>
    <definedName name="MCtoREV" localSheetId="3">#REF!</definedName>
    <definedName name="MCtoREV" localSheetId="4">#REF!</definedName>
    <definedName name="MCtoREV" localSheetId="5">#REF!</definedName>
    <definedName name="MCtoREV" localSheetId="8">#REF!</definedName>
    <definedName name="MCtoREV" localSheetId="7">#REF!</definedName>
    <definedName name="MCtoREV" localSheetId="6">#REF!</definedName>
    <definedName name="MCtoREV" localSheetId="1">#REF!</definedName>
    <definedName name="MCtoREV" localSheetId="9">#REF!</definedName>
    <definedName name="MCtoREV">#REF!</definedName>
    <definedName name="MEN" localSheetId="2">[1]Jan!#REF!</definedName>
    <definedName name="MEN" localSheetId="3">[1]Jan!#REF!</definedName>
    <definedName name="MEN" localSheetId="4">[1]Jan!#REF!</definedName>
    <definedName name="MEN" localSheetId="5">[1]Jan!#REF!</definedName>
    <definedName name="MEN" localSheetId="8">[1]Jan!#REF!</definedName>
    <definedName name="MEN" localSheetId="7">[1]Jan!#REF!</definedName>
    <definedName name="MEN" localSheetId="6">[1]Jan!#REF!</definedName>
    <definedName name="MEN" localSheetId="1">[1]Jan!#REF!</definedName>
    <definedName name="MEN" localSheetId="9">[1]Jan!#REF!</definedName>
    <definedName name="MEN">[1]Jan!#REF!</definedName>
    <definedName name="Menu_Begin" localSheetId="2">#REF!</definedName>
    <definedName name="Menu_Begin" localSheetId="3">#REF!</definedName>
    <definedName name="Menu_Begin" localSheetId="4">#REF!</definedName>
    <definedName name="Menu_Begin" localSheetId="5">#REF!</definedName>
    <definedName name="Menu_Begin" localSheetId="8">#REF!</definedName>
    <definedName name="Menu_Begin" localSheetId="7">#REF!</definedName>
    <definedName name="Menu_Begin" localSheetId="6">#REF!</definedName>
    <definedName name="Menu_Begin" localSheetId="1">#REF!</definedName>
    <definedName name="Menu_Begin" localSheetId="9">#REF!</definedName>
    <definedName name="Menu_Begin">#REF!</definedName>
    <definedName name="Menu_Caption" localSheetId="2">#REF!</definedName>
    <definedName name="Menu_Caption" localSheetId="3">#REF!</definedName>
    <definedName name="Menu_Caption" localSheetId="4">#REF!</definedName>
    <definedName name="Menu_Caption" localSheetId="5">#REF!</definedName>
    <definedName name="Menu_Caption" localSheetId="8">#REF!</definedName>
    <definedName name="Menu_Caption" localSheetId="7">#REF!</definedName>
    <definedName name="Menu_Caption" localSheetId="6">#REF!</definedName>
    <definedName name="Menu_Caption" localSheetId="1">#REF!</definedName>
    <definedName name="Menu_Caption" localSheetId="9">#REF!</definedName>
    <definedName name="Menu_Caption">#REF!</definedName>
    <definedName name="Menu_Large" localSheetId="2">#REF!</definedName>
    <definedName name="Menu_Large" localSheetId="3">#REF!</definedName>
    <definedName name="Menu_Large" localSheetId="4">#REF!</definedName>
    <definedName name="Menu_Large" localSheetId="5">#REF!</definedName>
    <definedName name="Menu_Large" localSheetId="8">#REF!</definedName>
    <definedName name="Menu_Large" localSheetId="7">#REF!</definedName>
    <definedName name="Menu_Large" localSheetId="6">#REF!</definedName>
    <definedName name="Menu_Large" localSheetId="1">#REF!</definedName>
    <definedName name="Menu_Large" localSheetId="9">#REF!</definedName>
    <definedName name="Menu_Large">#REF!</definedName>
    <definedName name="Menu_Name" localSheetId="2">#REF!</definedName>
    <definedName name="Menu_Name" localSheetId="3">#REF!</definedName>
    <definedName name="Menu_Name" localSheetId="4">#REF!</definedName>
    <definedName name="Menu_Name" localSheetId="5">#REF!</definedName>
    <definedName name="Menu_Name" localSheetId="8">#REF!</definedName>
    <definedName name="Menu_Name" localSheetId="7">#REF!</definedName>
    <definedName name="Menu_Name" localSheetId="6">#REF!</definedName>
    <definedName name="Menu_Name" localSheetId="1">#REF!</definedName>
    <definedName name="Menu_Name" localSheetId="9">#REF!</definedName>
    <definedName name="Menu_Name">#REF!</definedName>
    <definedName name="Menu_OnAction" localSheetId="2">#REF!</definedName>
    <definedName name="Menu_OnAction" localSheetId="3">#REF!</definedName>
    <definedName name="Menu_OnAction" localSheetId="4">#REF!</definedName>
    <definedName name="Menu_OnAction" localSheetId="5">#REF!</definedName>
    <definedName name="Menu_OnAction" localSheetId="8">#REF!</definedName>
    <definedName name="Menu_OnAction" localSheetId="7">#REF!</definedName>
    <definedName name="Menu_OnAction" localSheetId="6">#REF!</definedName>
    <definedName name="Menu_OnAction" localSheetId="1">#REF!</definedName>
    <definedName name="Menu_OnAction" localSheetId="9">#REF!</definedName>
    <definedName name="Menu_OnAction">#REF!</definedName>
    <definedName name="Menu_Parent" localSheetId="2">#REF!</definedName>
    <definedName name="Menu_Parent" localSheetId="3">#REF!</definedName>
    <definedName name="Menu_Parent" localSheetId="4">#REF!</definedName>
    <definedName name="Menu_Parent" localSheetId="5">#REF!</definedName>
    <definedName name="Menu_Parent" localSheetId="8">#REF!</definedName>
    <definedName name="Menu_Parent" localSheetId="7">#REF!</definedName>
    <definedName name="Menu_Parent" localSheetId="6">#REF!</definedName>
    <definedName name="Menu_Parent" localSheetId="1">#REF!</definedName>
    <definedName name="Menu_Parent" localSheetId="9">#REF!</definedName>
    <definedName name="Menu_Parent">#REF!</definedName>
    <definedName name="Menu_Small" localSheetId="2">#REF!</definedName>
    <definedName name="Menu_Small" localSheetId="3">#REF!</definedName>
    <definedName name="Menu_Small" localSheetId="4">#REF!</definedName>
    <definedName name="Menu_Small" localSheetId="5">#REF!</definedName>
    <definedName name="Menu_Small" localSheetId="8">#REF!</definedName>
    <definedName name="Menu_Small" localSheetId="7">#REF!</definedName>
    <definedName name="Menu_Small" localSheetId="6">#REF!</definedName>
    <definedName name="Menu_Small" localSheetId="1">#REF!</definedName>
    <definedName name="Menu_Small" localSheetId="9">#REF!</definedName>
    <definedName name="Menu_Small">#REF!</definedName>
    <definedName name="Method">[9]Inputs!$C$6</definedName>
    <definedName name="MONTH" localSheetId="2">[15]Backup!#REF!</definedName>
    <definedName name="MONTH" localSheetId="3">[15]Backup!#REF!</definedName>
    <definedName name="MONTH" localSheetId="4">[15]Backup!#REF!</definedName>
    <definedName name="MONTH" localSheetId="5">[15]Backup!#REF!</definedName>
    <definedName name="MONTH" localSheetId="8">[15]Backup!#REF!</definedName>
    <definedName name="MONTH" localSheetId="7">[15]Backup!#REF!</definedName>
    <definedName name="MONTH" localSheetId="6">[15]Backup!#REF!</definedName>
    <definedName name="MONTH" localSheetId="1">[15]Backup!#REF!</definedName>
    <definedName name="MONTH" localSheetId="9">[15]Backup!#REF!</definedName>
    <definedName name="MONTH">[15]Backup!#REF!</definedName>
    <definedName name="monthlist">[22]Table!$R$2:$S$13</definedName>
    <definedName name="monthtotals">'[22]WA SBC'!$D$40:$O$40</definedName>
    <definedName name="MTKWH" localSheetId="2">#REF!</definedName>
    <definedName name="MTKWH" localSheetId="3">#REF!</definedName>
    <definedName name="MTKWH" localSheetId="4">#REF!</definedName>
    <definedName name="MTKWH" localSheetId="5">#REF!</definedName>
    <definedName name="MTKWH" localSheetId="8">#REF!</definedName>
    <definedName name="MTKWH" localSheetId="7">#REF!</definedName>
    <definedName name="MTKWH" localSheetId="6">#REF!</definedName>
    <definedName name="MTKWH" localSheetId="1">#REF!</definedName>
    <definedName name="MTKWH" localSheetId="9">#REF!</definedName>
    <definedName name="MTKWH">#REF!</definedName>
    <definedName name="MTR_YR3">[23]Variables!$E$14</definedName>
    <definedName name="MTREV" localSheetId="2">#REF!</definedName>
    <definedName name="MTREV" localSheetId="3">#REF!</definedName>
    <definedName name="MTREV" localSheetId="4">#REF!</definedName>
    <definedName name="MTREV" localSheetId="5">#REF!</definedName>
    <definedName name="MTREV" localSheetId="8">#REF!</definedName>
    <definedName name="MTREV" localSheetId="7">#REF!</definedName>
    <definedName name="MTREV" localSheetId="6">#REF!</definedName>
    <definedName name="MTREV" localSheetId="1">#REF!</definedName>
    <definedName name="MTREV" localSheetId="9">#REF!</definedName>
    <definedName name="MTREV">#REF!</definedName>
    <definedName name="MULT" localSheetId="2">#REF!</definedName>
    <definedName name="MULT" localSheetId="3">#REF!</definedName>
    <definedName name="MULT" localSheetId="4">#REF!</definedName>
    <definedName name="MULT" localSheetId="5">#REF!</definedName>
    <definedName name="MULT" localSheetId="8">#REF!</definedName>
    <definedName name="MULT" localSheetId="7">#REF!</definedName>
    <definedName name="MULT" localSheetId="6">#REF!</definedName>
    <definedName name="MULT" localSheetId="1">#REF!</definedName>
    <definedName name="MULT" localSheetId="9">#REF!</definedName>
    <definedName name="MULT">#REF!</definedName>
    <definedName name="Net_to_Gross_Factor">[10]Inputs!$G$8</definedName>
    <definedName name="NetToGross">[14]Variables!$D$23</definedName>
    <definedName name="NEWMO1" localSheetId="2">[1]Jan!#REF!</definedName>
    <definedName name="NEWMO1" localSheetId="3">[1]Jan!#REF!</definedName>
    <definedName name="NEWMO1" localSheetId="4">[1]Jan!#REF!</definedName>
    <definedName name="NEWMO1" localSheetId="5">[1]Jan!#REF!</definedName>
    <definedName name="NEWMO1" localSheetId="8">[1]Jan!#REF!</definedName>
    <definedName name="NEWMO1" localSheetId="7">[1]Jan!#REF!</definedName>
    <definedName name="NEWMO1" localSheetId="6">[1]Jan!#REF!</definedName>
    <definedName name="NEWMO1" localSheetId="1">[1]Jan!#REF!</definedName>
    <definedName name="NEWMO1" localSheetId="9">[1]Jan!#REF!</definedName>
    <definedName name="NEWMO1">[1]Jan!#REF!</definedName>
    <definedName name="NEWMO2" localSheetId="2">[1]Jan!#REF!</definedName>
    <definedName name="NEWMO2" localSheetId="3">[1]Jan!#REF!</definedName>
    <definedName name="NEWMO2" localSheetId="4">[1]Jan!#REF!</definedName>
    <definedName name="NEWMO2" localSheetId="5">[1]Jan!#REF!</definedName>
    <definedName name="NEWMO2" localSheetId="8">[1]Jan!#REF!</definedName>
    <definedName name="NEWMO2" localSheetId="7">[1]Jan!#REF!</definedName>
    <definedName name="NEWMO2" localSheetId="6">[1]Jan!#REF!</definedName>
    <definedName name="NEWMO2" localSheetId="1">[1]Jan!#REF!</definedName>
    <definedName name="NEWMO2" localSheetId="9">[1]Jan!#REF!</definedName>
    <definedName name="NEWMO2">[1]Jan!#REF!</definedName>
    <definedName name="NEWMONTH" localSheetId="2">[1]Jan!#REF!</definedName>
    <definedName name="NEWMONTH" localSheetId="3">[1]Jan!#REF!</definedName>
    <definedName name="NEWMONTH" localSheetId="4">[1]Jan!#REF!</definedName>
    <definedName name="NEWMONTH" localSheetId="5">[1]Jan!#REF!</definedName>
    <definedName name="NEWMONTH" localSheetId="8">[1]Jan!#REF!</definedName>
    <definedName name="NEWMONTH" localSheetId="7">[1]Jan!#REF!</definedName>
    <definedName name="NEWMONTH" localSheetId="6">[1]Jan!#REF!</definedName>
    <definedName name="NEWMONTH" localSheetId="1">[1]Jan!#REF!</definedName>
    <definedName name="NEWMONTH" localSheetId="9">[1]Jan!#REF!</definedName>
    <definedName name="NEWMONTH">[1]Jan!#REF!</definedName>
    <definedName name="NORMALIZE" localSheetId="2">#REF!</definedName>
    <definedName name="NORMALIZE" localSheetId="3">#REF!</definedName>
    <definedName name="NORMALIZE" localSheetId="4">#REF!</definedName>
    <definedName name="NORMALIZE" localSheetId="5">#REF!</definedName>
    <definedName name="NORMALIZE" localSheetId="8">#REF!</definedName>
    <definedName name="NORMALIZE" localSheetId="7">#REF!</definedName>
    <definedName name="NORMALIZE" localSheetId="6">#REF!</definedName>
    <definedName name="NORMALIZE" localSheetId="1">#REF!</definedName>
    <definedName name="NORMALIZE" localSheetId="9">#REF!</definedName>
    <definedName name="NORMALIZE">#REF!</definedName>
    <definedName name="NOV" localSheetId="2">[15]Backup!#REF!</definedName>
    <definedName name="NOV" localSheetId="3">[15]Backup!#REF!</definedName>
    <definedName name="NOV" localSheetId="4">[15]Backup!#REF!</definedName>
    <definedName name="NOV" localSheetId="5">[15]Backup!#REF!</definedName>
    <definedName name="NOV" localSheetId="8">[15]Backup!#REF!</definedName>
    <definedName name="NOV" localSheetId="7">[15]Backup!#REF!</definedName>
    <definedName name="NOV" localSheetId="6">[15]Backup!#REF!</definedName>
    <definedName name="NOV" localSheetId="1">#REF!</definedName>
    <definedName name="NOV" localSheetId="9">[15]Backup!#REF!</definedName>
    <definedName name="NOV">[15]Backup!#REF!</definedName>
    <definedName name="NOVT" localSheetId="2">#REF!</definedName>
    <definedName name="NOVT" localSheetId="3">#REF!</definedName>
    <definedName name="NOVT" localSheetId="4">#REF!</definedName>
    <definedName name="NOVT" localSheetId="5">#REF!</definedName>
    <definedName name="NOVT" localSheetId="8">#REF!</definedName>
    <definedName name="NOVT" localSheetId="7">#REF!</definedName>
    <definedName name="NOVT" localSheetId="6">#REF!</definedName>
    <definedName name="NOVT" localSheetId="1">#REF!</definedName>
    <definedName name="NOVT" localSheetId="9">#REF!</definedName>
    <definedName name="NOVT">#REF!</definedName>
    <definedName name="NPC">[12]Inputs!$N$18</definedName>
    <definedName name="NUM" localSheetId="2">#REF!</definedName>
    <definedName name="NUM" localSheetId="3">#REF!</definedName>
    <definedName name="NUM" localSheetId="4">#REF!</definedName>
    <definedName name="NUM" localSheetId="5">#REF!</definedName>
    <definedName name="NUM" localSheetId="8">#REF!</definedName>
    <definedName name="NUM" localSheetId="7">#REF!</definedName>
    <definedName name="NUM" localSheetId="6">#REF!</definedName>
    <definedName name="NUM" localSheetId="1">#REF!</definedName>
    <definedName name="NUM" localSheetId="9">#REF!</definedName>
    <definedName name="NUM">#REF!</definedName>
    <definedName name="OCT" localSheetId="2">[15]Backup!#REF!</definedName>
    <definedName name="OCT" localSheetId="3">[15]Backup!#REF!</definedName>
    <definedName name="OCT" localSheetId="4">[15]Backup!#REF!</definedName>
    <definedName name="OCT" localSheetId="5">[15]Backup!#REF!</definedName>
    <definedName name="OCT" localSheetId="8">[15]Backup!#REF!</definedName>
    <definedName name="OCT" localSheetId="7">[15]Backup!#REF!</definedName>
    <definedName name="OCT" localSheetId="6">[15]Backup!#REF!</definedName>
    <definedName name="OCT" localSheetId="1">#REF!</definedName>
    <definedName name="OCT" localSheetId="9">[15]Backup!#REF!</definedName>
    <definedName name="OCT">[15]Backup!#REF!</definedName>
    <definedName name="OCTT" localSheetId="2">#REF!</definedName>
    <definedName name="OCTT" localSheetId="3">#REF!</definedName>
    <definedName name="OCTT" localSheetId="4">#REF!</definedName>
    <definedName name="OCTT" localSheetId="5">#REF!</definedName>
    <definedName name="OCTT" localSheetId="8">#REF!</definedName>
    <definedName name="OCTT" localSheetId="7">#REF!</definedName>
    <definedName name="OCTT" localSheetId="6">#REF!</definedName>
    <definedName name="OCTT" localSheetId="1">#REF!</definedName>
    <definedName name="OCTT" localSheetId="9">#REF!</definedName>
    <definedName name="OCTT">#REF!</definedName>
    <definedName name="ONE" localSheetId="2">[1]Jan!#REF!</definedName>
    <definedName name="ONE" localSheetId="3">[1]Jan!#REF!</definedName>
    <definedName name="ONE" localSheetId="4">[1]Jan!#REF!</definedName>
    <definedName name="ONE" localSheetId="5">[1]Jan!#REF!</definedName>
    <definedName name="ONE" localSheetId="8">[1]Jan!#REF!</definedName>
    <definedName name="ONE" localSheetId="7">[1]Jan!#REF!</definedName>
    <definedName name="ONE" localSheetId="6">[1]Jan!#REF!</definedName>
    <definedName name="ONE" localSheetId="1">[1]Jan!#REF!</definedName>
    <definedName name="ONE" localSheetId="9">[1]Jan!#REF!</definedName>
    <definedName name="ONE">[1]Jan!#REF!</definedName>
    <definedName name="option">'[24]Dist Misc'!$F$120</definedName>
    <definedName name="Page1" localSheetId="2">#REF!</definedName>
    <definedName name="Page1" localSheetId="3">#REF!</definedName>
    <definedName name="Page1" localSheetId="4">#REF!</definedName>
    <definedName name="Page1" localSheetId="5">#REF!</definedName>
    <definedName name="Page1" localSheetId="8">#REF!</definedName>
    <definedName name="Page1" localSheetId="7">#REF!</definedName>
    <definedName name="Page1" localSheetId="6">#REF!</definedName>
    <definedName name="Page1" localSheetId="1">#REF!</definedName>
    <definedName name="Page1" localSheetId="9">#REF!</definedName>
    <definedName name="Page1">#REF!</definedName>
    <definedName name="Page110" localSheetId="2">#REF!</definedName>
    <definedName name="Page110" localSheetId="3">#REF!</definedName>
    <definedName name="Page110" localSheetId="4">#REF!</definedName>
    <definedName name="Page110" localSheetId="5">#REF!</definedName>
    <definedName name="Page110" localSheetId="8">#REF!</definedName>
    <definedName name="Page110" localSheetId="7">#REF!</definedName>
    <definedName name="Page110" localSheetId="6">#REF!</definedName>
    <definedName name="Page110" localSheetId="1">#REF!</definedName>
    <definedName name="Page110" localSheetId="9">#REF!</definedName>
    <definedName name="Page110">#REF!</definedName>
    <definedName name="Page120" localSheetId="2">#REF!</definedName>
    <definedName name="Page120" localSheetId="3">#REF!</definedName>
    <definedName name="Page120" localSheetId="4">#REF!</definedName>
    <definedName name="Page120" localSheetId="5">#REF!</definedName>
    <definedName name="Page120" localSheetId="8">#REF!</definedName>
    <definedName name="Page120" localSheetId="7">#REF!</definedName>
    <definedName name="Page120" localSheetId="6">#REF!</definedName>
    <definedName name="Page120" localSheetId="1">#REF!</definedName>
    <definedName name="Page120" localSheetId="9">#REF!</definedName>
    <definedName name="Page120">#REF!</definedName>
    <definedName name="Page2" localSheetId="2">#REF!</definedName>
    <definedName name="Page2" localSheetId="3">#REF!</definedName>
    <definedName name="Page2" localSheetId="4">#REF!</definedName>
    <definedName name="Page2" localSheetId="5">#REF!</definedName>
    <definedName name="Page2" localSheetId="8">#REF!</definedName>
    <definedName name="Page2" localSheetId="7">#REF!</definedName>
    <definedName name="Page2" localSheetId="6">#REF!</definedName>
    <definedName name="Page2" localSheetId="1">#REF!</definedName>
    <definedName name="Page2" localSheetId="9">#REF!</definedName>
    <definedName name="Page2">#REF!</definedName>
    <definedName name="PAGE3" localSheetId="2">#REF!</definedName>
    <definedName name="PAGE3" localSheetId="3">#REF!</definedName>
    <definedName name="PAGE3" localSheetId="4">#REF!</definedName>
    <definedName name="PAGE3" localSheetId="5">#REF!</definedName>
    <definedName name="PAGE3" localSheetId="8">#REF!</definedName>
    <definedName name="PAGE3" localSheetId="7">#REF!</definedName>
    <definedName name="PAGE3" localSheetId="6">#REF!</definedName>
    <definedName name="PAGE3" localSheetId="1">#REF!</definedName>
    <definedName name="PAGE3" localSheetId="9">#REF!</definedName>
    <definedName name="PAGE3">#REF!</definedName>
    <definedName name="Page4" localSheetId="2">#REF!</definedName>
    <definedName name="Page4" localSheetId="3">#REF!</definedName>
    <definedName name="Page4" localSheetId="4">#REF!</definedName>
    <definedName name="Page4" localSheetId="5">#REF!</definedName>
    <definedName name="Page4" localSheetId="8">#REF!</definedName>
    <definedName name="Page4" localSheetId="7">#REF!</definedName>
    <definedName name="Page4" localSheetId="6">#REF!</definedName>
    <definedName name="Page4" localSheetId="1">#REF!</definedName>
    <definedName name="Page4" localSheetId="9">#REF!</definedName>
    <definedName name="Page4">#REF!</definedName>
    <definedName name="Page5" localSheetId="2">#REF!</definedName>
    <definedName name="Page5" localSheetId="3">#REF!</definedName>
    <definedName name="Page5" localSheetId="4">#REF!</definedName>
    <definedName name="Page5" localSheetId="5">#REF!</definedName>
    <definedName name="Page5" localSheetId="8">#REF!</definedName>
    <definedName name="Page5" localSheetId="7">#REF!</definedName>
    <definedName name="Page5" localSheetId="6">#REF!</definedName>
    <definedName name="Page5" localSheetId="1">#REF!</definedName>
    <definedName name="Page5" localSheetId="9">#REF!</definedName>
    <definedName name="Page5">#REF!</definedName>
    <definedName name="Page6" localSheetId="2">#REF!</definedName>
    <definedName name="Page6" localSheetId="3">#REF!</definedName>
    <definedName name="Page6" localSheetId="4">#REF!</definedName>
    <definedName name="Page6" localSheetId="5">#REF!</definedName>
    <definedName name="Page6" localSheetId="8">#REF!</definedName>
    <definedName name="Page6" localSheetId="7">#REF!</definedName>
    <definedName name="Page6" localSheetId="6">#REF!</definedName>
    <definedName name="Page6" localSheetId="1">#REF!</definedName>
    <definedName name="Page6" localSheetId="9">#REF!</definedName>
    <definedName name="Page6">#REF!</definedName>
    <definedName name="Page62" localSheetId="2">[25]TransInvest!#REF!</definedName>
    <definedName name="Page62" localSheetId="3">[25]TransInvest!#REF!</definedName>
    <definedName name="Page62" localSheetId="4">[25]TransInvest!#REF!</definedName>
    <definedName name="Page62" localSheetId="5">[25]TransInvest!#REF!</definedName>
    <definedName name="Page62" localSheetId="8">[25]TransInvest!#REF!</definedName>
    <definedName name="Page62" localSheetId="7">[25]TransInvest!#REF!</definedName>
    <definedName name="Page62" localSheetId="6">[25]TransInvest!#REF!</definedName>
    <definedName name="Page62" localSheetId="1">[25]TransInvest!#REF!</definedName>
    <definedName name="Page62" localSheetId="9">[25]TransInvest!#REF!</definedName>
    <definedName name="Page62">[25]TransInvest!#REF!</definedName>
    <definedName name="page65" localSheetId="2">#REF!</definedName>
    <definedName name="page65" localSheetId="3">#REF!</definedName>
    <definedName name="page65" localSheetId="4">#REF!</definedName>
    <definedName name="page65" localSheetId="5">#REF!</definedName>
    <definedName name="page65" localSheetId="8">#REF!</definedName>
    <definedName name="page65" localSheetId="7">#REF!</definedName>
    <definedName name="page65" localSheetId="6">#REF!</definedName>
    <definedName name="page65" localSheetId="1">#REF!</definedName>
    <definedName name="page65" localSheetId="9">#REF!</definedName>
    <definedName name="page65">#REF!</definedName>
    <definedName name="page66" localSheetId="2">#REF!</definedName>
    <definedName name="page66" localSheetId="3">#REF!</definedName>
    <definedName name="page66" localSheetId="4">#REF!</definedName>
    <definedName name="page66" localSheetId="5">#REF!</definedName>
    <definedName name="page66" localSheetId="8">#REF!</definedName>
    <definedName name="page66" localSheetId="7">#REF!</definedName>
    <definedName name="page66" localSheetId="6">#REF!</definedName>
    <definedName name="page66" localSheetId="1">#REF!</definedName>
    <definedName name="page66" localSheetId="9">#REF!</definedName>
    <definedName name="page66">#REF!</definedName>
    <definedName name="page67" localSheetId="2">#REF!</definedName>
    <definedName name="page67" localSheetId="3">#REF!</definedName>
    <definedName name="page67" localSheetId="4">#REF!</definedName>
    <definedName name="page67" localSheetId="5">#REF!</definedName>
    <definedName name="page67" localSheetId="8">#REF!</definedName>
    <definedName name="page67" localSheetId="7">#REF!</definedName>
    <definedName name="page67" localSheetId="6">#REF!</definedName>
    <definedName name="page67" localSheetId="1">#REF!</definedName>
    <definedName name="page67" localSheetId="9">#REF!</definedName>
    <definedName name="page67">#REF!</definedName>
    <definedName name="page68" localSheetId="2">#REF!</definedName>
    <definedName name="page68" localSheetId="3">#REF!</definedName>
    <definedName name="page68" localSheetId="4">#REF!</definedName>
    <definedName name="page68" localSheetId="5">#REF!</definedName>
    <definedName name="page68" localSheetId="8">#REF!</definedName>
    <definedName name="page68" localSheetId="7">#REF!</definedName>
    <definedName name="page68" localSheetId="6">#REF!</definedName>
    <definedName name="page68" localSheetId="1">#REF!</definedName>
    <definedName name="page68" localSheetId="9">#REF!</definedName>
    <definedName name="page68">#REF!</definedName>
    <definedName name="page69" localSheetId="2">#REF!</definedName>
    <definedName name="page69" localSheetId="3">#REF!</definedName>
    <definedName name="page69" localSheetId="4">#REF!</definedName>
    <definedName name="page69" localSheetId="5">#REF!</definedName>
    <definedName name="page69" localSheetId="8">#REF!</definedName>
    <definedName name="page69" localSheetId="7">#REF!</definedName>
    <definedName name="page69" localSheetId="6">#REF!</definedName>
    <definedName name="page69" localSheetId="1">#REF!</definedName>
    <definedName name="page69" localSheetId="9">#REF!</definedName>
    <definedName name="page69">#REF!</definedName>
    <definedName name="Page7" localSheetId="2">#REF!</definedName>
    <definedName name="Page7" localSheetId="3">#REF!</definedName>
    <definedName name="Page7" localSheetId="4">#REF!</definedName>
    <definedName name="Page7" localSheetId="5">#REF!</definedName>
    <definedName name="Page7" localSheetId="8">#REF!</definedName>
    <definedName name="Page7" localSheetId="7">#REF!</definedName>
    <definedName name="Page7" localSheetId="6">#REF!</definedName>
    <definedName name="Page7" localSheetId="1">#REF!</definedName>
    <definedName name="Page7" localSheetId="9">#REF!</definedName>
    <definedName name="Page7">#REF!</definedName>
    <definedName name="page8" localSheetId="2">#REF!</definedName>
    <definedName name="page8" localSheetId="3">#REF!</definedName>
    <definedName name="page8" localSheetId="4">#REF!</definedName>
    <definedName name="page8" localSheetId="5">#REF!</definedName>
    <definedName name="page8" localSheetId="8">#REF!</definedName>
    <definedName name="page8" localSheetId="7">#REF!</definedName>
    <definedName name="page8" localSheetId="6">#REF!</definedName>
    <definedName name="page8" localSheetId="1">#REF!</definedName>
    <definedName name="page8" localSheetId="9">#REF!</definedName>
    <definedName name="page8">#REF!</definedName>
    <definedName name="PALL" localSheetId="2">#REF!</definedName>
    <definedName name="PALL" localSheetId="3">#REF!</definedName>
    <definedName name="PALL" localSheetId="4">#REF!</definedName>
    <definedName name="PALL" localSheetId="5">#REF!</definedName>
    <definedName name="PALL" localSheetId="8">#REF!</definedName>
    <definedName name="PALL" localSheetId="7">#REF!</definedName>
    <definedName name="PALL" localSheetId="6">#REF!</definedName>
    <definedName name="PALL" localSheetId="1">#REF!</definedName>
    <definedName name="PALL" localSheetId="9">#REF!</definedName>
    <definedName name="PALL">#REF!</definedName>
    <definedName name="PBLOCK" localSheetId="2">#REF!</definedName>
    <definedName name="PBLOCK" localSheetId="3">#REF!</definedName>
    <definedName name="PBLOCK" localSheetId="4">#REF!</definedName>
    <definedName name="PBLOCK" localSheetId="5">#REF!</definedName>
    <definedName name="PBLOCK" localSheetId="8">#REF!</definedName>
    <definedName name="PBLOCK" localSheetId="7">#REF!</definedName>
    <definedName name="PBLOCK" localSheetId="6">#REF!</definedName>
    <definedName name="PBLOCK" localSheetId="1">#REF!</definedName>
    <definedName name="PBLOCK" localSheetId="9">#REF!</definedName>
    <definedName name="PBLOCK">#REF!</definedName>
    <definedName name="PBLOCKWZ" localSheetId="2">#REF!</definedName>
    <definedName name="PBLOCKWZ" localSheetId="3">#REF!</definedName>
    <definedName name="PBLOCKWZ" localSheetId="4">#REF!</definedName>
    <definedName name="PBLOCKWZ" localSheetId="5">#REF!</definedName>
    <definedName name="PBLOCKWZ" localSheetId="8">#REF!</definedName>
    <definedName name="PBLOCKWZ" localSheetId="7">#REF!</definedName>
    <definedName name="PBLOCKWZ" localSheetId="6">#REF!</definedName>
    <definedName name="PBLOCKWZ" localSheetId="1">#REF!</definedName>
    <definedName name="PBLOCKWZ" localSheetId="9">#REF!</definedName>
    <definedName name="PBLOCKWZ">#REF!</definedName>
    <definedName name="PCOMP" localSheetId="2">#REF!</definedName>
    <definedName name="PCOMP" localSheetId="3">#REF!</definedName>
    <definedName name="PCOMP" localSheetId="4">#REF!</definedName>
    <definedName name="PCOMP" localSheetId="5">#REF!</definedName>
    <definedName name="PCOMP" localSheetId="8">#REF!</definedName>
    <definedName name="PCOMP" localSheetId="7">#REF!</definedName>
    <definedName name="PCOMP" localSheetId="6">#REF!</definedName>
    <definedName name="PCOMP" localSheetId="1">#REF!</definedName>
    <definedName name="PCOMP" localSheetId="9">#REF!</definedName>
    <definedName name="PCOMP">#REF!</definedName>
    <definedName name="PCOMPOSITES" localSheetId="2">#REF!</definedName>
    <definedName name="PCOMPOSITES" localSheetId="3">#REF!</definedName>
    <definedName name="PCOMPOSITES" localSheetId="4">#REF!</definedName>
    <definedName name="PCOMPOSITES" localSheetId="5">#REF!</definedName>
    <definedName name="PCOMPOSITES" localSheetId="8">#REF!</definedName>
    <definedName name="PCOMPOSITES" localSheetId="7">#REF!</definedName>
    <definedName name="PCOMPOSITES" localSheetId="6">#REF!</definedName>
    <definedName name="PCOMPOSITES" localSheetId="1">#REF!</definedName>
    <definedName name="PCOMPOSITES" localSheetId="9">#REF!</definedName>
    <definedName name="PCOMPOSITES">#REF!</definedName>
    <definedName name="PCOMPWZ" localSheetId="2">#REF!</definedName>
    <definedName name="PCOMPWZ" localSheetId="3">#REF!</definedName>
    <definedName name="PCOMPWZ" localSheetId="4">#REF!</definedName>
    <definedName name="PCOMPWZ" localSheetId="5">#REF!</definedName>
    <definedName name="PCOMPWZ" localSheetId="8">#REF!</definedName>
    <definedName name="PCOMPWZ" localSheetId="7">#REF!</definedName>
    <definedName name="PCOMPWZ" localSheetId="6">#REF!</definedName>
    <definedName name="PCOMPWZ" localSheetId="1">#REF!</definedName>
    <definedName name="PCOMPWZ" localSheetId="9">#REF!</definedName>
    <definedName name="PCOMPWZ">#REF!</definedName>
    <definedName name="PeakMethod">[9]Inputs!$T$5</definedName>
    <definedName name="PMAC" localSheetId="2">[15]Backup!#REF!</definedName>
    <definedName name="PMAC" localSheetId="3">[15]Backup!#REF!</definedName>
    <definedName name="PMAC" localSheetId="4">[15]Backup!#REF!</definedName>
    <definedName name="PMAC" localSheetId="5">[15]Backup!#REF!</definedName>
    <definedName name="PMAC" localSheetId="8">[15]Backup!#REF!</definedName>
    <definedName name="PMAC" localSheetId="7">[15]Backup!#REF!</definedName>
    <definedName name="PMAC" localSheetId="6">[15]Backup!#REF!</definedName>
    <definedName name="PMAC" localSheetId="1">[15]Backup!#REF!</definedName>
    <definedName name="PMAC" localSheetId="9">[15]Backup!#REF!</definedName>
    <definedName name="PMAC">[15]Backup!#REF!</definedName>
    <definedName name="PRESENT" localSheetId="2">#REF!</definedName>
    <definedName name="PRESENT" localSheetId="3">#REF!</definedName>
    <definedName name="PRESENT" localSheetId="4">#REF!</definedName>
    <definedName name="PRESENT" localSheetId="5">#REF!</definedName>
    <definedName name="PRESENT" localSheetId="8">#REF!</definedName>
    <definedName name="PRESENT" localSheetId="7">#REF!</definedName>
    <definedName name="PRESENT" localSheetId="6">#REF!</definedName>
    <definedName name="PRESENT" localSheetId="1">#REF!</definedName>
    <definedName name="PRESENT" localSheetId="9">#REF!</definedName>
    <definedName name="PRESENT">#REF!</definedName>
    <definedName name="PRICCHNG" localSheetId="2">#REF!</definedName>
    <definedName name="PRICCHNG" localSheetId="3">#REF!</definedName>
    <definedName name="PRICCHNG" localSheetId="4">#REF!</definedName>
    <definedName name="PRICCHNG" localSheetId="5">#REF!</definedName>
    <definedName name="PRICCHNG" localSheetId="8">#REF!</definedName>
    <definedName name="PRICCHNG" localSheetId="7">#REF!</definedName>
    <definedName name="PRICCHNG" localSheetId="6">#REF!</definedName>
    <definedName name="PRICCHNG" localSheetId="1">#REF!</definedName>
    <definedName name="PRICCHNG" localSheetId="9">#REF!</definedName>
    <definedName name="PRICCHNG">#REF!</definedName>
    <definedName name="_xlnm.Print_Area" localSheetId="2">'Billing Comparison Sch 16'!$B$1:$T$38</definedName>
    <definedName name="_xlnm.Print_Area" localSheetId="3">'Billing Comparison Sch 24'!$B$3:$U$35</definedName>
    <definedName name="_xlnm.Print_Area" localSheetId="4">'Billing Comparison Sch 36'!$B$3:$K$44</definedName>
    <definedName name="_xlnm.Print_Area" localSheetId="5">'Billing Comparison Sch 40'!$B$2:$Q$39</definedName>
    <definedName name="_xlnm.Print_Area" localSheetId="8">'Billing Comparison Sch 48 Ded'!$B$2:$K$34</definedName>
    <definedName name="_xlnm.Print_Area" localSheetId="7">'Billing Comparison Sch 48 Pri'!$B$2:$K$34</definedName>
    <definedName name="_xlnm.Print_Area" localSheetId="6">'Billing Comparison Sch 48 Sec'!$B$2:$K$34</definedName>
    <definedName name="_xlnm.Print_Area" localSheetId="1">'Billing Determinants'!$A$1:$I$1281</definedName>
    <definedName name="_xlnm.Print_Area" localSheetId="0">'Est Effect of Base Rate Inc'!$B$1:$V$50</definedName>
    <definedName name="_xlnm.Print_Area" localSheetId="9">'Low Income Credit'!$A$1:$F$11</definedName>
    <definedName name="_xlnm.Print_Titles" localSheetId="1">'Billing Determinants'!$1:$10</definedName>
    <definedName name="PTABLES" localSheetId="2">#REF!</definedName>
    <definedName name="PTABLES" localSheetId="3">#REF!</definedName>
    <definedName name="PTABLES" localSheetId="4">#REF!</definedName>
    <definedName name="PTABLES" localSheetId="5">#REF!</definedName>
    <definedName name="PTABLES" localSheetId="8">#REF!</definedName>
    <definedName name="PTABLES" localSheetId="7">#REF!</definedName>
    <definedName name="PTABLES" localSheetId="6">#REF!</definedName>
    <definedName name="PTABLES" localSheetId="1">#REF!</definedName>
    <definedName name="PTABLES" localSheetId="9">#REF!</definedName>
    <definedName name="PTABLES">#REF!</definedName>
    <definedName name="PTDMOD" localSheetId="2">#REF!</definedName>
    <definedName name="PTDMOD" localSheetId="3">#REF!</definedName>
    <definedName name="PTDMOD" localSheetId="4">#REF!</definedName>
    <definedName name="PTDMOD" localSheetId="5">#REF!</definedName>
    <definedName name="PTDMOD" localSheetId="8">#REF!</definedName>
    <definedName name="PTDMOD" localSheetId="7">#REF!</definedName>
    <definedName name="PTDMOD" localSheetId="6">#REF!</definedName>
    <definedName name="PTDMOD" localSheetId="1">#REF!</definedName>
    <definedName name="PTDMOD" localSheetId="9">#REF!</definedName>
    <definedName name="PTDMOD">#REF!</definedName>
    <definedName name="PTDROLL" localSheetId="2">#REF!</definedName>
    <definedName name="PTDROLL" localSheetId="3">#REF!</definedName>
    <definedName name="PTDROLL" localSheetId="4">#REF!</definedName>
    <definedName name="PTDROLL" localSheetId="5">#REF!</definedName>
    <definedName name="PTDROLL" localSheetId="8">#REF!</definedName>
    <definedName name="PTDROLL" localSheetId="7">#REF!</definedName>
    <definedName name="PTDROLL" localSheetId="6">#REF!</definedName>
    <definedName name="PTDROLL" localSheetId="1">#REF!</definedName>
    <definedName name="PTDROLL" localSheetId="9">#REF!</definedName>
    <definedName name="PTDROLL">#REF!</definedName>
    <definedName name="PTMOD" localSheetId="2">#REF!</definedName>
    <definedName name="PTMOD" localSheetId="3">#REF!</definedName>
    <definedName name="PTMOD" localSheetId="4">#REF!</definedName>
    <definedName name="PTMOD" localSheetId="5">#REF!</definedName>
    <definedName name="PTMOD" localSheetId="8">#REF!</definedName>
    <definedName name="PTMOD" localSheetId="7">#REF!</definedName>
    <definedName name="PTMOD" localSheetId="6">#REF!</definedName>
    <definedName name="PTMOD" localSheetId="1">#REF!</definedName>
    <definedName name="PTMOD" localSheetId="9">#REF!</definedName>
    <definedName name="PTMOD">#REF!</definedName>
    <definedName name="PTROLL" localSheetId="2">#REF!</definedName>
    <definedName name="PTROLL" localSheetId="3">#REF!</definedName>
    <definedName name="PTROLL" localSheetId="4">#REF!</definedName>
    <definedName name="PTROLL" localSheetId="5">#REF!</definedName>
    <definedName name="PTROLL" localSheetId="8">#REF!</definedName>
    <definedName name="PTROLL" localSheetId="7">#REF!</definedName>
    <definedName name="PTROLL" localSheetId="6">#REF!</definedName>
    <definedName name="PTROLL" localSheetId="1">#REF!</definedName>
    <definedName name="PTROLL" localSheetId="9">#REF!</definedName>
    <definedName name="PTROLL">#REF!</definedName>
    <definedName name="PWORKBACK" localSheetId="2">#REF!</definedName>
    <definedName name="PWORKBACK" localSheetId="3">#REF!</definedName>
    <definedName name="PWORKBACK" localSheetId="4">#REF!</definedName>
    <definedName name="PWORKBACK" localSheetId="5">#REF!</definedName>
    <definedName name="PWORKBACK" localSheetId="8">#REF!</definedName>
    <definedName name="PWORKBACK" localSheetId="7">#REF!</definedName>
    <definedName name="PWORKBACK" localSheetId="6">#REF!</definedName>
    <definedName name="PWORKBACK" localSheetId="1">#REF!</definedName>
    <definedName name="PWORKBACK" localSheetId="9">#REF!</definedName>
    <definedName name="PWORKBACK">#REF!</definedName>
    <definedName name="Query1" localSheetId="2">#REF!</definedName>
    <definedName name="Query1" localSheetId="3">#REF!</definedName>
    <definedName name="Query1" localSheetId="4">#REF!</definedName>
    <definedName name="Query1" localSheetId="5">#REF!</definedName>
    <definedName name="Query1" localSheetId="8">#REF!</definedName>
    <definedName name="Query1" localSheetId="7">#REF!</definedName>
    <definedName name="Query1" localSheetId="6">#REF!</definedName>
    <definedName name="Query1" localSheetId="1">#REF!</definedName>
    <definedName name="Query1" localSheetId="9">#REF!</definedName>
    <definedName name="Query1">#REF!</definedName>
    <definedName name="Rates">[26]Codes!$A$1:$C$500</definedName>
    <definedName name="RC_ADJ" localSheetId="2">#REF!</definedName>
    <definedName name="RC_ADJ" localSheetId="3">#REF!</definedName>
    <definedName name="RC_ADJ" localSheetId="4">#REF!</definedName>
    <definedName name="RC_ADJ" localSheetId="5">#REF!</definedName>
    <definedName name="RC_ADJ" localSheetId="8">#REF!</definedName>
    <definedName name="RC_ADJ" localSheetId="7">#REF!</definedName>
    <definedName name="RC_ADJ" localSheetId="6">#REF!</definedName>
    <definedName name="RC_ADJ" localSheetId="1">#REF!</definedName>
    <definedName name="RC_ADJ" localSheetId="9">#REF!</definedName>
    <definedName name="RC_ADJ">#REF!</definedName>
    <definedName name="RESADJ" localSheetId="2">#REF!</definedName>
    <definedName name="RESADJ" localSheetId="3">#REF!</definedName>
    <definedName name="RESADJ" localSheetId="4">#REF!</definedName>
    <definedName name="RESADJ" localSheetId="5">#REF!</definedName>
    <definedName name="RESADJ" localSheetId="8">#REF!</definedName>
    <definedName name="RESADJ" localSheetId="7">#REF!</definedName>
    <definedName name="RESADJ" localSheetId="6">#REF!</definedName>
    <definedName name="RESADJ" localSheetId="1">#REF!</definedName>
    <definedName name="RESADJ" localSheetId="9">#REF!</definedName>
    <definedName name="RESADJ">#REF!</definedName>
    <definedName name="ResourceSupplier">[14]Variables!$D$28</definedName>
    <definedName name="retail_CC" localSheetId="8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8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_SCHD" localSheetId="2">#REF!</definedName>
    <definedName name="REV_SCHD" localSheetId="3">#REF!</definedName>
    <definedName name="REV_SCHD" localSheetId="4">#REF!</definedName>
    <definedName name="REV_SCHD" localSheetId="5">#REF!</definedName>
    <definedName name="REV_SCHD" localSheetId="8">#REF!</definedName>
    <definedName name="REV_SCHD" localSheetId="7">#REF!</definedName>
    <definedName name="REV_SCHD" localSheetId="6">#REF!</definedName>
    <definedName name="REV_SCHD" localSheetId="1">#REF!</definedName>
    <definedName name="REV_SCHD" localSheetId="9">#REF!</definedName>
    <definedName name="REV_SCHD">#REF!</definedName>
    <definedName name="RevClass">[26]Codes!$F$2:$G$10</definedName>
    <definedName name="Revenue_by_month_take_2" localSheetId="2">#REF!</definedName>
    <definedName name="Revenue_by_month_take_2" localSheetId="3">#REF!</definedName>
    <definedName name="Revenue_by_month_take_2" localSheetId="4">#REF!</definedName>
    <definedName name="Revenue_by_month_take_2" localSheetId="5">#REF!</definedName>
    <definedName name="Revenue_by_month_take_2" localSheetId="8">#REF!</definedName>
    <definedName name="Revenue_by_month_take_2" localSheetId="7">#REF!</definedName>
    <definedName name="Revenue_by_month_take_2" localSheetId="6">#REF!</definedName>
    <definedName name="Revenue_by_month_take_2" localSheetId="1">#REF!</definedName>
    <definedName name="Revenue_by_month_take_2" localSheetId="9">#REF!</definedName>
    <definedName name="Revenue_by_month_take_2">#REF!</definedName>
    <definedName name="RevenueCheck" localSheetId="2">#REF!</definedName>
    <definedName name="RevenueCheck" localSheetId="3">#REF!</definedName>
    <definedName name="RevenueCheck" localSheetId="4">#REF!</definedName>
    <definedName name="RevenueCheck" localSheetId="5">#REF!</definedName>
    <definedName name="RevenueCheck" localSheetId="8">#REF!</definedName>
    <definedName name="RevenueCheck" localSheetId="7">#REF!</definedName>
    <definedName name="RevenueCheck" localSheetId="6">#REF!</definedName>
    <definedName name="RevenueCheck" localSheetId="1">#REF!</definedName>
    <definedName name="RevenueCheck" localSheetId="9">#REF!</definedName>
    <definedName name="RevenueCheck">#REF!</definedName>
    <definedName name="RevReqSettle" localSheetId="2">#REF!</definedName>
    <definedName name="RevReqSettle" localSheetId="3">#REF!</definedName>
    <definedName name="RevReqSettle" localSheetId="4">#REF!</definedName>
    <definedName name="RevReqSettle" localSheetId="5">#REF!</definedName>
    <definedName name="RevReqSettle" localSheetId="8">#REF!</definedName>
    <definedName name="RevReqSettle" localSheetId="7">#REF!</definedName>
    <definedName name="RevReqSettle" localSheetId="6">#REF!</definedName>
    <definedName name="RevReqSettle" localSheetId="1">#REF!</definedName>
    <definedName name="RevReqSettle" localSheetId="9">#REF!</definedName>
    <definedName name="RevReqSettle">#REF!</definedName>
    <definedName name="REVVSTRS" localSheetId="2">#REF!</definedName>
    <definedName name="REVVSTRS" localSheetId="3">#REF!</definedName>
    <definedName name="REVVSTRS" localSheetId="4">#REF!</definedName>
    <definedName name="REVVSTRS" localSheetId="5">#REF!</definedName>
    <definedName name="REVVSTRS" localSheetId="8">#REF!</definedName>
    <definedName name="REVVSTRS" localSheetId="7">#REF!</definedName>
    <definedName name="REVVSTRS" localSheetId="6">#REF!</definedName>
    <definedName name="REVVSTRS" localSheetId="1">#REF!</definedName>
    <definedName name="REVVSTRS" localSheetId="9">#REF!</definedName>
    <definedName name="REVVSTRS">#REF!</definedName>
    <definedName name="RISFORM" localSheetId="2">#REF!</definedName>
    <definedName name="RISFORM" localSheetId="3">#REF!</definedName>
    <definedName name="RISFORM" localSheetId="4">#REF!</definedName>
    <definedName name="RISFORM" localSheetId="5">#REF!</definedName>
    <definedName name="RISFORM" localSheetId="8">#REF!</definedName>
    <definedName name="RISFORM" localSheetId="7">#REF!</definedName>
    <definedName name="RISFORM" localSheetId="6">#REF!</definedName>
    <definedName name="RISFORM" localSheetId="1">#REF!</definedName>
    <definedName name="RISFORM" localSheetId="9">#REF!</definedName>
    <definedName name="RISFORM">#REF!</definedName>
    <definedName name="SCH33CUSTS" localSheetId="2">#REF!</definedName>
    <definedName name="SCH33CUSTS" localSheetId="3">#REF!</definedName>
    <definedName name="SCH33CUSTS" localSheetId="4">#REF!</definedName>
    <definedName name="SCH33CUSTS" localSheetId="5">#REF!</definedName>
    <definedName name="SCH33CUSTS" localSheetId="8">#REF!</definedName>
    <definedName name="SCH33CUSTS" localSheetId="7">#REF!</definedName>
    <definedName name="SCH33CUSTS" localSheetId="6">#REF!</definedName>
    <definedName name="SCH33CUSTS" localSheetId="1">#REF!</definedName>
    <definedName name="SCH33CUSTS" localSheetId="9">#REF!</definedName>
    <definedName name="SCH33CUSTS">#REF!</definedName>
    <definedName name="SCH48ADJ" localSheetId="2">#REF!</definedName>
    <definedName name="SCH48ADJ" localSheetId="3">#REF!</definedName>
    <definedName name="SCH48ADJ" localSheetId="4">#REF!</definedName>
    <definedName name="SCH48ADJ" localSheetId="5">#REF!</definedName>
    <definedName name="SCH48ADJ" localSheetId="8">#REF!</definedName>
    <definedName name="SCH48ADJ" localSheetId="7">#REF!</definedName>
    <definedName name="SCH48ADJ" localSheetId="6">#REF!</definedName>
    <definedName name="SCH48ADJ" localSheetId="1">#REF!</definedName>
    <definedName name="SCH48ADJ" localSheetId="9">#REF!</definedName>
    <definedName name="SCH48ADJ">#REF!</definedName>
    <definedName name="SCH98NOR" localSheetId="2">#REF!</definedName>
    <definedName name="SCH98NOR" localSheetId="3">#REF!</definedName>
    <definedName name="SCH98NOR" localSheetId="4">#REF!</definedName>
    <definedName name="SCH98NOR" localSheetId="5">#REF!</definedName>
    <definedName name="SCH98NOR" localSheetId="8">#REF!</definedName>
    <definedName name="SCH98NOR" localSheetId="7">#REF!</definedName>
    <definedName name="SCH98NOR" localSheetId="6">#REF!</definedName>
    <definedName name="SCH98NOR" localSheetId="1">#REF!</definedName>
    <definedName name="SCH98NOR" localSheetId="9">#REF!</definedName>
    <definedName name="SCH98NOR">#REF!</definedName>
    <definedName name="SCHED47" localSheetId="2">#REF!</definedName>
    <definedName name="SCHED47" localSheetId="3">#REF!</definedName>
    <definedName name="SCHED47" localSheetId="4">#REF!</definedName>
    <definedName name="SCHED47" localSheetId="5">#REF!</definedName>
    <definedName name="SCHED47" localSheetId="8">#REF!</definedName>
    <definedName name="SCHED47" localSheetId="7">#REF!</definedName>
    <definedName name="SCHED47" localSheetId="6">#REF!</definedName>
    <definedName name="SCHED47" localSheetId="1">#REF!</definedName>
    <definedName name="SCHED47" localSheetId="9">#REF!</definedName>
    <definedName name="SCHED47">#REF!</definedName>
    <definedName name="Schedule">[12]Inputs!$N$14</definedName>
    <definedName name="se" localSheetId="2">#REF!</definedName>
    <definedName name="se" localSheetId="3">#REF!</definedName>
    <definedName name="se" localSheetId="4">#REF!</definedName>
    <definedName name="se" localSheetId="5">#REF!</definedName>
    <definedName name="se" localSheetId="8">#REF!</definedName>
    <definedName name="se" localSheetId="7">#REF!</definedName>
    <definedName name="se" localSheetId="6">#REF!</definedName>
    <definedName name="se" localSheetId="1">#REF!</definedName>
    <definedName name="se" localSheetId="9">#REF!</definedName>
    <definedName name="se">#REF!</definedName>
    <definedName name="SECOND" localSheetId="2">[1]Jan!#REF!</definedName>
    <definedName name="SECOND" localSheetId="3">[1]Jan!#REF!</definedName>
    <definedName name="SECOND" localSheetId="4">[1]Jan!#REF!</definedName>
    <definedName name="SECOND" localSheetId="5">[1]Jan!#REF!</definedName>
    <definedName name="SECOND" localSheetId="8">[1]Jan!#REF!</definedName>
    <definedName name="SECOND" localSheetId="7">[1]Jan!#REF!</definedName>
    <definedName name="SECOND" localSheetId="6">[1]Jan!#REF!</definedName>
    <definedName name="SECOND" localSheetId="1">[1]Jan!#REF!</definedName>
    <definedName name="SECOND" localSheetId="9">[1]Jan!#REF!</definedName>
    <definedName name="SECOND">[1]Jan!#REF!</definedName>
    <definedName name="SEP" localSheetId="2">[15]Backup!#REF!</definedName>
    <definedName name="SEP" localSheetId="3">[15]Backup!#REF!</definedName>
    <definedName name="SEP" localSheetId="4">[15]Backup!#REF!</definedName>
    <definedName name="SEP" localSheetId="5">[15]Backup!#REF!</definedName>
    <definedName name="SEP" localSheetId="8">[15]Backup!#REF!</definedName>
    <definedName name="SEP" localSheetId="7">[15]Backup!#REF!</definedName>
    <definedName name="SEP" localSheetId="6">[15]Backup!#REF!</definedName>
    <definedName name="SEP" localSheetId="1">#REF!</definedName>
    <definedName name="SEP" localSheetId="9">[15]Backup!#REF!</definedName>
    <definedName name="SEP">[15]Backup!#REF!</definedName>
    <definedName name="SEPT" localSheetId="2">#REF!</definedName>
    <definedName name="SEPT" localSheetId="3">#REF!</definedName>
    <definedName name="SEPT" localSheetId="4">#REF!</definedName>
    <definedName name="SEPT" localSheetId="5">#REF!</definedName>
    <definedName name="SEPT" localSheetId="8">#REF!</definedName>
    <definedName name="SEPT" localSheetId="7">#REF!</definedName>
    <definedName name="SEPT" localSheetId="6">#REF!</definedName>
    <definedName name="SEPT" localSheetId="1">#REF!</definedName>
    <definedName name="SEPT" localSheetId="9">#REF!</definedName>
    <definedName name="SEPT">#REF!</definedName>
    <definedName name="SERVICES_3" localSheetId="2">#REF!</definedName>
    <definedName name="SERVICES_3" localSheetId="3">#REF!</definedName>
    <definedName name="SERVICES_3" localSheetId="4">#REF!</definedName>
    <definedName name="SERVICES_3" localSheetId="5">#REF!</definedName>
    <definedName name="SERVICES_3" localSheetId="8">#REF!</definedName>
    <definedName name="SERVICES_3" localSheetId="7">#REF!</definedName>
    <definedName name="SERVICES_3" localSheetId="6">#REF!</definedName>
    <definedName name="SERVICES_3" localSheetId="1">#REF!</definedName>
    <definedName name="SERVICES_3" localSheetId="9">#REF!</definedName>
    <definedName name="SERVICES_3">#REF!</definedName>
    <definedName name="sg" localSheetId="2">#REF!</definedName>
    <definedName name="sg" localSheetId="3">#REF!</definedName>
    <definedName name="sg" localSheetId="4">#REF!</definedName>
    <definedName name="sg" localSheetId="5">#REF!</definedName>
    <definedName name="sg" localSheetId="8">#REF!</definedName>
    <definedName name="sg" localSheetId="7">#REF!</definedName>
    <definedName name="sg" localSheetId="6">#REF!</definedName>
    <definedName name="sg" localSheetId="1">#REF!</definedName>
    <definedName name="sg" localSheetId="9">#REF!</definedName>
    <definedName name="sg">#REF!</definedName>
    <definedName name="START" localSheetId="2">[1]Jan!#REF!</definedName>
    <definedName name="START" localSheetId="3">[1]Jan!#REF!</definedName>
    <definedName name="START" localSheetId="4">[1]Jan!#REF!</definedName>
    <definedName name="START" localSheetId="5">[1]Jan!#REF!</definedName>
    <definedName name="START" localSheetId="8">[1]Jan!#REF!</definedName>
    <definedName name="START" localSheetId="7">[1]Jan!#REF!</definedName>
    <definedName name="START" localSheetId="6">[1]Jan!#REF!</definedName>
    <definedName name="START" localSheetId="1">[1]Jan!#REF!</definedName>
    <definedName name="START" localSheetId="9">[1]Jan!#REF!</definedName>
    <definedName name="START">[1]Jan!#REF!</definedName>
    <definedName name="SUM_TAB1" localSheetId="2">#REF!</definedName>
    <definedName name="SUM_TAB1" localSheetId="3">#REF!</definedName>
    <definedName name="SUM_TAB1" localSheetId="4">#REF!</definedName>
    <definedName name="SUM_TAB1" localSheetId="5">#REF!</definedName>
    <definedName name="SUM_TAB1" localSheetId="8">#REF!</definedName>
    <definedName name="SUM_TAB1" localSheetId="7">#REF!</definedName>
    <definedName name="SUM_TAB1" localSheetId="6">#REF!</definedName>
    <definedName name="SUM_TAB1" localSheetId="1">#REF!</definedName>
    <definedName name="SUM_TAB1" localSheetId="9">#REF!</definedName>
    <definedName name="SUM_TAB1">#REF!</definedName>
    <definedName name="SUM_TAB2" localSheetId="2">#REF!</definedName>
    <definedName name="SUM_TAB2" localSheetId="3">#REF!</definedName>
    <definedName name="SUM_TAB2" localSheetId="4">#REF!</definedName>
    <definedName name="SUM_TAB2" localSheetId="5">#REF!</definedName>
    <definedName name="SUM_TAB2" localSheetId="8">#REF!</definedName>
    <definedName name="SUM_TAB2" localSheetId="7">#REF!</definedName>
    <definedName name="SUM_TAB2" localSheetId="6">#REF!</definedName>
    <definedName name="SUM_TAB2" localSheetId="1">#REF!</definedName>
    <definedName name="SUM_TAB2" localSheetId="9">#REF!</definedName>
    <definedName name="SUM_TAB2">#REF!</definedName>
    <definedName name="SUM_TAB3" localSheetId="2">#REF!</definedName>
    <definedName name="SUM_TAB3" localSheetId="3">#REF!</definedName>
    <definedName name="SUM_TAB3" localSheetId="4">#REF!</definedName>
    <definedName name="SUM_TAB3" localSheetId="5">#REF!</definedName>
    <definedName name="SUM_TAB3" localSheetId="8">#REF!</definedName>
    <definedName name="SUM_TAB3" localSheetId="7">#REF!</definedName>
    <definedName name="SUM_TAB3" localSheetId="6">#REF!</definedName>
    <definedName name="SUM_TAB3" localSheetId="1">#REF!</definedName>
    <definedName name="SUM_TAB3" localSheetId="9">#REF!</definedName>
    <definedName name="SUM_TAB3">#REF!</definedName>
    <definedName name="TABLE_1" localSheetId="2">#REF!</definedName>
    <definedName name="TABLE_1" localSheetId="3">#REF!</definedName>
    <definedName name="TABLE_1" localSheetId="4">#REF!</definedName>
    <definedName name="TABLE_1" localSheetId="5">#REF!</definedName>
    <definedName name="TABLE_1" localSheetId="8">#REF!</definedName>
    <definedName name="TABLE_1" localSheetId="7">#REF!</definedName>
    <definedName name="TABLE_1" localSheetId="6">#REF!</definedName>
    <definedName name="TABLE_1" localSheetId="1">#REF!</definedName>
    <definedName name="TABLE_1" localSheetId="9">#REF!</definedName>
    <definedName name="TABLE_1">#REF!</definedName>
    <definedName name="TABLE_2" localSheetId="2">#REF!</definedName>
    <definedName name="TABLE_2" localSheetId="3">#REF!</definedName>
    <definedName name="TABLE_2" localSheetId="4">#REF!</definedName>
    <definedName name="TABLE_2" localSheetId="5">#REF!</definedName>
    <definedName name="TABLE_2" localSheetId="8">#REF!</definedName>
    <definedName name="TABLE_2" localSheetId="7">#REF!</definedName>
    <definedName name="TABLE_2" localSheetId="6">#REF!</definedName>
    <definedName name="TABLE_2" localSheetId="1">#REF!</definedName>
    <definedName name="TABLE_2" localSheetId="9">#REF!</definedName>
    <definedName name="TABLE_2">#REF!</definedName>
    <definedName name="TABLE_3" localSheetId="2">#REF!</definedName>
    <definedName name="TABLE_3" localSheetId="3">#REF!</definedName>
    <definedName name="TABLE_3" localSheetId="4">#REF!</definedName>
    <definedName name="TABLE_3" localSheetId="5">#REF!</definedName>
    <definedName name="TABLE_3" localSheetId="8">#REF!</definedName>
    <definedName name="TABLE_3" localSheetId="7">#REF!</definedName>
    <definedName name="TABLE_3" localSheetId="6">#REF!</definedName>
    <definedName name="TABLE_3" localSheetId="1">#REF!</definedName>
    <definedName name="TABLE_3" localSheetId="9">#REF!</definedName>
    <definedName name="TABLE_3">#REF!</definedName>
    <definedName name="TABLE_4" localSheetId="2">#REF!</definedName>
    <definedName name="TABLE_4" localSheetId="3">#REF!</definedName>
    <definedName name="TABLE_4" localSheetId="4">#REF!</definedName>
    <definedName name="TABLE_4" localSheetId="5">#REF!</definedName>
    <definedName name="TABLE_4" localSheetId="8">#REF!</definedName>
    <definedName name="TABLE_4" localSheetId="7">#REF!</definedName>
    <definedName name="TABLE_4" localSheetId="6">#REF!</definedName>
    <definedName name="TABLE_4" localSheetId="1">#REF!</definedName>
    <definedName name="TABLE_4" localSheetId="9">#REF!</definedName>
    <definedName name="TABLE_4">#REF!</definedName>
    <definedName name="TABLE_4_A" localSheetId="2">#REF!</definedName>
    <definedName name="TABLE_4_A" localSheetId="3">#REF!</definedName>
    <definedName name="TABLE_4_A" localSheetId="4">#REF!</definedName>
    <definedName name="TABLE_4_A" localSheetId="5">#REF!</definedName>
    <definedName name="TABLE_4_A" localSheetId="8">#REF!</definedName>
    <definedName name="TABLE_4_A" localSheetId="7">#REF!</definedName>
    <definedName name="TABLE_4_A" localSheetId="6">#REF!</definedName>
    <definedName name="TABLE_4_A" localSheetId="1">#REF!</definedName>
    <definedName name="TABLE_4_A" localSheetId="9">#REF!</definedName>
    <definedName name="TABLE_4_A">#REF!</definedName>
    <definedName name="TABLE_5" localSheetId="2">#REF!</definedName>
    <definedName name="TABLE_5" localSheetId="3">#REF!</definedName>
    <definedName name="TABLE_5" localSheetId="4">#REF!</definedName>
    <definedName name="TABLE_5" localSheetId="5">#REF!</definedName>
    <definedName name="TABLE_5" localSheetId="8">#REF!</definedName>
    <definedName name="TABLE_5" localSheetId="7">#REF!</definedName>
    <definedName name="TABLE_5" localSheetId="6">#REF!</definedName>
    <definedName name="TABLE_5" localSheetId="1">#REF!</definedName>
    <definedName name="TABLE_5" localSheetId="9">#REF!</definedName>
    <definedName name="TABLE_5">#REF!</definedName>
    <definedName name="TABLE_6" localSheetId="2">#REF!</definedName>
    <definedName name="TABLE_6" localSheetId="3">#REF!</definedName>
    <definedName name="TABLE_6" localSheetId="4">#REF!</definedName>
    <definedName name="TABLE_6" localSheetId="5">#REF!</definedName>
    <definedName name="TABLE_6" localSheetId="8">#REF!</definedName>
    <definedName name="TABLE_6" localSheetId="7">#REF!</definedName>
    <definedName name="TABLE_6" localSheetId="6">#REF!</definedName>
    <definedName name="TABLE_6" localSheetId="1">#REF!</definedName>
    <definedName name="TABLE_6" localSheetId="9">#REF!</definedName>
    <definedName name="TABLE_6">#REF!</definedName>
    <definedName name="TABLE_7" localSheetId="2">#REF!</definedName>
    <definedName name="TABLE_7" localSheetId="3">#REF!</definedName>
    <definedName name="TABLE_7" localSheetId="4">#REF!</definedName>
    <definedName name="TABLE_7" localSheetId="5">#REF!</definedName>
    <definedName name="TABLE_7" localSheetId="8">#REF!</definedName>
    <definedName name="TABLE_7" localSheetId="7">#REF!</definedName>
    <definedName name="TABLE_7" localSheetId="6">#REF!</definedName>
    <definedName name="TABLE_7" localSheetId="1">#REF!</definedName>
    <definedName name="TABLE_7" localSheetId="9">#REF!</definedName>
    <definedName name="TABLE_7">#REF!</definedName>
    <definedName name="TABLE1" localSheetId="2">#REF!</definedName>
    <definedName name="TABLE1" localSheetId="3">#REF!</definedName>
    <definedName name="TABLE1" localSheetId="4">#REF!</definedName>
    <definedName name="TABLE1" localSheetId="5">#REF!</definedName>
    <definedName name="TABLE1" localSheetId="8">#REF!</definedName>
    <definedName name="TABLE1" localSheetId="7">#REF!</definedName>
    <definedName name="TABLE1" localSheetId="6">#REF!</definedName>
    <definedName name="TABLE1" localSheetId="1">#REF!</definedName>
    <definedName name="TABLE1" localSheetId="9">#REF!</definedName>
    <definedName name="TABLE1">#REF!</definedName>
    <definedName name="TABLE2" localSheetId="2">#REF!</definedName>
    <definedName name="TABLE2" localSheetId="3">#REF!</definedName>
    <definedName name="TABLE2" localSheetId="4">#REF!</definedName>
    <definedName name="TABLE2" localSheetId="5">#REF!</definedName>
    <definedName name="TABLE2" localSheetId="8">#REF!</definedName>
    <definedName name="TABLE2" localSheetId="7">#REF!</definedName>
    <definedName name="TABLE2" localSheetId="6">#REF!</definedName>
    <definedName name="TABLE2" localSheetId="1">#REF!</definedName>
    <definedName name="TABLE2" localSheetId="9">#REF!</definedName>
    <definedName name="TABLE2">#REF!</definedName>
    <definedName name="TABLEA" localSheetId="2">#REF!</definedName>
    <definedName name="TABLEA" localSheetId="3">#REF!</definedName>
    <definedName name="TABLEA" localSheetId="4">#REF!</definedName>
    <definedName name="TABLEA" localSheetId="5">#REF!</definedName>
    <definedName name="TABLEA" localSheetId="8">#REF!</definedName>
    <definedName name="TABLEA" localSheetId="7">#REF!</definedName>
    <definedName name="TABLEA" localSheetId="6">#REF!</definedName>
    <definedName name="TABLEA" localSheetId="1">#REF!</definedName>
    <definedName name="TABLEA" localSheetId="0">'Est Effect of Base Rate Inc'!$B$3:$AB$47</definedName>
    <definedName name="TABLEA" localSheetId="9">#REF!</definedName>
    <definedName name="TABLEA">#REF!</definedName>
    <definedName name="TABLEONE" localSheetId="2">#REF!</definedName>
    <definedName name="TABLEONE" localSheetId="3">#REF!</definedName>
    <definedName name="TABLEONE" localSheetId="4">#REF!</definedName>
    <definedName name="TABLEONE" localSheetId="5">#REF!</definedName>
    <definedName name="TABLEONE" localSheetId="8">#REF!</definedName>
    <definedName name="TABLEONE" localSheetId="7">#REF!</definedName>
    <definedName name="TABLEONE" localSheetId="6">#REF!</definedName>
    <definedName name="TABLEONE" localSheetId="1">#REF!</definedName>
    <definedName name="TABLEONE" localSheetId="9">#REF!</definedName>
    <definedName name="TABLEONE">#REF!</definedName>
    <definedName name="TargetROR">[9]Inputs!$G$29</definedName>
    <definedName name="TDMOD" localSheetId="2">#REF!</definedName>
    <definedName name="TDMOD" localSheetId="3">#REF!</definedName>
    <definedName name="TDMOD" localSheetId="4">#REF!</definedName>
    <definedName name="TDMOD" localSheetId="5">#REF!</definedName>
    <definedName name="TDMOD" localSheetId="8">#REF!</definedName>
    <definedName name="TDMOD" localSheetId="7">#REF!</definedName>
    <definedName name="TDMOD" localSheetId="6">#REF!</definedName>
    <definedName name="TDMOD" localSheetId="1">#REF!</definedName>
    <definedName name="TDMOD" localSheetId="9">#REF!</definedName>
    <definedName name="TDMOD">#REF!</definedName>
    <definedName name="TDROLL" localSheetId="2">#REF!</definedName>
    <definedName name="TDROLL" localSheetId="3">#REF!</definedName>
    <definedName name="TDROLL" localSheetId="4">#REF!</definedName>
    <definedName name="TDROLL" localSheetId="5">#REF!</definedName>
    <definedName name="TDROLL" localSheetId="8">#REF!</definedName>
    <definedName name="TDROLL" localSheetId="7">#REF!</definedName>
    <definedName name="TDROLL" localSheetId="6">#REF!</definedName>
    <definedName name="TDROLL" localSheetId="1">#REF!</definedName>
    <definedName name="TDROLL" localSheetId="9">#REF!</definedName>
    <definedName name="TDROLL">#REF!</definedName>
    <definedName name="TEMPADJ" localSheetId="2">#REF!</definedName>
    <definedName name="TEMPADJ" localSheetId="3">#REF!</definedName>
    <definedName name="TEMPADJ" localSheetId="4">#REF!</definedName>
    <definedName name="TEMPADJ" localSheetId="5">#REF!</definedName>
    <definedName name="TEMPADJ" localSheetId="8">#REF!</definedName>
    <definedName name="TEMPADJ" localSheetId="7">#REF!</definedName>
    <definedName name="TEMPADJ" localSheetId="6">#REF!</definedName>
    <definedName name="TEMPADJ" localSheetId="1">#REF!</definedName>
    <definedName name="TEMPADJ" localSheetId="9">#REF!</definedName>
    <definedName name="TEMPADJ">#REF!</definedName>
    <definedName name="Test" localSheetId="2">#REF!</definedName>
    <definedName name="Test" localSheetId="3">#REF!</definedName>
    <definedName name="Test" localSheetId="4">#REF!</definedName>
    <definedName name="Test" localSheetId="5">#REF!</definedName>
    <definedName name="Test" localSheetId="8">#REF!</definedName>
    <definedName name="Test" localSheetId="7">#REF!</definedName>
    <definedName name="Test" localSheetId="6">#REF!</definedName>
    <definedName name="Test" localSheetId="1">#REF!</definedName>
    <definedName name="Test" localSheetId="9">#REF!</definedName>
    <definedName name="Test">#REF!</definedName>
    <definedName name="Test1" localSheetId="2">#REF!</definedName>
    <definedName name="Test1" localSheetId="3">#REF!</definedName>
    <definedName name="Test1" localSheetId="4">#REF!</definedName>
    <definedName name="Test1" localSheetId="5">#REF!</definedName>
    <definedName name="Test1" localSheetId="8">#REF!</definedName>
    <definedName name="Test1" localSheetId="7">#REF!</definedName>
    <definedName name="Test1" localSheetId="6">#REF!</definedName>
    <definedName name="Test1" localSheetId="1">#REF!</definedName>
    <definedName name="Test1" localSheetId="9">#REF!</definedName>
    <definedName name="Test1">#REF!</definedName>
    <definedName name="Test2" localSheetId="2">#REF!</definedName>
    <definedName name="Test2" localSheetId="3">#REF!</definedName>
    <definedName name="Test2" localSheetId="4">#REF!</definedName>
    <definedName name="Test2" localSheetId="5">#REF!</definedName>
    <definedName name="Test2" localSheetId="8">#REF!</definedName>
    <definedName name="Test2" localSheetId="7">#REF!</definedName>
    <definedName name="Test2" localSheetId="6">#REF!</definedName>
    <definedName name="Test2" localSheetId="1">#REF!</definedName>
    <definedName name="Test2" localSheetId="9">#REF!</definedName>
    <definedName name="Test2">#REF!</definedName>
    <definedName name="Test3" localSheetId="2">#REF!</definedName>
    <definedName name="Test3" localSheetId="3">#REF!</definedName>
    <definedName name="Test3" localSheetId="4">#REF!</definedName>
    <definedName name="Test3" localSheetId="5">#REF!</definedName>
    <definedName name="Test3" localSheetId="8">#REF!</definedName>
    <definedName name="Test3" localSheetId="7">#REF!</definedName>
    <definedName name="Test3" localSheetId="6">#REF!</definedName>
    <definedName name="Test3" localSheetId="1">#REF!</definedName>
    <definedName name="Test3" localSheetId="9">#REF!</definedName>
    <definedName name="Test3">#REF!</definedName>
    <definedName name="Test4" localSheetId="2">#REF!</definedName>
    <definedName name="Test4" localSheetId="3">#REF!</definedName>
    <definedName name="Test4" localSheetId="4">#REF!</definedName>
    <definedName name="Test4" localSheetId="5">#REF!</definedName>
    <definedName name="Test4" localSheetId="8">#REF!</definedName>
    <definedName name="Test4" localSheetId="7">#REF!</definedName>
    <definedName name="Test4" localSheetId="6">#REF!</definedName>
    <definedName name="Test4" localSheetId="1">#REF!</definedName>
    <definedName name="Test4" localSheetId="9">#REF!</definedName>
    <definedName name="Test4">#REF!</definedName>
    <definedName name="Test5" localSheetId="2">#REF!</definedName>
    <definedName name="Test5" localSheetId="3">#REF!</definedName>
    <definedName name="Test5" localSheetId="4">#REF!</definedName>
    <definedName name="Test5" localSheetId="5">#REF!</definedName>
    <definedName name="Test5" localSheetId="8">#REF!</definedName>
    <definedName name="Test5" localSheetId="7">#REF!</definedName>
    <definedName name="Test5" localSheetId="6">#REF!</definedName>
    <definedName name="Test5" localSheetId="1">#REF!</definedName>
    <definedName name="Test5" localSheetId="9">#REF!</definedName>
    <definedName name="Test5">#REF!</definedName>
    <definedName name="TestPeriod">[10]Inputs!$C$5</definedName>
    <definedName name="TotalRateBase">'[10]G+T+D+R+M'!$H$58</definedName>
    <definedName name="TRANSM_2">[27]Transm2!$A$1:$M$461:'[27]10 Yr FC'!$M$47</definedName>
    <definedName name="UAACT115S" localSheetId="2">'[12]Functional Study'!#REF!</definedName>
    <definedName name="UAACT115S" localSheetId="3">'[12]Functional Study'!#REF!</definedName>
    <definedName name="UAACT115S" localSheetId="4">'[12]Functional Study'!#REF!</definedName>
    <definedName name="UAACT115S" localSheetId="5">'[12]Functional Study'!#REF!</definedName>
    <definedName name="UAACT115S" localSheetId="8">'[12]Functional Study'!#REF!</definedName>
    <definedName name="UAACT115S" localSheetId="7">'[12]Functional Study'!#REF!</definedName>
    <definedName name="UAACT115S" localSheetId="6">'[12]Functional Study'!#REF!</definedName>
    <definedName name="UAACT115S" localSheetId="1">'[12]Functional Study'!#REF!</definedName>
    <definedName name="UAACT115S" localSheetId="9">'[12]Functional Study'!#REF!</definedName>
    <definedName name="UAACT115S">'[12]Functional Study'!#REF!</definedName>
    <definedName name="UAcct103">'[10]Func Study'!$AB$1613</definedName>
    <definedName name="UAcct105Dnpg">'[10]Func Study'!$AB$2010</definedName>
    <definedName name="UAcct105S">'[10]Func Study'!$AB$2005</definedName>
    <definedName name="UAcct105Seu">'[10]Func Study'!$AB$2009</definedName>
    <definedName name="UAcct105Snppo">'[10]Func Study'!$AB$2008</definedName>
    <definedName name="UAcct105Snpps">'[10]Func Study'!$AB$2006</definedName>
    <definedName name="UAcct105Snpt">'[10]Func Study'!$AB$2007</definedName>
    <definedName name="UAcct1081390">'[10]Func Study'!$AB$2451</definedName>
    <definedName name="UAcct1081390Rcl">'[10]Func Study'!$AB$2450</definedName>
    <definedName name="UAcct1081399">'[10]Func Study'!$AB$2459</definedName>
    <definedName name="UAcct1081399Rcl">'[10]Func Study'!$AB$2458</definedName>
    <definedName name="UAcct108360">'[10]Func Study'!$AB$2355</definedName>
    <definedName name="UAcct108361">'[10]Func Study'!$AB$2359</definedName>
    <definedName name="UAcct108362">'[10]Func Study'!$AB$2363</definedName>
    <definedName name="UAcct108364">'[10]Func Study'!$AB$2367</definedName>
    <definedName name="UAcct108365">'[10]Func Study'!$AB$2371</definedName>
    <definedName name="UAcct108366">'[10]Func Study'!$AB$2375</definedName>
    <definedName name="UAcct108367">'[10]Func Study'!$AB$2379</definedName>
    <definedName name="UAcct108368">'[10]Func Study'!$AB$2383</definedName>
    <definedName name="UAcct108369">'[10]Func Study'!$AB$2387</definedName>
    <definedName name="UAcct108370">'[10]Func Study'!$AB$2391</definedName>
    <definedName name="UAcct108371">'[10]Func Study'!$AB$2395</definedName>
    <definedName name="UAcct108372">'[10]Func Study'!$AB$2399</definedName>
    <definedName name="UAcct108373">'[10]Func Study'!$AB$2403</definedName>
    <definedName name="UAcct108D">'[10]Func Study'!$AB$2415</definedName>
    <definedName name="UAcct108D00">'[10]Func Study'!$AB$2407</definedName>
    <definedName name="UAcct108Ds">'[10]Func Study'!$AB$2411</definedName>
    <definedName name="UAcct108Ep">'[10]Func Study'!$AB$2327</definedName>
    <definedName name="UAcct108Gpcn">'[10]Func Study'!$AB$2429</definedName>
    <definedName name="UAcct108Gps">'[10]Func Study'!$AB$2425</definedName>
    <definedName name="UAcct108Gpse">'[10]Func Study'!$AB$2431</definedName>
    <definedName name="UAcct108Gpsg">'[10]Func Study'!$AB$2428</definedName>
    <definedName name="UAcct108Gpsgp">'[10]Func Study'!$AB$2426</definedName>
    <definedName name="UAcct108Gpsgu">'[10]Func Study'!$AB$2427</definedName>
    <definedName name="UAcct108Gpso">'[10]Func Study'!$AB$2430</definedName>
    <definedName name="UACCT108GPSSGCH">'[10]Func Study'!$AB$2434</definedName>
    <definedName name="UACCT108GPSSGCT">'[10]Func Study'!$AB$2433</definedName>
    <definedName name="UAcct108Hp">'[10]Func Study'!$AB$2313</definedName>
    <definedName name="UAcct108Mp">'[10]Func Study'!$AB$2444</definedName>
    <definedName name="UAcct108Np">'[10]Func Study'!$AB$2305</definedName>
    <definedName name="UAcct108Op">'[10]Func Study'!$AB$2322</definedName>
    <definedName name="UACCT108OPSSCCT">'[10]Func Study'!$AB$2321</definedName>
    <definedName name="UAcct108Sp">'[10]Func Study'!$AB$2299</definedName>
    <definedName name="UACCT108SPSSGCH">'[10]Func Study'!$AB$2298</definedName>
    <definedName name="UAcct108Tp">'[10]Func Study'!$AB$2346</definedName>
    <definedName name="UAcct111Clg">'[10]Func Study'!$AB$2487</definedName>
    <definedName name="UAcct111Clgsou">'[10]Func Study'!$AB$2485</definedName>
    <definedName name="UAcct111Clh">'[10]Func Study'!$AB$2493</definedName>
    <definedName name="UAcct111Cls">'[10]Func Study'!$AB$2478</definedName>
    <definedName name="UAcct111Ipcn">'[10]Func Study'!$AB$2502</definedName>
    <definedName name="UAcct111Ips">'[10]Func Study'!$AB$2497</definedName>
    <definedName name="UAcct111Ipse">'[10]Func Study'!$AB$2500</definedName>
    <definedName name="UAcct111Ipsg">'[10]Func Study'!$AB$2501</definedName>
    <definedName name="UAcct111Ipsgp">'[10]Func Study'!$AB$2498</definedName>
    <definedName name="UAcct111Ipsgu">'[10]Func Study'!$AB$2499</definedName>
    <definedName name="UAcct111Ipso">'[10]Func Study'!$AB$2506</definedName>
    <definedName name="UACCT111IPSSGCH">'[10]Func Study'!$AB$2505</definedName>
    <definedName name="UACCT111IPSSGCT">'[10]Func Study'!$AB$2504</definedName>
    <definedName name="UAcct114">'[10]Func Study'!$AB$2017</definedName>
    <definedName name="UACCT115" localSheetId="2">'[12]Functional Study'!#REF!</definedName>
    <definedName name="UACCT115" localSheetId="3">'[12]Functional Study'!#REF!</definedName>
    <definedName name="UACCT115" localSheetId="4">'[12]Functional Study'!#REF!</definedName>
    <definedName name="UACCT115" localSheetId="5">'[12]Functional Study'!#REF!</definedName>
    <definedName name="UACCT115" localSheetId="8">'[12]Functional Study'!#REF!</definedName>
    <definedName name="UACCT115" localSheetId="7">'[12]Functional Study'!#REF!</definedName>
    <definedName name="UACCT115" localSheetId="6">'[12]Functional Study'!#REF!</definedName>
    <definedName name="UACCT115" localSheetId="1">'[12]Functional Study'!#REF!</definedName>
    <definedName name="UACCT115" localSheetId="9">'[12]Functional Study'!#REF!</definedName>
    <definedName name="UACCT115">'[12]Functional Study'!#REF!</definedName>
    <definedName name="UACCT115DGP" localSheetId="2">'[12]Functional Study'!#REF!</definedName>
    <definedName name="UACCT115DGP" localSheetId="3">'[12]Functional Study'!#REF!</definedName>
    <definedName name="UACCT115DGP" localSheetId="4">'[12]Functional Study'!#REF!</definedName>
    <definedName name="UACCT115DGP" localSheetId="5">'[12]Functional Study'!#REF!</definedName>
    <definedName name="UACCT115DGP" localSheetId="8">'[12]Functional Study'!#REF!</definedName>
    <definedName name="UACCT115DGP" localSheetId="7">'[12]Functional Study'!#REF!</definedName>
    <definedName name="UACCT115DGP" localSheetId="6">'[12]Functional Study'!#REF!</definedName>
    <definedName name="UACCT115DGP" localSheetId="1">'[12]Functional Study'!#REF!</definedName>
    <definedName name="UACCT115DGP" localSheetId="9">'[12]Functional Study'!#REF!</definedName>
    <definedName name="UACCT115DGP">'[12]Functional Study'!#REF!</definedName>
    <definedName name="UACCT115SG" localSheetId="2">'[12]Functional Study'!#REF!</definedName>
    <definedName name="UACCT115SG" localSheetId="3">'[12]Functional Study'!#REF!</definedName>
    <definedName name="UACCT115SG" localSheetId="4">'[12]Functional Study'!#REF!</definedName>
    <definedName name="UACCT115SG" localSheetId="5">'[12]Functional Study'!#REF!</definedName>
    <definedName name="UACCT115SG" localSheetId="8">'[12]Functional Study'!#REF!</definedName>
    <definedName name="UACCT115SG" localSheetId="7">'[12]Functional Study'!#REF!</definedName>
    <definedName name="UACCT115SG" localSheetId="6">'[12]Functional Study'!#REF!</definedName>
    <definedName name="UACCT115SG" localSheetId="1">'[12]Functional Study'!#REF!</definedName>
    <definedName name="UACCT115SG" localSheetId="9">'[12]Functional Study'!#REF!</definedName>
    <definedName name="UACCT115SG">'[12]Functional Study'!#REF!</definedName>
    <definedName name="UAcct120">'[10]Func Study'!$AB$2021</definedName>
    <definedName name="UAcct124">'[10]Func Study'!$AB$2026</definedName>
    <definedName name="UAcct141">'[10]Func Study'!$AB$2173</definedName>
    <definedName name="UAcct151">'[10]Func Study'!$AB$2049</definedName>
    <definedName name="Uacct151SSECT">'[10]Func Study'!$AB$2047</definedName>
    <definedName name="UAcct154">'[10]Func Study'!$AB$2083</definedName>
    <definedName name="Uacct154SSGCT">'[10]Func Study'!$AB$2080</definedName>
    <definedName name="UAcct163">'[10]Func Study'!$AB$2093</definedName>
    <definedName name="UAcct165">'[10]Func Study'!$AB$2108</definedName>
    <definedName name="UAcct165Gps">'[10]Func Study'!$AB$2104</definedName>
    <definedName name="UAcct182">'[10]Func Study'!$AB$2033</definedName>
    <definedName name="UAcct18222">'[10]Func Study'!$AB$2163</definedName>
    <definedName name="UAcct182M">'[10]Func Study'!$AB$2118</definedName>
    <definedName name="UAcct182MSSGCH">'[10]Func Study'!$AB$2113</definedName>
    <definedName name="UAcct186">'[10]Func Study'!$AB$2041</definedName>
    <definedName name="UAcct1869">'[10]Func Study'!$AB$2168</definedName>
    <definedName name="UAcct186M">'[10]Func Study'!$AB$2129</definedName>
    <definedName name="UAcct190">'[10]Func Study'!$AB$2243</definedName>
    <definedName name="UAcct190Baddebt">'[10]Func Study'!$AB$2237</definedName>
    <definedName name="UAcct190Dop">'[10]Func Study'!$AB$2235</definedName>
    <definedName name="UAcct2281">'[10]Func Study'!$AB$2191</definedName>
    <definedName name="UAcct2282">'[10]Func Study'!$AB$2195</definedName>
    <definedName name="UAcct2283">'[10]Func Study'!$AB$2200</definedName>
    <definedName name="UACCT22841SG">'[10]Func Study'!$AB$2205</definedName>
    <definedName name="UAcct22842">'[10]Func Study'!$AB$2211</definedName>
    <definedName name="UAcct22842Trojd" localSheetId="2">'[9]Func Study'!#REF!</definedName>
    <definedName name="UAcct22842Trojd" localSheetId="3">'[9]Func Study'!#REF!</definedName>
    <definedName name="UAcct22842Trojd" localSheetId="4">'[9]Func Study'!#REF!</definedName>
    <definedName name="UAcct22842Trojd" localSheetId="5">'[9]Func Study'!#REF!</definedName>
    <definedName name="UAcct22842Trojd" localSheetId="8">'[9]Func Study'!#REF!</definedName>
    <definedName name="UAcct22842Trojd" localSheetId="7">'[9]Func Study'!#REF!</definedName>
    <definedName name="UAcct22842Trojd" localSheetId="6">'[9]Func Study'!#REF!</definedName>
    <definedName name="UAcct22842Trojd" localSheetId="1">'[9]Func Study'!#REF!</definedName>
    <definedName name="UAcct22842Trojd" localSheetId="9">'[9]Func Study'!#REF!</definedName>
    <definedName name="UAcct22842Trojd">'[9]Func Study'!#REF!</definedName>
    <definedName name="UAcct235">'[10]Func Study'!$AB$2187</definedName>
    <definedName name="UACCT235CN">'[10]Func Study'!$AB$2186</definedName>
    <definedName name="UAcct252">'[10]Func Study'!$AB$2219</definedName>
    <definedName name="UAcct25316">'[10]Func Study'!$AB$2057</definedName>
    <definedName name="UAcct25317">'[10]Func Study'!$AB$2061</definedName>
    <definedName name="UAcct25318">'[10]Func Study'!$AB$2098</definedName>
    <definedName name="UAcct25319">'[10]Func Study'!$AB$2065</definedName>
    <definedName name="uacct25398">'[10]Func Study'!$AB$2222</definedName>
    <definedName name="UAcct25399">'[10]Func Study'!$AB$2230</definedName>
    <definedName name="UACCT254SO">'[10]Func Study'!$AB$2202</definedName>
    <definedName name="UAcct255">'[10]Func Study'!$AB$2284</definedName>
    <definedName name="UAcct281">'[10]Func Study'!$AB$2249</definedName>
    <definedName name="UAcct282">'[10]Func Study'!$AB$2259</definedName>
    <definedName name="UAcct282Cn">'[10]Func Study'!$AB$2256</definedName>
    <definedName name="UAcct282So">'[10]Func Study'!$AB$2255</definedName>
    <definedName name="UAcct283">'[10]Func Study'!$AB$2271</definedName>
    <definedName name="UAcct283So">'[10]Func Study'!$AB$2265</definedName>
    <definedName name="UAcct301S">'[10]Func Study'!$AB$1964</definedName>
    <definedName name="UAcct301Sg">'[10]Func Study'!$AB$1966</definedName>
    <definedName name="UAcct301So">'[10]Func Study'!$AB$1965</definedName>
    <definedName name="UAcct302S">'[10]Func Study'!$AB$1969</definedName>
    <definedName name="UAcct302Sg">'[10]Func Study'!$AB$1970</definedName>
    <definedName name="UAcct302Sgp">'[10]Func Study'!$AB$1971</definedName>
    <definedName name="UAcct302Sgu">'[10]Func Study'!$AB$1972</definedName>
    <definedName name="UAcct303Cn">'[10]Func Study'!$AB$1980</definedName>
    <definedName name="UAcct303S">'[10]Func Study'!$AB$1976</definedName>
    <definedName name="UAcct303Se">'[10]Func Study'!$AB$1979</definedName>
    <definedName name="UAcct303Sg">'[10]Func Study'!$AB$1977</definedName>
    <definedName name="UAcct303Sgu">'[10]Func Study'!$AB$1981</definedName>
    <definedName name="UAcct303So">'[10]Func Study'!$AB$1978</definedName>
    <definedName name="UACCT303SSGCH">'[10]Func Study'!$AB$1983</definedName>
    <definedName name="UAcct310">'[10]Func Study'!$AB$1414</definedName>
    <definedName name="UAcct310JBG">'[10]Func Study'!$AB$1413</definedName>
    <definedName name="UAcct311">'[10]Func Study'!$AB$1421</definedName>
    <definedName name="UAcct311JBG">'[10]Func Study'!$AB$1420</definedName>
    <definedName name="UAcct312">'[10]Func Study'!$AB$1428</definedName>
    <definedName name="UAcct312JBG">'[10]Func Study'!$AB$1427</definedName>
    <definedName name="UAcct314">'[10]Func Study'!$AB$1435</definedName>
    <definedName name="UAcct314JBG">'[10]Func Study'!$AB$1434</definedName>
    <definedName name="UAcct315">'[10]Func Study'!$AB$1442</definedName>
    <definedName name="UAcct315JBG">'[10]Func Study'!$AB$1441</definedName>
    <definedName name="UAcct316">'[10]Func Study'!$AB$1450</definedName>
    <definedName name="UAcct316JBG">'[10]Func Study'!$AB$1449</definedName>
    <definedName name="UAcct320">'[10]Func Study'!$AB$1466</definedName>
    <definedName name="UAcct321">'[10]Func Study'!$AB$1471</definedName>
    <definedName name="UAcct322">'[10]Func Study'!$AB$1476</definedName>
    <definedName name="UAcct323">'[10]Func Study'!$AB$1481</definedName>
    <definedName name="UAcct324">'[10]Func Study'!$AB$1486</definedName>
    <definedName name="UAcct325">'[10]Func Study'!$AB$1491</definedName>
    <definedName name="UAcct33">'[10]Func Study'!$AB$295</definedName>
    <definedName name="UAcct330">'[10]Func Study'!$AB$1508</definedName>
    <definedName name="UAcct331">'[10]Func Study'!$AB$1513</definedName>
    <definedName name="UAcct332">'[10]Func Study'!$AB$1518</definedName>
    <definedName name="UAcct333">'[10]Func Study'!$AB$1523</definedName>
    <definedName name="UAcct334">'[10]Func Study'!$AB$1528</definedName>
    <definedName name="UAcct335">'[10]Func Study'!$AB$1533</definedName>
    <definedName name="UAcct336">'[10]Func Study'!$AB$1539</definedName>
    <definedName name="UAcct340Dgu">'[10]Func Study'!$AB$1564</definedName>
    <definedName name="UAcct340Sgu">'[10]Func Study'!$AB$1565</definedName>
    <definedName name="UAcct341Dgu">'[10]Func Study'!$AB$1569</definedName>
    <definedName name="UAcct341Sgu">'[10]Func Study'!$AB$1570</definedName>
    <definedName name="UAcct342Dgu">'[10]Func Study'!$AB$1574</definedName>
    <definedName name="UAcct342Sgu">'[10]Func Study'!$AB$1575</definedName>
    <definedName name="UAcct343">'[10]Func Study'!$AB$1584</definedName>
    <definedName name="UAcct344S">'[10]Func Study'!$AB$1587</definedName>
    <definedName name="UAcct344Sgp">'[10]Func Study'!$AB$1588</definedName>
    <definedName name="UAcct345Dgu">'[10]Func Study'!$AB$1594</definedName>
    <definedName name="UAcct345Sgu">'[10]Func Study'!$AB$1595</definedName>
    <definedName name="UAcct346">'[10]Func Study'!$AB$1601</definedName>
    <definedName name="UAcct350">'[10]Func Study'!$AB$1628</definedName>
    <definedName name="UAcct352">'[10]Func Study'!$AB$1635</definedName>
    <definedName name="UAcct353">'[10]Func Study'!$AB$1641</definedName>
    <definedName name="UAcct354">'[10]Func Study'!$AB$1647</definedName>
    <definedName name="UAcct355">'[10]Func Study'!$AB$1654</definedName>
    <definedName name="UAcct356">'[10]Func Study'!$AB$1660</definedName>
    <definedName name="UAcct357">'[10]Func Study'!$AB$1666</definedName>
    <definedName name="UAcct358">'[10]Func Study'!$AB$1672</definedName>
    <definedName name="UAcct359">'[10]Func Study'!$AB$1678</definedName>
    <definedName name="UAcct360">'[10]Func Study'!$AB$1698</definedName>
    <definedName name="UAcct361">'[10]Func Study'!$AB$1704</definedName>
    <definedName name="UAcct362">'[10]Func Study'!$AB$1710</definedName>
    <definedName name="UAcct368">'[10]Func Study'!$AB$1744</definedName>
    <definedName name="UAcct369">'[10]Func Study'!$AB$1751</definedName>
    <definedName name="UAcct370">'[10]Func Study'!$AB$1762</definedName>
    <definedName name="UAcct372A">'[10]Func Study'!$AB$1775</definedName>
    <definedName name="UAcct372Dp">'[10]Func Study'!$AB$1773</definedName>
    <definedName name="UAcct372Ds">'[10]Func Study'!$AB$1774</definedName>
    <definedName name="UAcct373">'[10]Func Study'!$AB$1782</definedName>
    <definedName name="UAcct389Cn">'[10]Func Study'!$AB$1800</definedName>
    <definedName name="UAcct389S">'[10]Func Study'!$AB$1799</definedName>
    <definedName name="UAcct389Sg">'[10]Func Study'!$AB$1802</definedName>
    <definedName name="UAcct389Sgu">'[10]Func Study'!$AB$1801</definedName>
    <definedName name="UAcct389So">'[10]Func Study'!$AB$1803</definedName>
    <definedName name="UAcct390Cn">'[10]Func Study'!$AB$1810</definedName>
    <definedName name="UAcct390JBG">'[10]Func Study'!$AB$1812</definedName>
    <definedName name="UAcct390L">'[10]Func Study'!$AB$1927</definedName>
    <definedName name="UACCT390LRCL">'[10]Func Study'!$AB$1929</definedName>
    <definedName name="UAcct390S">'[10]Func Study'!$AB$1807</definedName>
    <definedName name="UAcct390Sgp">'[10]Func Study'!$AB$1808</definedName>
    <definedName name="UAcct390Sgu">'[10]Func Study'!$AB$1809</definedName>
    <definedName name="UAcct390Sop">'[10]Func Study'!$AB$1811</definedName>
    <definedName name="UAcct390Sou">'[10]Func Study'!$AB$1813</definedName>
    <definedName name="UAcct391Cn">'[10]Func Study'!$AB$1820</definedName>
    <definedName name="UACCT391JBE">'[10]Func Study'!$AB$1825</definedName>
    <definedName name="UAcct391S">'[10]Func Study'!$AB$1817</definedName>
    <definedName name="UAcct391Sg">'[10]Func Study'!$AB$1821</definedName>
    <definedName name="UAcct391Sgp">'[10]Func Study'!$AB$1818</definedName>
    <definedName name="UAcct391Sgu">'[10]Func Study'!$AB$1819</definedName>
    <definedName name="UAcct391So">'[10]Func Study'!$AB$1823</definedName>
    <definedName name="UACCT391SSGCH">'[10]Func Study'!$AB$1824</definedName>
    <definedName name="UAcct392Cn">'[10]Func Study'!$AB$1832</definedName>
    <definedName name="UAcct392L">'[10]Func Study'!$AB$1935</definedName>
    <definedName name="UAcct392Lrcl">'[10]Func Study'!$AB$1937</definedName>
    <definedName name="UAcct392S">'[10]Func Study'!$AB$1829</definedName>
    <definedName name="UAcct392Se">'[10]Func Study'!$AB$1834</definedName>
    <definedName name="UAcct392Sg">'[10]Func Study'!$AB$1831</definedName>
    <definedName name="UAcct392Sgp">'[10]Func Study'!$AB$1835</definedName>
    <definedName name="UAcct392Sgu">'[10]Func Study'!$AB$1833</definedName>
    <definedName name="UAcct392So">'[10]Func Study'!$AB$1830</definedName>
    <definedName name="UACCT392SSGCH">'[10]Func Study'!$AB$1836</definedName>
    <definedName name="UAcct393S">'[10]Func Study'!$AB$1841</definedName>
    <definedName name="UAcct393Sg">'[10]Func Study'!$AB$1845</definedName>
    <definedName name="UAcct393Sgp">'[10]Func Study'!$AB$1842</definedName>
    <definedName name="UAcct393Sgu">'[10]Func Study'!$AB$1843</definedName>
    <definedName name="UAcct393So">'[10]Func Study'!$AB$1844</definedName>
    <definedName name="UACCT393SSGCT">'[10]Func Study'!$AB$1846</definedName>
    <definedName name="UAcct394S">'[10]Func Study'!$AB$1850</definedName>
    <definedName name="UAcct394Se">'[10]Func Study'!$AB$1854</definedName>
    <definedName name="UAcct394Sg">'[10]Func Study'!$AB$1855</definedName>
    <definedName name="UAcct394Sgp">'[10]Func Study'!$AB$1851</definedName>
    <definedName name="UAcct394Sgu">'[10]Func Study'!$AB$1852</definedName>
    <definedName name="UAcct394So">'[10]Func Study'!$AB$1853</definedName>
    <definedName name="UACCT394SSGCH">'[10]Func Study'!$AB$1856</definedName>
    <definedName name="UAcct395S">'[10]Func Study'!$AB$1861</definedName>
    <definedName name="UAcct395Se">'[10]Func Study'!$AB$1865</definedName>
    <definedName name="UAcct395Sg">'[10]Func Study'!$AB$1866</definedName>
    <definedName name="UAcct395Sgp">'[10]Func Study'!$AB$1862</definedName>
    <definedName name="UAcct395Sgu">'[10]Func Study'!$AB$1863</definedName>
    <definedName name="UAcct395So">'[10]Func Study'!$AB$1864</definedName>
    <definedName name="UACCT395SSGCH">'[10]Func Study'!$AB$1867</definedName>
    <definedName name="UAcct396S">'[10]Func Study'!$AB$1872</definedName>
    <definedName name="UAcct396Se">'[10]Func Study'!$AB$1877</definedName>
    <definedName name="UAcct396Sg">'[10]Func Study'!$AB$1874</definedName>
    <definedName name="UAcct396Sgp">'[10]Func Study'!$AB$1873</definedName>
    <definedName name="UAcct396Sgu">'[10]Func Study'!$AB$1876</definedName>
    <definedName name="UAcct396So">'[10]Func Study'!$AB$1875</definedName>
    <definedName name="UACCT396SSGCH">'[10]Func Study'!$AB$1879</definedName>
    <definedName name="UACCT396SSGCT">'[10]Func Study'!$AB$1878</definedName>
    <definedName name="UAcct397Cn">'[10]Func Study'!$AB$1890</definedName>
    <definedName name="UAcct397JBG">'[10]Func Study'!$AB$1893</definedName>
    <definedName name="UAcct397S">'[10]Func Study'!$AB$1886</definedName>
    <definedName name="UAcct397Se">'[10]Func Study'!$AB$1892</definedName>
    <definedName name="UAcct397Sg">'[10]Func Study'!$AB$1891</definedName>
    <definedName name="UAcct397Sgp">'[10]Func Study'!$AB$1887</definedName>
    <definedName name="UAcct397Sgu">'[10]Func Study'!$AB$1888</definedName>
    <definedName name="UAcct397So">'[10]Func Study'!$AB$1889</definedName>
    <definedName name="UAcct398Cn">'[10]Func Study'!$AB$1902</definedName>
    <definedName name="UAcct398S">'[10]Func Study'!$AB$1899</definedName>
    <definedName name="UAcct398Se">'[10]Func Study'!$AB$1904</definedName>
    <definedName name="UAcct398Sg">'[10]Func Study'!$AB$1905</definedName>
    <definedName name="UAcct398Sgp">'[10]Func Study'!$AB$1900</definedName>
    <definedName name="UAcct398Sgu">'[10]Func Study'!$AB$1901</definedName>
    <definedName name="UAcct398So">'[10]Func Study'!$AB$1903</definedName>
    <definedName name="UACCT398SSGCT">'[10]Func Study'!$AB$1906</definedName>
    <definedName name="UAcct399">'[10]Func Study'!$AB$1913</definedName>
    <definedName name="UAcct399G">'[10]Func Study'!$AB$1955</definedName>
    <definedName name="UAcct399L">'[10]Func Study'!$AB$1917</definedName>
    <definedName name="UAcct399Lrcl">'[10]Func Study'!$AB$1919</definedName>
    <definedName name="UAcct403360">'[10]Func Study'!$AB$1090</definedName>
    <definedName name="UAcct403361">'[10]Func Study'!$AB$1091</definedName>
    <definedName name="UAcct403362">'[10]Func Study'!$AB$1092</definedName>
    <definedName name="UAcct403364">'[10]Func Study'!$AB$1094</definedName>
    <definedName name="UAcct403365">'[10]Func Study'!$AB$1095</definedName>
    <definedName name="UAcct403366">'[10]Func Study'!$AB$1096</definedName>
    <definedName name="UAcct403367">'[10]Func Study'!$AB$1097</definedName>
    <definedName name="UAcct403368">'[10]Func Study'!$AB$1098</definedName>
    <definedName name="UAcct403369">'[10]Func Study'!$AB$1099</definedName>
    <definedName name="UAcct403370">'[10]Func Study'!$AB$1100</definedName>
    <definedName name="UAcct403371">'[10]Func Study'!$AB$1101</definedName>
    <definedName name="UAcct403372">'[10]Func Study'!$AB$1102</definedName>
    <definedName name="UAcct403373">'[10]Func Study'!$AB$1103</definedName>
    <definedName name="UAcct403Ep">'[10]Func Study'!$AB$1130</definedName>
    <definedName name="UAcct403Gpcn">'[10]Func Study'!$AB$1111</definedName>
    <definedName name="UAcct403GPDGP">'[10]Func Study'!$AB$1108</definedName>
    <definedName name="UAcct403GPDGU">'[10]Func Study'!$AB$1109</definedName>
    <definedName name="UAcct403GPJBG">'[10]Func Study'!$AB$1115</definedName>
    <definedName name="UAcct403Gps">'[10]Func Study'!$AB$1107</definedName>
    <definedName name="UAcct403Gpsg">'[10]Func Study'!$AB$1112</definedName>
    <definedName name="UAcct403Gpso">'[10]Func Study'!$AB$1113</definedName>
    <definedName name="UAcct403Gv0">'[10]Func Study'!$AB$1121</definedName>
    <definedName name="UAcct403Hp">'[10]Func Study'!$AB$1072</definedName>
    <definedName name="UACCT403JBE">'[10]Func Study'!$AB$1116</definedName>
    <definedName name="UAcct403Mp">'[10]Func Study'!$AB$1125</definedName>
    <definedName name="UAcct403Np">'[10]Func Study'!$AB$1065</definedName>
    <definedName name="UAcct403Op">'[10]Func Study'!$AB$1080</definedName>
    <definedName name="UAcct403OPCAGE">'[10]Func Study'!$AB$1078</definedName>
    <definedName name="UAcct403Sp">'[10]Func Study'!$AB$1061</definedName>
    <definedName name="UAcct403SPJBG">'[10]Func Study'!$AB$1058</definedName>
    <definedName name="UAcct403Tp">'[10]Func Study'!$AB$1087</definedName>
    <definedName name="UAcct404330">'[10]Func Study'!$AB$1177</definedName>
    <definedName name="UACCT404GP">'[10]Func Study'!$AB$1146</definedName>
    <definedName name="UACCT404GPCN">'[10]Func Study'!$AB$1143</definedName>
    <definedName name="UACCT404GPSO">'[10]Func Study'!$AB$1141</definedName>
    <definedName name="UAcct404Ipcn">'[10]Func Study'!$AB$1158</definedName>
    <definedName name="UAcct404IPJBG">'[10]Func Study'!$AB$1163</definedName>
    <definedName name="UAcct404Ips">'[10]Func Study'!$AB$1154</definedName>
    <definedName name="UAcct404Ipse">'[10]Func Study'!$AB$1155</definedName>
    <definedName name="UAcct404Ipsg">'[10]Func Study'!$AB$1156</definedName>
    <definedName name="UAcct404Ipsg1">'[10]Func Study'!$AB$1159</definedName>
    <definedName name="UAcct404Ipsg2">'[10]Func Study'!$AB$1160</definedName>
    <definedName name="UAcct404Ipso">'[10]Func Study'!$AB$1157</definedName>
    <definedName name="UAcct404M">'[10]Func Study'!$AB$1168</definedName>
    <definedName name="UACCT404OP">'[10]Func Study'!$AB$1172</definedName>
    <definedName name="UACCT404SP">'[10]Func Study'!$AB$1151</definedName>
    <definedName name="UAcct405">'[10]Func Study'!$AB$1185</definedName>
    <definedName name="UAcct406">'[10]Func Study'!$AB$1193</definedName>
    <definedName name="UAcct407">'[10]Func Study'!$AB$1202</definedName>
    <definedName name="UAcct408">'[10]Func Study'!$AB$1221</definedName>
    <definedName name="UAcct408S">'[10]Func Study'!$AB$1213</definedName>
    <definedName name="UAcct41010">'[10]Func Study'!$AB$1294</definedName>
    <definedName name="UAcct41011">'[10]Func Study'!$AB$1309</definedName>
    <definedName name="UACCT41020" localSheetId="2">'[11]Functional Study'!#REF!</definedName>
    <definedName name="UACCT41020" localSheetId="3">'[11]Functional Study'!#REF!</definedName>
    <definedName name="UACCT41020" localSheetId="4">'[11]Functional Study'!#REF!</definedName>
    <definedName name="UACCT41020" localSheetId="5">'[11]Functional Study'!#REF!</definedName>
    <definedName name="UACCT41020" localSheetId="8">'[11]Functional Study'!#REF!</definedName>
    <definedName name="UACCT41020" localSheetId="7">'[11]Functional Study'!#REF!</definedName>
    <definedName name="UACCT41020" localSheetId="6">'[11]Functional Study'!#REF!</definedName>
    <definedName name="UACCT41020" localSheetId="1">'[11]Functional Study'!#REF!</definedName>
    <definedName name="UACCT41020" localSheetId="9">'[11]Functional Study'!#REF!</definedName>
    <definedName name="UACCT41020">'[11]Functional Study'!#REF!</definedName>
    <definedName name="UACCT41020BADDEBT" localSheetId="2">'[11]Functional Study'!#REF!</definedName>
    <definedName name="UACCT41020BADDEBT" localSheetId="3">'[11]Functional Study'!#REF!</definedName>
    <definedName name="UACCT41020BADDEBT" localSheetId="4">'[11]Functional Study'!#REF!</definedName>
    <definedName name="UACCT41020BADDEBT" localSheetId="5">'[11]Functional Study'!#REF!</definedName>
    <definedName name="UACCT41020BADDEBT" localSheetId="8">'[11]Functional Study'!#REF!</definedName>
    <definedName name="UACCT41020BADDEBT" localSheetId="7">'[11]Functional Study'!#REF!</definedName>
    <definedName name="UACCT41020BADDEBT" localSheetId="6">'[11]Functional Study'!#REF!</definedName>
    <definedName name="UACCT41020BADDEBT" localSheetId="1">'[11]Functional Study'!#REF!</definedName>
    <definedName name="UACCT41020BADDEBT" localSheetId="9">'[11]Functional Study'!#REF!</definedName>
    <definedName name="UACCT41020BADDEBT">'[11]Functional Study'!#REF!</definedName>
    <definedName name="UACCT41020DITEXP" localSheetId="2">'[11]Functional Study'!#REF!</definedName>
    <definedName name="UACCT41020DITEXP" localSheetId="3">'[11]Functional Study'!#REF!</definedName>
    <definedName name="UACCT41020DITEXP" localSheetId="4">'[11]Functional Study'!#REF!</definedName>
    <definedName name="UACCT41020DITEXP" localSheetId="5">'[11]Functional Study'!#REF!</definedName>
    <definedName name="UACCT41020DITEXP" localSheetId="8">'[11]Functional Study'!#REF!</definedName>
    <definedName name="UACCT41020DITEXP" localSheetId="7">'[11]Functional Study'!#REF!</definedName>
    <definedName name="UACCT41020DITEXP" localSheetId="6">'[11]Functional Study'!#REF!</definedName>
    <definedName name="UACCT41020DITEXP" localSheetId="1">'[11]Functional Study'!#REF!</definedName>
    <definedName name="UACCT41020DITEXP" localSheetId="9">'[11]Functional Study'!#REF!</definedName>
    <definedName name="UACCT41020DITEXP">'[11]Functional Study'!#REF!</definedName>
    <definedName name="UACCT41020DNPU" localSheetId="2">'[11]Functional Study'!#REF!</definedName>
    <definedName name="UACCT41020DNPU" localSheetId="3">'[11]Functional Study'!#REF!</definedName>
    <definedName name="UACCT41020DNPU" localSheetId="4">'[11]Functional Study'!#REF!</definedName>
    <definedName name="UACCT41020DNPU" localSheetId="5">'[11]Functional Study'!#REF!</definedName>
    <definedName name="UACCT41020DNPU" localSheetId="8">'[11]Functional Study'!#REF!</definedName>
    <definedName name="UACCT41020DNPU" localSheetId="7">'[11]Functional Study'!#REF!</definedName>
    <definedName name="UACCT41020DNPU" localSheetId="6">'[11]Functional Study'!#REF!</definedName>
    <definedName name="UACCT41020DNPU" localSheetId="1">'[11]Functional Study'!#REF!</definedName>
    <definedName name="UACCT41020DNPU" localSheetId="9">'[11]Functional Study'!#REF!</definedName>
    <definedName name="UACCT41020DNPU">'[11]Functional Study'!#REF!</definedName>
    <definedName name="UACCT41020S" localSheetId="2">'[11]Functional Study'!#REF!</definedName>
    <definedName name="UACCT41020S" localSheetId="3">'[11]Functional Study'!#REF!</definedName>
    <definedName name="UACCT41020S" localSheetId="4">'[11]Functional Study'!#REF!</definedName>
    <definedName name="UACCT41020S" localSheetId="5">'[11]Functional Study'!#REF!</definedName>
    <definedName name="UACCT41020S" localSheetId="8">'[11]Functional Study'!#REF!</definedName>
    <definedName name="UACCT41020S" localSheetId="7">'[11]Functional Study'!#REF!</definedName>
    <definedName name="UACCT41020S" localSheetId="6">'[11]Functional Study'!#REF!</definedName>
    <definedName name="UACCT41020S" localSheetId="1">'[11]Functional Study'!#REF!</definedName>
    <definedName name="UACCT41020S" localSheetId="9">'[11]Functional Study'!#REF!</definedName>
    <definedName name="UACCT41020S">'[11]Functional Study'!#REF!</definedName>
    <definedName name="UACCT41020SE" localSheetId="2">'[11]Functional Study'!#REF!</definedName>
    <definedName name="UACCT41020SE" localSheetId="3">'[11]Functional Study'!#REF!</definedName>
    <definedName name="UACCT41020SE" localSheetId="4">'[11]Functional Study'!#REF!</definedName>
    <definedName name="UACCT41020SE" localSheetId="5">'[11]Functional Study'!#REF!</definedName>
    <definedName name="UACCT41020SE" localSheetId="8">'[11]Functional Study'!#REF!</definedName>
    <definedName name="UACCT41020SE" localSheetId="7">'[11]Functional Study'!#REF!</definedName>
    <definedName name="UACCT41020SE" localSheetId="6">'[11]Functional Study'!#REF!</definedName>
    <definedName name="UACCT41020SE" localSheetId="1">'[11]Functional Study'!#REF!</definedName>
    <definedName name="UACCT41020SE" localSheetId="9">'[11]Functional Study'!#REF!</definedName>
    <definedName name="UACCT41020SE">'[11]Functional Study'!#REF!</definedName>
    <definedName name="UACCT41020SG" localSheetId="2">'[11]Functional Study'!#REF!</definedName>
    <definedName name="UACCT41020SG" localSheetId="3">'[11]Functional Study'!#REF!</definedName>
    <definedName name="UACCT41020SG" localSheetId="4">'[11]Functional Study'!#REF!</definedName>
    <definedName name="UACCT41020SG" localSheetId="5">'[11]Functional Study'!#REF!</definedName>
    <definedName name="UACCT41020SG" localSheetId="8">'[11]Functional Study'!#REF!</definedName>
    <definedName name="UACCT41020SG" localSheetId="7">'[11]Functional Study'!#REF!</definedName>
    <definedName name="UACCT41020SG" localSheetId="6">'[11]Functional Study'!#REF!</definedName>
    <definedName name="UACCT41020SG" localSheetId="1">'[11]Functional Study'!#REF!</definedName>
    <definedName name="UACCT41020SG" localSheetId="9">'[11]Functional Study'!#REF!</definedName>
    <definedName name="UACCT41020SG">'[11]Functional Study'!#REF!</definedName>
    <definedName name="UACCT41020SGCT" localSheetId="2">'[11]Functional Study'!#REF!</definedName>
    <definedName name="UACCT41020SGCT" localSheetId="3">'[11]Functional Study'!#REF!</definedName>
    <definedName name="UACCT41020SGCT" localSheetId="4">'[11]Functional Study'!#REF!</definedName>
    <definedName name="UACCT41020SGCT" localSheetId="5">'[11]Functional Study'!#REF!</definedName>
    <definedName name="UACCT41020SGCT" localSheetId="8">'[11]Functional Study'!#REF!</definedName>
    <definedName name="UACCT41020SGCT" localSheetId="7">'[11]Functional Study'!#REF!</definedName>
    <definedName name="UACCT41020SGCT" localSheetId="6">'[11]Functional Study'!#REF!</definedName>
    <definedName name="UACCT41020SGCT" localSheetId="1">'[11]Functional Study'!#REF!</definedName>
    <definedName name="UACCT41020SGCT" localSheetId="9">'[11]Functional Study'!#REF!</definedName>
    <definedName name="UACCT41020SGCT">'[11]Functional Study'!#REF!</definedName>
    <definedName name="UACCT41020SGPP" localSheetId="2">'[11]Functional Study'!#REF!</definedName>
    <definedName name="UACCT41020SGPP" localSheetId="3">'[11]Functional Study'!#REF!</definedName>
    <definedName name="UACCT41020SGPP" localSheetId="4">'[11]Functional Study'!#REF!</definedName>
    <definedName name="UACCT41020SGPP" localSheetId="5">'[11]Functional Study'!#REF!</definedName>
    <definedName name="UACCT41020SGPP" localSheetId="8">'[11]Functional Study'!#REF!</definedName>
    <definedName name="UACCT41020SGPP" localSheetId="7">'[11]Functional Study'!#REF!</definedName>
    <definedName name="UACCT41020SGPP" localSheetId="6">'[11]Functional Study'!#REF!</definedName>
    <definedName name="UACCT41020SGPP" localSheetId="1">'[11]Functional Study'!#REF!</definedName>
    <definedName name="UACCT41020SGPP" localSheetId="9">'[11]Functional Study'!#REF!</definedName>
    <definedName name="UACCT41020SGPP">'[11]Functional Study'!#REF!</definedName>
    <definedName name="UACCT41020SO" localSheetId="2">'[11]Functional Study'!#REF!</definedName>
    <definedName name="UACCT41020SO" localSheetId="3">'[11]Functional Study'!#REF!</definedName>
    <definedName name="UACCT41020SO" localSheetId="4">'[11]Functional Study'!#REF!</definedName>
    <definedName name="UACCT41020SO" localSheetId="5">'[11]Functional Study'!#REF!</definedName>
    <definedName name="UACCT41020SO" localSheetId="8">'[11]Functional Study'!#REF!</definedName>
    <definedName name="UACCT41020SO" localSheetId="7">'[11]Functional Study'!#REF!</definedName>
    <definedName name="UACCT41020SO" localSheetId="6">'[11]Functional Study'!#REF!</definedName>
    <definedName name="UACCT41020SO" localSheetId="1">'[11]Functional Study'!#REF!</definedName>
    <definedName name="UACCT41020SO" localSheetId="9">'[11]Functional Study'!#REF!</definedName>
    <definedName name="UACCT41020SO">'[11]Functional Study'!#REF!</definedName>
    <definedName name="UACCT41020TROJP" localSheetId="2">'[11]Functional Study'!#REF!</definedName>
    <definedName name="UACCT41020TROJP" localSheetId="3">'[11]Functional Study'!#REF!</definedName>
    <definedName name="UACCT41020TROJP" localSheetId="4">'[11]Functional Study'!#REF!</definedName>
    <definedName name="UACCT41020TROJP" localSheetId="5">'[11]Functional Study'!#REF!</definedName>
    <definedName name="UACCT41020TROJP" localSheetId="8">'[11]Functional Study'!#REF!</definedName>
    <definedName name="UACCT41020TROJP" localSheetId="7">'[11]Functional Study'!#REF!</definedName>
    <definedName name="UACCT41020TROJP" localSheetId="6">'[11]Functional Study'!#REF!</definedName>
    <definedName name="UACCT41020TROJP" localSheetId="1">'[11]Functional Study'!#REF!</definedName>
    <definedName name="UACCT41020TROJP" localSheetId="9">'[11]Functional Study'!#REF!</definedName>
    <definedName name="UACCT41020TROJP">'[11]Functional Study'!#REF!</definedName>
    <definedName name="UACCT4102SNPD" localSheetId="2">'[11]Functional Study'!#REF!</definedName>
    <definedName name="UACCT4102SNPD" localSheetId="3">'[11]Functional Study'!#REF!</definedName>
    <definedName name="UACCT4102SNPD" localSheetId="4">'[11]Functional Study'!#REF!</definedName>
    <definedName name="UACCT4102SNPD" localSheetId="5">'[11]Functional Study'!#REF!</definedName>
    <definedName name="UACCT4102SNPD" localSheetId="8">'[11]Functional Study'!#REF!</definedName>
    <definedName name="UACCT4102SNPD" localSheetId="7">'[11]Functional Study'!#REF!</definedName>
    <definedName name="UACCT4102SNPD" localSheetId="6">'[11]Functional Study'!#REF!</definedName>
    <definedName name="UACCT4102SNPD" localSheetId="1">'[11]Functional Study'!#REF!</definedName>
    <definedName name="UACCT4102SNPD" localSheetId="9">'[11]Functional Study'!#REF!</definedName>
    <definedName name="UACCT4102SNPD">'[11]Functional Study'!#REF!</definedName>
    <definedName name="UAcct41110">'[10]Func Study'!$AB$1325</definedName>
    <definedName name="UAcct41111" localSheetId="2">'[11]Functional Study'!#REF!</definedName>
    <definedName name="UAcct41111" localSheetId="3">'[11]Functional Study'!#REF!</definedName>
    <definedName name="UAcct41111" localSheetId="4">'[11]Functional Study'!#REF!</definedName>
    <definedName name="UAcct41111" localSheetId="5">'[11]Functional Study'!#REF!</definedName>
    <definedName name="UAcct41111" localSheetId="8">'[11]Functional Study'!#REF!</definedName>
    <definedName name="UAcct41111" localSheetId="7">'[11]Functional Study'!#REF!</definedName>
    <definedName name="UAcct41111" localSheetId="6">'[11]Functional Study'!#REF!</definedName>
    <definedName name="UAcct41111" localSheetId="1">'[11]Functional Study'!#REF!</definedName>
    <definedName name="UAcct41111" localSheetId="9">'[11]Functional Study'!#REF!</definedName>
    <definedName name="UAcct41111">'[11]Functional Study'!#REF!</definedName>
    <definedName name="UAcct41111Baddebt" localSheetId="2">'[11]Functional Study'!#REF!</definedName>
    <definedName name="UAcct41111Baddebt" localSheetId="3">'[11]Functional Study'!#REF!</definedName>
    <definedName name="UAcct41111Baddebt" localSheetId="4">'[11]Functional Study'!#REF!</definedName>
    <definedName name="UAcct41111Baddebt" localSheetId="5">'[11]Functional Study'!#REF!</definedName>
    <definedName name="UAcct41111Baddebt" localSheetId="8">'[11]Functional Study'!#REF!</definedName>
    <definedName name="UAcct41111Baddebt" localSheetId="7">'[11]Functional Study'!#REF!</definedName>
    <definedName name="UAcct41111Baddebt" localSheetId="6">'[11]Functional Study'!#REF!</definedName>
    <definedName name="UAcct41111Baddebt" localSheetId="1">'[11]Functional Study'!#REF!</definedName>
    <definedName name="UAcct41111Baddebt" localSheetId="9">'[11]Functional Study'!#REF!</definedName>
    <definedName name="UAcct41111Baddebt">'[11]Functional Study'!#REF!</definedName>
    <definedName name="UAcct41111Dgp" localSheetId="2">'[11]Functional Study'!#REF!</definedName>
    <definedName name="UAcct41111Dgp" localSheetId="3">'[11]Functional Study'!#REF!</definedName>
    <definedName name="UAcct41111Dgp" localSheetId="4">'[11]Functional Study'!#REF!</definedName>
    <definedName name="UAcct41111Dgp" localSheetId="5">'[11]Functional Study'!#REF!</definedName>
    <definedName name="UAcct41111Dgp" localSheetId="8">'[11]Functional Study'!#REF!</definedName>
    <definedName name="UAcct41111Dgp" localSheetId="7">'[11]Functional Study'!#REF!</definedName>
    <definedName name="UAcct41111Dgp" localSheetId="6">'[11]Functional Study'!#REF!</definedName>
    <definedName name="UAcct41111Dgp" localSheetId="1">'[11]Functional Study'!#REF!</definedName>
    <definedName name="UAcct41111Dgp" localSheetId="9">'[11]Functional Study'!#REF!</definedName>
    <definedName name="UAcct41111Dgp">'[11]Functional Study'!#REF!</definedName>
    <definedName name="UAcct41111Dgu" localSheetId="2">'[11]Functional Study'!#REF!</definedName>
    <definedName name="UAcct41111Dgu" localSheetId="3">'[11]Functional Study'!#REF!</definedName>
    <definedName name="UAcct41111Dgu" localSheetId="4">'[11]Functional Study'!#REF!</definedName>
    <definedName name="UAcct41111Dgu" localSheetId="5">'[11]Functional Study'!#REF!</definedName>
    <definedName name="UAcct41111Dgu" localSheetId="8">'[11]Functional Study'!#REF!</definedName>
    <definedName name="UAcct41111Dgu" localSheetId="7">'[11]Functional Study'!#REF!</definedName>
    <definedName name="UAcct41111Dgu" localSheetId="6">'[11]Functional Study'!#REF!</definedName>
    <definedName name="UAcct41111Dgu" localSheetId="1">'[11]Functional Study'!#REF!</definedName>
    <definedName name="UAcct41111Dgu" localSheetId="9">'[11]Functional Study'!#REF!</definedName>
    <definedName name="UAcct41111Dgu">'[11]Functional Study'!#REF!</definedName>
    <definedName name="UAcct41111Ditexp" localSheetId="2">'[11]Functional Study'!#REF!</definedName>
    <definedName name="UAcct41111Ditexp" localSheetId="3">'[11]Functional Study'!#REF!</definedName>
    <definedName name="UAcct41111Ditexp" localSheetId="4">'[11]Functional Study'!#REF!</definedName>
    <definedName name="UAcct41111Ditexp" localSheetId="5">'[11]Functional Study'!#REF!</definedName>
    <definedName name="UAcct41111Ditexp" localSheetId="8">'[11]Functional Study'!#REF!</definedName>
    <definedName name="UAcct41111Ditexp" localSheetId="7">'[11]Functional Study'!#REF!</definedName>
    <definedName name="UAcct41111Ditexp" localSheetId="6">'[11]Functional Study'!#REF!</definedName>
    <definedName name="UAcct41111Ditexp" localSheetId="1">'[11]Functional Study'!#REF!</definedName>
    <definedName name="UAcct41111Ditexp" localSheetId="9">'[11]Functional Study'!#REF!</definedName>
    <definedName name="UAcct41111Ditexp">'[11]Functional Study'!#REF!</definedName>
    <definedName name="UAcct41111Dnpp" localSheetId="2">'[11]Functional Study'!#REF!</definedName>
    <definedName name="UAcct41111Dnpp" localSheetId="3">'[11]Functional Study'!#REF!</definedName>
    <definedName name="UAcct41111Dnpp" localSheetId="4">'[11]Functional Study'!#REF!</definedName>
    <definedName name="UAcct41111Dnpp" localSheetId="5">'[11]Functional Study'!#REF!</definedName>
    <definedName name="UAcct41111Dnpp" localSheetId="8">'[11]Functional Study'!#REF!</definedName>
    <definedName name="UAcct41111Dnpp" localSheetId="7">'[11]Functional Study'!#REF!</definedName>
    <definedName name="UAcct41111Dnpp" localSheetId="6">'[11]Functional Study'!#REF!</definedName>
    <definedName name="UAcct41111Dnpp" localSheetId="1">'[11]Functional Study'!#REF!</definedName>
    <definedName name="UAcct41111Dnpp" localSheetId="9">'[11]Functional Study'!#REF!</definedName>
    <definedName name="UAcct41111Dnpp">'[11]Functional Study'!#REF!</definedName>
    <definedName name="UAcct41111Dnptp" localSheetId="2">'[11]Functional Study'!#REF!</definedName>
    <definedName name="UAcct41111Dnptp" localSheetId="3">'[11]Functional Study'!#REF!</definedName>
    <definedName name="UAcct41111Dnptp" localSheetId="4">'[11]Functional Study'!#REF!</definedName>
    <definedName name="UAcct41111Dnptp" localSheetId="5">'[11]Functional Study'!#REF!</definedName>
    <definedName name="UAcct41111Dnptp" localSheetId="8">'[11]Functional Study'!#REF!</definedName>
    <definedName name="UAcct41111Dnptp" localSheetId="7">'[11]Functional Study'!#REF!</definedName>
    <definedName name="UAcct41111Dnptp" localSheetId="6">'[11]Functional Study'!#REF!</definedName>
    <definedName name="UAcct41111Dnptp" localSheetId="1">'[11]Functional Study'!#REF!</definedName>
    <definedName name="UAcct41111Dnptp" localSheetId="9">'[11]Functional Study'!#REF!</definedName>
    <definedName name="UAcct41111Dnptp">'[11]Functional Study'!#REF!</definedName>
    <definedName name="UAcct41111S" localSheetId="2">'[11]Functional Study'!#REF!</definedName>
    <definedName name="UAcct41111S" localSheetId="3">'[11]Functional Study'!#REF!</definedName>
    <definedName name="UAcct41111S" localSheetId="4">'[11]Functional Study'!#REF!</definedName>
    <definedName name="UAcct41111S" localSheetId="5">'[11]Functional Study'!#REF!</definedName>
    <definedName name="UAcct41111S" localSheetId="8">'[11]Functional Study'!#REF!</definedName>
    <definedName name="UAcct41111S" localSheetId="7">'[11]Functional Study'!#REF!</definedName>
    <definedName name="UAcct41111S" localSheetId="6">'[11]Functional Study'!#REF!</definedName>
    <definedName name="UAcct41111S" localSheetId="1">'[11]Functional Study'!#REF!</definedName>
    <definedName name="UAcct41111S" localSheetId="9">'[11]Functional Study'!#REF!</definedName>
    <definedName name="UAcct41111S">'[11]Functional Study'!#REF!</definedName>
    <definedName name="UAcct41111Se" localSheetId="2">'[11]Functional Study'!#REF!</definedName>
    <definedName name="UAcct41111Se" localSheetId="3">'[11]Functional Study'!#REF!</definedName>
    <definedName name="UAcct41111Se" localSheetId="4">'[11]Functional Study'!#REF!</definedName>
    <definedName name="UAcct41111Se" localSheetId="5">'[11]Functional Study'!#REF!</definedName>
    <definedName name="UAcct41111Se" localSheetId="8">'[11]Functional Study'!#REF!</definedName>
    <definedName name="UAcct41111Se" localSheetId="7">'[11]Functional Study'!#REF!</definedName>
    <definedName name="UAcct41111Se" localSheetId="6">'[11]Functional Study'!#REF!</definedName>
    <definedName name="UAcct41111Se" localSheetId="1">'[11]Functional Study'!#REF!</definedName>
    <definedName name="UAcct41111Se" localSheetId="9">'[11]Functional Study'!#REF!</definedName>
    <definedName name="UAcct41111Se">'[11]Functional Study'!#REF!</definedName>
    <definedName name="UAcct41111Sg" localSheetId="2">'[11]Functional Study'!#REF!</definedName>
    <definedName name="UAcct41111Sg" localSheetId="3">'[11]Functional Study'!#REF!</definedName>
    <definedName name="UAcct41111Sg" localSheetId="4">'[11]Functional Study'!#REF!</definedName>
    <definedName name="UAcct41111Sg" localSheetId="5">'[11]Functional Study'!#REF!</definedName>
    <definedName name="UAcct41111Sg" localSheetId="8">'[11]Functional Study'!#REF!</definedName>
    <definedName name="UAcct41111Sg" localSheetId="7">'[11]Functional Study'!#REF!</definedName>
    <definedName name="UAcct41111Sg" localSheetId="6">'[11]Functional Study'!#REF!</definedName>
    <definedName name="UAcct41111Sg" localSheetId="1">'[11]Functional Study'!#REF!</definedName>
    <definedName name="UAcct41111Sg" localSheetId="9">'[11]Functional Study'!#REF!</definedName>
    <definedName name="UAcct41111Sg">'[11]Functional Study'!#REF!</definedName>
    <definedName name="UAcct41111Sgpp" localSheetId="2">'[11]Functional Study'!#REF!</definedName>
    <definedName name="UAcct41111Sgpp" localSheetId="3">'[11]Functional Study'!#REF!</definedName>
    <definedName name="UAcct41111Sgpp" localSheetId="4">'[11]Functional Study'!#REF!</definedName>
    <definedName name="UAcct41111Sgpp" localSheetId="5">'[11]Functional Study'!#REF!</definedName>
    <definedName name="UAcct41111Sgpp" localSheetId="8">'[11]Functional Study'!#REF!</definedName>
    <definedName name="UAcct41111Sgpp" localSheetId="7">'[11]Functional Study'!#REF!</definedName>
    <definedName name="UAcct41111Sgpp" localSheetId="6">'[11]Functional Study'!#REF!</definedName>
    <definedName name="UAcct41111Sgpp" localSheetId="1">'[11]Functional Study'!#REF!</definedName>
    <definedName name="UAcct41111Sgpp" localSheetId="9">'[11]Functional Study'!#REF!</definedName>
    <definedName name="UAcct41111Sgpp">'[11]Functional Study'!#REF!</definedName>
    <definedName name="UAcct41111So" localSheetId="2">'[11]Functional Study'!#REF!</definedName>
    <definedName name="UAcct41111So" localSheetId="3">'[11]Functional Study'!#REF!</definedName>
    <definedName name="UAcct41111So" localSheetId="4">'[11]Functional Study'!#REF!</definedName>
    <definedName name="UAcct41111So" localSheetId="5">'[11]Functional Study'!#REF!</definedName>
    <definedName name="UAcct41111So" localSheetId="8">'[11]Functional Study'!#REF!</definedName>
    <definedName name="UAcct41111So" localSheetId="7">'[11]Functional Study'!#REF!</definedName>
    <definedName name="UAcct41111So" localSheetId="6">'[11]Functional Study'!#REF!</definedName>
    <definedName name="UAcct41111So" localSheetId="1">'[11]Functional Study'!#REF!</definedName>
    <definedName name="UAcct41111So" localSheetId="9">'[11]Functional Study'!#REF!</definedName>
    <definedName name="UAcct41111So">'[11]Functional Study'!#REF!</definedName>
    <definedName name="UAcct41111Trojp" localSheetId="2">'[11]Functional Study'!#REF!</definedName>
    <definedName name="UAcct41111Trojp" localSheetId="3">'[11]Functional Study'!#REF!</definedName>
    <definedName name="UAcct41111Trojp" localSheetId="4">'[11]Functional Study'!#REF!</definedName>
    <definedName name="UAcct41111Trojp" localSheetId="5">'[11]Functional Study'!#REF!</definedName>
    <definedName name="UAcct41111Trojp" localSheetId="8">'[11]Functional Study'!#REF!</definedName>
    <definedName name="UAcct41111Trojp" localSheetId="7">'[11]Functional Study'!#REF!</definedName>
    <definedName name="UAcct41111Trojp" localSheetId="6">'[11]Functional Study'!#REF!</definedName>
    <definedName name="UAcct41111Trojp" localSheetId="1">'[11]Functional Study'!#REF!</definedName>
    <definedName name="UAcct41111Trojp" localSheetId="9">'[11]Functional Study'!#REF!</definedName>
    <definedName name="UAcct41111Trojp">'[11]Functional Study'!#REF!</definedName>
    <definedName name="UAcct41140">'[10]Func Study'!$AB$1232</definedName>
    <definedName name="UAcct41141">'[10]Func Study'!$AB$1237</definedName>
    <definedName name="UAcct41160">'[10]Func Study'!$AB$369</definedName>
    <definedName name="UAcct41170">'[10]Func Study'!$AB$374</definedName>
    <definedName name="UAcct4118">'[10]Func Study'!$AB$378</definedName>
    <definedName name="UAcct41181">'[10]Func Study'!$AB$381</definedName>
    <definedName name="UAcct4194">'[10]Func Study'!$AB$385</definedName>
    <definedName name="UAcct421">'[10]Func Study'!$AB$394</definedName>
    <definedName name="UAcct4311">'[10]Func Study'!$AB$401</definedName>
    <definedName name="UAcct442Se">'[10]Func Study'!$AB$259</definedName>
    <definedName name="UAcct442Sg">'[10]Func Study'!$AB$260</definedName>
    <definedName name="UAcct447">'[10]Func Study'!$AB$281</definedName>
    <definedName name="UAcct447CAEE" localSheetId="2">'[8]Func Study'!#REF!</definedName>
    <definedName name="UAcct447CAEE" localSheetId="3">'[8]Func Study'!#REF!</definedName>
    <definedName name="UAcct447CAEE" localSheetId="4">'[8]Func Study'!#REF!</definedName>
    <definedName name="UAcct447CAEE" localSheetId="5">'[8]Func Study'!#REF!</definedName>
    <definedName name="UAcct447CAEE" localSheetId="8">'[8]Func Study'!#REF!</definedName>
    <definedName name="UAcct447CAEE" localSheetId="7">'[8]Func Study'!#REF!</definedName>
    <definedName name="UAcct447CAEE" localSheetId="6">'[8]Func Study'!#REF!</definedName>
    <definedName name="UAcct447CAEE" localSheetId="1">'[8]Func Study'!#REF!</definedName>
    <definedName name="UAcct447CAEE" localSheetId="9">'[8]Func Study'!#REF!</definedName>
    <definedName name="UAcct447CAEE">'[8]Func Study'!#REF!</definedName>
    <definedName name="UAcct447CAGE" localSheetId="2">'[8]Func Study'!#REF!</definedName>
    <definedName name="UAcct447CAGE" localSheetId="3">'[8]Func Study'!#REF!</definedName>
    <definedName name="UAcct447CAGE" localSheetId="4">'[8]Func Study'!#REF!</definedName>
    <definedName name="UAcct447CAGE" localSheetId="5">'[8]Func Study'!#REF!</definedName>
    <definedName name="UAcct447CAGE" localSheetId="8">'[8]Func Study'!#REF!</definedName>
    <definedName name="UAcct447CAGE" localSheetId="7">'[8]Func Study'!#REF!</definedName>
    <definedName name="UAcct447CAGE" localSheetId="6">'[8]Func Study'!#REF!</definedName>
    <definedName name="UAcct447CAGE" localSheetId="1">'[8]Func Study'!#REF!</definedName>
    <definedName name="UAcct447CAGE" localSheetId="9">'[8]Func Study'!#REF!</definedName>
    <definedName name="UAcct447CAGE">'[8]Func Study'!#REF!</definedName>
    <definedName name="UAcct447Dgu" localSheetId="2">'[9]Func Study'!#REF!</definedName>
    <definedName name="UAcct447Dgu" localSheetId="3">'[9]Func Study'!#REF!</definedName>
    <definedName name="UAcct447Dgu" localSheetId="4">'[9]Func Study'!#REF!</definedName>
    <definedName name="UAcct447Dgu" localSheetId="5">'[9]Func Study'!#REF!</definedName>
    <definedName name="UAcct447Dgu" localSheetId="8">'[9]Func Study'!#REF!</definedName>
    <definedName name="UAcct447Dgu" localSheetId="7">'[9]Func Study'!#REF!</definedName>
    <definedName name="UAcct447Dgu" localSheetId="6">'[9]Func Study'!#REF!</definedName>
    <definedName name="UAcct447Dgu" localSheetId="1">'[9]Func Study'!#REF!</definedName>
    <definedName name="UAcct447Dgu" localSheetId="9">'[9]Func Study'!#REF!</definedName>
    <definedName name="UAcct447Dgu">'[9]Func Study'!#REF!</definedName>
    <definedName name="UACCT447NPC">'[10]Func Study'!$AB$289</definedName>
    <definedName name="UACCT447NPCCAEW">'[10]Func Study'!$AB$286</definedName>
    <definedName name="UACCT447NPCCAGW">'[10]Func Study'!$AB$287</definedName>
    <definedName name="UACCT447NPCDGP">'[10]Func Study'!$AB$288</definedName>
    <definedName name="UAcct447S">'[10]Func Study'!$AB$280</definedName>
    <definedName name="UAcct448S">'[10]Func Study'!$AB$274</definedName>
    <definedName name="UAcct448So">'[10]Func Study'!$AB$275</definedName>
    <definedName name="UAcct449">'[10]Func Study'!$AB$294</definedName>
    <definedName name="UAcct450">'[10]Func Study'!$AB$304</definedName>
    <definedName name="UAcct450S">'[10]Func Study'!$AB$302</definedName>
    <definedName name="UAcct450So">'[10]Func Study'!$AB$303</definedName>
    <definedName name="UAcct451S">'[10]Func Study'!$AB$307</definedName>
    <definedName name="UAcct451Sg">'[10]Func Study'!$AB$308</definedName>
    <definedName name="UAcct451So">'[10]Func Study'!$AB$309</definedName>
    <definedName name="UAcct453">'[10]Func Study'!$AB$315</definedName>
    <definedName name="UAcct453CAGE" localSheetId="2">'[8]Func Study'!#REF!</definedName>
    <definedName name="UAcct453CAGE" localSheetId="3">'[8]Func Study'!#REF!</definedName>
    <definedName name="UAcct453CAGE" localSheetId="4">'[8]Func Study'!#REF!</definedName>
    <definedName name="UAcct453CAGE" localSheetId="5">'[8]Func Study'!#REF!</definedName>
    <definedName name="UAcct453CAGE" localSheetId="8">'[8]Func Study'!#REF!</definedName>
    <definedName name="UAcct453CAGE" localSheetId="7">'[8]Func Study'!#REF!</definedName>
    <definedName name="UAcct453CAGE" localSheetId="6">'[8]Func Study'!#REF!</definedName>
    <definedName name="UAcct453CAGE" localSheetId="1">'[8]Func Study'!#REF!</definedName>
    <definedName name="UAcct453CAGE" localSheetId="9">'[8]Func Study'!#REF!</definedName>
    <definedName name="UAcct453CAGE">'[8]Func Study'!#REF!</definedName>
    <definedName name="UAcct453CAGW" localSheetId="2">'[8]Func Study'!#REF!</definedName>
    <definedName name="UAcct453CAGW" localSheetId="3">'[8]Func Study'!#REF!</definedName>
    <definedName name="UAcct453CAGW" localSheetId="4">'[8]Func Study'!#REF!</definedName>
    <definedName name="UAcct453CAGW" localSheetId="5">'[8]Func Study'!#REF!</definedName>
    <definedName name="UAcct453CAGW" localSheetId="8">'[8]Func Study'!#REF!</definedName>
    <definedName name="UAcct453CAGW" localSheetId="7">'[8]Func Study'!#REF!</definedName>
    <definedName name="UAcct453CAGW" localSheetId="6">'[8]Func Study'!#REF!</definedName>
    <definedName name="UAcct453CAGW" localSheetId="1">'[8]Func Study'!#REF!</definedName>
    <definedName name="UAcct453CAGW" localSheetId="9">'[8]Func Study'!#REF!</definedName>
    <definedName name="UAcct453CAGW">'[8]Func Study'!#REF!</definedName>
    <definedName name="UAcct454">'[10]Func Study'!$AB$322</definedName>
    <definedName name="UAcct454JBG">'[10]Func Study'!$AB$319</definedName>
    <definedName name="UAcct454S">'[10]Func Study'!$AB$318</definedName>
    <definedName name="UAcct454Sg">'[10]Func Study'!$AB$320</definedName>
    <definedName name="UAcct454So">'[10]Func Study'!$AB$321</definedName>
    <definedName name="UAcct456">'[10]Func Study'!$AB$332</definedName>
    <definedName name="UAcct456CAEW">'[10]Func Study'!$AB$331</definedName>
    <definedName name="UAcct456S">'[10]Func Study'!$AB$325</definedName>
    <definedName name="UAcct456So">'[10]Func Study'!$AB$329</definedName>
    <definedName name="UAcct500">'[10]Func Study'!$AB$416</definedName>
    <definedName name="UAcct500JBG">'[10]Func Study'!$AB$414</definedName>
    <definedName name="UAcct501">'[10]Func Study'!$AB$423</definedName>
    <definedName name="UAcct501CAEW">'[10]Func Study'!$AB$420</definedName>
    <definedName name="UAcct501JBE">'[10]Func Study'!$AB$421</definedName>
    <definedName name="UACCT501NPCCAEW">'[10]Func Study'!$AB$426</definedName>
    <definedName name="UAcct502">'[10]Func Study'!$AB$433</definedName>
    <definedName name="UAcct502CAGE">'[10]Func Study'!$AB$431</definedName>
    <definedName name="UAcct502JBG" localSheetId="2">'[8]Func Study'!#REF!</definedName>
    <definedName name="UAcct502JBG" localSheetId="3">'[8]Func Study'!#REF!</definedName>
    <definedName name="UAcct502JBG" localSheetId="4">'[8]Func Study'!#REF!</definedName>
    <definedName name="UAcct502JBG" localSheetId="5">'[8]Func Study'!#REF!</definedName>
    <definedName name="UAcct502JBG" localSheetId="8">'[8]Func Study'!#REF!</definedName>
    <definedName name="UAcct502JBG" localSheetId="7">'[8]Func Study'!#REF!</definedName>
    <definedName name="UAcct502JBG" localSheetId="6">'[8]Func Study'!#REF!</definedName>
    <definedName name="UAcct502JBG" localSheetId="1">'[8]Func Study'!#REF!</definedName>
    <definedName name="UAcct502JBG" localSheetId="9">'[8]Func Study'!#REF!</definedName>
    <definedName name="UAcct502JBG">'[8]Func Study'!#REF!</definedName>
    <definedName name="UAcct503">'[10]Func Study'!$AB$437</definedName>
    <definedName name="UACCT503NPC">'[10]Func Study'!$AB$443</definedName>
    <definedName name="UAcct505">'[10]Func Study'!$AB$449</definedName>
    <definedName name="UAcct505CAGE">'[10]Func Study'!$AB$447</definedName>
    <definedName name="UAcct505JBG" localSheetId="2">'[8]Func Study'!#REF!</definedName>
    <definedName name="UAcct505JBG" localSheetId="3">'[8]Func Study'!#REF!</definedName>
    <definedName name="UAcct505JBG" localSheetId="4">'[8]Func Study'!#REF!</definedName>
    <definedName name="UAcct505JBG" localSheetId="5">'[8]Func Study'!#REF!</definedName>
    <definedName name="UAcct505JBG" localSheetId="8">'[8]Func Study'!#REF!</definedName>
    <definedName name="UAcct505JBG" localSheetId="7">'[8]Func Study'!#REF!</definedName>
    <definedName name="UAcct505JBG" localSheetId="6">'[8]Func Study'!#REF!</definedName>
    <definedName name="UAcct505JBG" localSheetId="1">'[8]Func Study'!#REF!</definedName>
    <definedName name="UAcct505JBG" localSheetId="9">'[8]Func Study'!#REF!</definedName>
    <definedName name="UAcct505JBG">'[8]Func Study'!#REF!</definedName>
    <definedName name="UAcct506">'[10]Func Study'!$AB$455</definedName>
    <definedName name="UAcct506CAGE">'[10]Func Study'!$AB$452</definedName>
    <definedName name="UAcct506JBG" localSheetId="2">'[8]Func Study'!#REF!</definedName>
    <definedName name="UAcct506JBG" localSheetId="3">'[8]Func Study'!#REF!</definedName>
    <definedName name="UAcct506JBG" localSheetId="4">'[8]Func Study'!#REF!</definedName>
    <definedName name="UAcct506JBG" localSheetId="5">'[8]Func Study'!#REF!</definedName>
    <definedName name="UAcct506JBG" localSheetId="8">'[8]Func Study'!#REF!</definedName>
    <definedName name="UAcct506JBG" localSheetId="7">'[8]Func Study'!#REF!</definedName>
    <definedName name="UAcct506JBG" localSheetId="6">'[8]Func Study'!#REF!</definedName>
    <definedName name="UAcct506JBG" localSheetId="1">'[8]Func Study'!#REF!</definedName>
    <definedName name="UAcct506JBG" localSheetId="9">'[8]Func Study'!#REF!</definedName>
    <definedName name="UAcct506JBG">'[8]Func Study'!#REF!</definedName>
    <definedName name="UAcct507">'[10]Func Study'!$AB$464</definedName>
    <definedName name="UAcct507CAGE">'[10]Func Study'!$AB$462</definedName>
    <definedName name="UAcct507JBG" localSheetId="2">'[8]Func Study'!#REF!</definedName>
    <definedName name="UAcct507JBG" localSheetId="3">'[8]Func Study'!#REF!</definedName>
    <definedName name="UAcct507JBG" localSheetId="4">'[8]Func Study'!#REF!</definedName>
    <definedName name="UAcct507JBG" localSheetId="5">'[8]Func Study'!#REF!</definedName>
    <definedName name="UAcct507JBG" localSheetId="8">'[8]Func Study'!#REF!</definedName>
    <definedName name="UAcct507JBG" localSheetId="7">'[8]Func Study'!#REF!</definedName>
    <definedName name="UAcct507JBG" localSheetId="6">'[8]Func Study'!#REF!</definedName>
    <definedName name="UAcct507JBG" localSheetId="1">'[8]Func Study'!#REF!</definedName>
    <definedName name="UAcct507JBG" localSheetId="9">'[8]Func Study'!#REF!</definedName>
    <definedName name="UAcct507JBG">'[8]Func Study'!#REF!</definedName>
    <definedName name="UAcct510">'[10]Func Study'!$AB$469</definedName>
    <definedName name="UAcct510CAGE">'[10]Func Study'!$AB$467</definedName>
    <definedName name="UAcct510JBG" localSheetId="2">'[8]Func Study'!#REF!</definedName>
    <definedName name="UAcct510JBG" localSheetId="3">'[8]Func Study'!#REF!</definedName>
    <definedName name="UAcct510JBG" localSheetId="4">'[8]Func Study'!#REF!</definedName>
    <definedName name="UAcct510JBG" localSheetId="5">'[8]Func Study'!#REF!</definedName>
    <definedName name="UAcct510JBG" localSheetId="8">'[8]Func Study'!#REF!</definedName>
    <definedName name="UAcct510JBG" localSheetId="7">'[8]Func Study'!#REF!</definedName>
    <definedName name="UAcct510JBG" localSheetId="6">'[8]Func Study'!#REF!</definedName>
    <definedName name="UAcct510JBG" localSheetId="1">'[8]Func Study'!#REF!</definedName>
    <definedName name="UAcct510JBG" localSheetId="9">'[8]Func Study'!#REF!</definedName>
    <definedName name="UAcct510JBG">'[8]Func Study'!#REF!</definedName>
    <definedName name="UAcct511">'[10]Func Study'!$AB$474</definedName>
    <definedName name="UAcct511CAGE">'[10]Func Study'!$AB$472</definedName>
    <definedName name="UAcct511JBG" localSheetId="2">'[8]Func Study'!#REF!</definedName>
    <definedName name="UAcct511JBG" localSheetId="3">'[8]Func Study'!#REF!</definedName>
    <definedName name="UAcct511JBG" localSheetId="4">'[8]Func Study'!#REF!</definedName>
    <definedName name="UAcct511JBG" localSheetId="5">'[8]Func Study'!#REF!</definedName>
    <definedName name="UAcct511JBG" localSheetId="8">'[8]Func Study'!#REF!</definedName>
    <definedName name="UAcct511JBG" localSheetId="7">'[8]Func Study'!#REF!</definedName>
    <definedName name="UAcct511JBG" localSheetId="6">'[8]Func Study'!#REF!</definedName>
    <definedName name="UAcct511JBG" localSheetId="1">'[8]Func Study'!#REF!</definedName>
    <definedName name="UAcct511JBG" localSheetId="9">'[8]Func Study'!#REF!</definedName>
    <definedName name="UAcct511JBG">'[8]Func Study'!#REF!</definedName>
    <definedName name="UAcct512">'[10]Func Study'!$AB$479</definedName>
    <definedName name="UAcct512CAGE">'[10]Func Study'!$AB$477</definedName>
    <definedName name="UAcct512JBG" localSheetId="2">'[8]Func Study'!#REF!</definedName>
    <definedName name="UAcct512JBG" localSheetId="3">'[8]Func Study'!#REF!</definedName>
    <definedName name="UAcct512JBG" localSheetId="4">'[8]Func Study'!#REF!</definedName>
    <definedName name="UAcct512JBG" localSheetId="5">'[8]Func Study'!#REF!</definedName>
    <definedName name="UAcct512JBG" localSheetId="8">'[8]Func Study'!#REF!</definedName>
    <definedName name="UAcct512JBG" localSheetId="7">'[8]Func Study'!#REF!</definedName>
    <definedName name="UAcct512JBG" localSheetId="6">'[8]Func Study'!#REF!</definedName>
    <definedName name="UAcct512JBG" localSheetId="1">'[8]Func Study'!#REF!</definedName>
    <definedName name="UAcct512JBG" localSheetId="9">'[8]Func Study'!#REF!</definedName>
    <definedName name="UAcct512JBG">'[8]Func Study'!#REF!</definedName>
    <definedName name="UAcct513">'[10]Func Study'!$AB$484</definedName>
    <definedName name="UAcct513CAGE">'[10]Func Study'!$AB$482</definedName>
    <definedName name="UAcct513JBG" localSheetId="2">'[8]Func Study'!#REF!</definedName>
    <definedName name="UAcct513JBG" localSheetId="3">'[8]Func Study'!#REF!</definedName>
    <definedName name="UAcct513JBG" localSheetId="4">'[8]Func Study'!#REF!</definedName>
    <definedName name="UAcct513JBG" localSheetId="5">'[8]Func Study'!#REF!</definedName>
    <definedName name="UAcct513JBG" localSheetId="8">'[8]Func Study'!#REF!</definedName>
    <definedName name="UAcct513JBG" localSheetId="7">'[8]Func Study'!#REF!</definedName>
    <definedName name="UAcct513JBG" localSheetId="6">'[8]Func Study'!#REF!</definedName>
    <definedName name="UAcct513JBG" localSheetId="1">'[8]Func Study'!#REF!</definedName>
    <definedName name="UAcct513JBG" localSheetId="9">'[8]Func Study'!#REF!</definedName>
    <definedName name="UAcct513JBG">'[8]Func Study'!#REF!</definedName>
    <definedName name="UAcct514">'[10]Func Study'!$AB$489</definedName>
    <definedName name="UAcct514CAGE">'[10]Func Study'!$AB$487</definedName>
    <definedName name="UAcct514JBG" localSheetId="2">'[8]Func Study'!#REF!</definedName>
    <definedName name="UAcct514JBG" localSheetId="3">'[8]Func Study'!#REF!</definedName>
    <definedName name="UAcct514JBG" localSheetId="4">'[8]Func Study'!#REF!</definedName>
    <definedName name="UAcct514JBG" localSheetId="5">'[8]Func Study'!#REF!</definedName>
    <definedName name="UAcct514JBG" localSheetId="8">'[8]Func Study'!#REF!</definedName>
    <definedName name="UAcct514JBG" localSheetId="7">'[8]Func Study'!#REF!</definedName>
    <definedName name="UAcct514JBG" localSheetId="6">'[8]Func Study'!#REF!</definedName>
    <definedName name="UAcct514JBG" localSheetId="1">'[8]Func Study'!#REF!</definedName>
    <definedName name="UAcct514JBG" localSheetId="9">'[8]Func Study'!#REF!</definedName>
    <definedName name="UAcct514JBG">'[8]Func Study'!#REF!</definedName>
    <definedName name="UAcct517">'[10]Func Study'!$AB$498</definedName>
    <definedName name="UAcct518">'[10]Func Study'!$AB$502</definedName>
    <definedName name="UAcct519">'[10]Func Study'!$AB$507</definedName>
    <definedName name="UAcct520">'[10]Func Study'!$AB$511</definedName>
    <definedName name="UAcct523">'[10]Func Study'!$AB$515</definedName>
    <definedName name="UAcct524">'[10]Func Study'!$AB$519</definedName>
    <definedName name="UAcct528">'[10]Func Study'!$AB$523</definedName>
    <definedName name="UAcct529">'[10]Func Study'!$AB$527</definedName>
    <definedName name="UAcct530">'[10]Func Study'!$AB$531</definedName>
    <definedName name="UAcct531">'[10]Func Study'!$AB$535</definedName>
    <definedName name="UAcct532">'[10]Func Study'!$AB$539</definedName>
    <definedName name="UAcct535">'[10]Func Study'!$AB$551</definedName>
    <definedName name="UAcct536">'[10]Func Study'!$AB$555</definedName>
    <definedName name="UAcct537">'[10]Func Study'!$AB$559</definedName>
    <definedName name="UAcct538">'[10]Func Study'!$AB$563</definedName>
    <definedName name="UAcct539">'[10]Func Study'!$AB$568</definedName>
    <definedName name="UAcct540">'[10]Func Study'!$AB$572</definedName>
    <definedName name="UAcct541">'[10]Func Study'!$AB$576</definedName>
    <definedName name="UAcct542">'[10]Func Study'!$AB$580</definedName>
    <definedName name="UAcct543">'[10]Func Study'!$AB$584</definedName>
    <definedName name="UAcct544">'[10]Func Study'!$AB$588</definedName>
    <definedName name="UAcct545">'[10]Func Study'!$AB$592</definedName>
    <definedName name="UAcct546">'[10]Func Study'!$AB$606</definedName>
    <definedName name="UAcct546CAGE">'[10]Func Study'!$AB$605</definedName>
    <definedName name="UAcct547CAEW">'[10]Func Study'!$AB$610</definedName>
    <definedName name="UACCT547NPCCAEW">'[10]Func Study'!$AB$613</definedName>
    <definedName name="UAcct547Se">'[10]Func Study'!$AB$609</definedName>
    <definedName name="UAcct548">'[10]Func Study'!$AB$621</definedName>
    <definedName name="UACCT548CAGE">'[10]Func Study'!$AB$620</definedName>
    <definedName name="UAcct549">'[10]Func Study'!$AB$626</definedName>
    <definedName name="Uacct549CAGE">'[10]Func Study'!$AB$625</definedName>
    <definedName name="UAcct5506SE" localSheetId="2">'[8]Func Study'!#REF!</definedName>
    <definedName name="UAcct5506SE" localSheetId="3">'[8]Func Study'!#REF!</definedName>
    <definedName name="UAcct5506SE" localSheetId="4">'[8]Func Study'!#REF!</definedName>
    <definedName name="UAcct5506SE" localSheetId="5">'[8]Func Study'!#REF!</definedName>
    <definedName name="UAcct5506SE" localSheetId="8">'[8]Func Study'!#REF!</definedName>
    <definedName name="UAcct5506SE" localSheetId="7">'[8]Func Study'!#REF!</definedName>
    <definedName name="UAcct5506SE" localSheetId="6">'[8]Func Study'!#REF!</definedName>
    <definedName name="UAcct5506SE" localSheetId="1">'[8]Func Study'!#REF!</definedName>
    <definedName name="UAcct5506SE" localSheetId="9">'[8]Func Study'!#REF!</definedName>
    <definedName name="UAcct5506SE">'[8]Func Study'!#REF!</definedName>
    <definedName name="UAcct551CAGE">'[10]Func Study'!$AB$634</definedName>
    <definedName name="UACCT551SG">'[10]Func Study'!$AB$635</definedName>
    <definedName name="UACCT552CAGE">'[10]Func Study'!$AB$640</definedName>
    <definedName name="UAcct552SG">'[10]Func Study'!$AB$639</definedName>
    <definedName name="UACCT553CAGE">'[10]Func Study'!$AB$646</definedName>
    <definedName name="UAcct553SG">'[10]Func Study'!$AB$645</definedName>
    <definedName name="UACCT554CAGE">'[10]Func Study'!$AB$651</definedName>
    <definedName name="UAcct554SG">'[10]Func Study'!$AB$650</definedName>
    <definedName name="UAcct555CAEE" localSheetId="2">'[8]Func Study'!#REF!</definedName>
    <definedName name="UAcct555CAEE" localSheetId="3">'[8]Func Study'!#REF!</definedName>
    <definedName name="UAcct555CAEE" localSheetId="4">'[8]Func Study'!#REF!</definedName>
    <definedName name="UAcct555CAEE" localSheetId="5">'[8]Func Study'!#REF!</definedName>
    <definedName name="UAcct555CAEE" localSheetId="8">'[8]Func Study'!#REF!</definedName>
    <definedName name="UAcct555CAEE" localSheetId="7">'[8]Func Study'!#REF!</definedName>
    <definedName name="UAcct555CAEE" localSheetId="6">'[8]Func Study'!#REF!</definedName>
    <definedName name="UAcct555CAEE" localSheetId="1">'[8]Func Study'!#REF!</definedName>
    <definedName name="UAcct555CAEE" localSheetId="9">'[8]Func Study'!#REF!</definedName>
    <definedName name="UAcct555CAEE">'[8]Func Study'!#REF!</definedName>
    <definedName name="UAcct555CAEW">'[10]Func Study'!$AB$665</definedName>
    <definedName name="UAcct555CAGE" localSheetId="2">'[8]Func Study'!#REF!</definedName>
    <definedName name="UAcct555CAGE" localSheetId="3">'[8]Func Study'!#REF!</definedName>
    <definedName name="UAcct555CAGE" localSheetId="4">'[8]Func Study'!#REF!</definedName>
    <definedName name="UAcct555CAGE" localSheetId="5">'[8]Func Study'!#REF!</definedName>
    <definedName name="UAcct555CAGE" localSheetId="8">'[8]Func Study'!#REF!</definedName>
    <definedName name="UAcct555CAGE" localSheetId="7">'[8]Func Study'!#REF!</definedName>
    <definedName name="UAcct555CAGE" localSheetId="6">'[8]Func Study'!#REF!</definedName>
    <definedName name="UAcct555CAGE" localSheetId="1">'[8]Func Study'!#REF!</definedName>
    <definedName name="UAcct555CAGE" localSheetId="9">'[8]Func Study'!#REF!</definedName>
    <definedName name="UAcct555CAGE">'[8]Func Study'!#REF!</definedName>
    <definedName name="UAcct555CAGW">'[10]Func Study'!$AB$664</definedName>
    <definedName name="UACCT555DGP">'[10]Func Study'!$AB$670</definedName>
    <definedName name="UACCT555NPCCAEW">'[10]Func Study'!$AB$669</definedName>
    <definedName name="UACCT555NPCCAGW">'[10]Func Study'!$AB$668</definedName>
    <definedName name="UAcct555S">'[10]Func Study'!$AB$663</definedName>
    <definedName name="UAcct555Se">'[10]Func Study'!$AB$665</definedName>
    <definedName name="UACCT555SG">'[10]Func Study'!$AB$664</definedName>
    <definedName name="UAcct556">'[10]Func Study'!$AB$676</definedName>
    <definedName name="UAcct557">'[10]Func Study'!$AB$685</definedName>
    <definedName name="UAcct560">'[10]Func Study'!$AB$715</definedName>
    <definedName name="UAcct561">'[10]Func Study'!$AB$720</definedName>
    <definedName name="UAcct562">'[10]Func Study'!$AB$726</definedName>
    <definedName name="UAcct563">'[10]Func Study'!$AB$731</definedName>
    <definedName name="UAcct564">'[10]Func Study'!$AB$735</definedName>
    <definedName name="UAcct565">'[10]Func Study'!$AB$739</definedName>
    <definedName name="UACCT565NPC">'[10]Func Study'!$AB$744</definedName>
    <definedName name="UACCT565NPCCAGW">'[10]Func Study'!$AB$742</definedName>
    <definedName name="UAcct566">'[10]Func Study'!$AB$748</definedName>
    <definedName name="UAcct567">'[10]Func Study'!$AB$752</definedName>
    <definedName name="UAcct568">'[10]Func Study'!$AB$756</definedName>
    <definedName name="UAcct569">'[10]Func Study'!$AB$760</definedName>
    <definedName name="UAcct570">'[10]Func Study'!$AB$765</definedName>
    <definedName name="UAcct571">'[10]Func Study'!$AB$770</definedName>
    <definedName name="UAcct572">'[10]Func Study'!$AB$774</definedName>
    <definedName name="UAcct573">'[10]Func Study'!$AB$778</definedName>
    <definedName name="UAcct580">'[10]Func Study'!$AB$791</definedName>
    <definedName name="UAcct581">'[10]Func Study'!$AB$796</definedName>
    <definedName name="UAcct582">'[10]Func Study'!$AB$801</definedName>
    <definedName name="UAcct583">'[10]Func Study'!$AB$806</definedName>
    <definedName name="UAcct584">'[10]Func Study'!$AB$811</definedName>
    <definedName name="UAcct585">'[10]Func Study'!$AB$816</definedName>
    <definedName name="UAcct586">'[10]Func Study'!$AB$821</definedName>
    <definedName name="UAcct587">'[10]Func Study'!$AB$826</definedName>
    <definedName name="UAcct588">'[10]Func Study'!$AB$831</definedName>
    <definedName name="UAcct589">'[10]Func Study'!$AB$836</definedName>
    <definedName name="UAcct590">'[10]Func Study'!$AB$841</definedName>
    <definedName name="UAcct591">'[10]Func Study'!$AB$846</definedName>
    <definedName name="UAcct592">'[10]Func Study'!$AB$851</definedName>
    <definedName name="UAcct593">'[10]Func Study'!$AB$856</definedName>
    <definedName name="UAcct594">'[10]Func Study'!$AB$861</definedName>
    <definedName name="UAcct595">'[10]Func Study'!$AB$866</definedName>
    <definedName name="UAcct596">'[10]Func Study'!$AB$876</definedName>
    <definedName name="UAcct597">'[10]Func Study'!$AB$881</definedName>
    <definedName name="UAcct598">'[10]Func Study'!$AB$886</definedName>
    <definedName name="UAcct901">'[10]Func Study'!$AB$898</definedName>
    <definedName name="UAcct902">'[10]Func Study'!$AB$903</definedName>
    <definedName name="UAcct903">'[10]Func Study'!$AB$908</definedName>
    <definedName name="UAcct904">'[10]Func Study'!$AB$914</definedName>
    <definedName name="Uacct904SG" localSheetId="2">'[12]Functional Study'!#REF!</definedName>
    <definedName name="Uacct904SG" localSheetId="3">'[12]Functional Study'!#REF!</definedName>
    <definedName name="Uacct904SG" localSheetId="4">'[12]Functional Study'!#REF!</definedName>
    <definedName name="Uacct904SG" localSheetId="5">'[12]Functional Study'!#REF!</definedName>
    <definedName name="Uacct904SG" localSheetId="8">'[12]Functional Study'!#REF!</definedName>
    <definedName name="Uacct904SG" localSheetId="7">'[12]Functional Study'!#REF!</definedName>
    <definedName name="Uacct904SG" localSheetId="6">'[12]Functional Study'!#REF!</definedName>
    <definedName name="Uacct904SG" localSheetId="1">'[12]Functional Study'!#REF!</definedName>
    <definedName name="Uacct904SG" localSheetId="9">'[12]Functional Study'!#REF!</definedName>
    <definedName name="Uacct904SG">'[12]Functional Study'!#REF!</definedName>
    <definedName name="UAcct905">'[10]Func Study'!$AB$919</definedName>
    <definedName name="UAcct907">'[10]Func Study'!$AB$933</definedName>
    <definedName name="UAcct908">'[10]Func Study'!$AB$938</definedName>
    <definedName name="UAcct909">'[10]Func Study'!$AB$943</definedName>
    <definedName name="UAcct910">'[10]Func Study'!$AB$948</definedName>
    <definedName name="UAcct911">'[10]Func Study'!$AB$959</definedName>
    <definedName name="UAcct912">'[10]Func Study'!$AB$964</definedName>
    <definedName name="UAcct913">'[10]Func Study'!$AB$969</definedName>
    <definedName name="UAcct916">'[10]Func Study'!$AB$974</definedName>
    <definedName name="UAcct920">'[10]Func Study'!$AB$985</definedName>
    <definedName name="UAcct920Cn">'[10]Func Study'!$AB$983</definedName>
    <definedName name="UAcct921">'[10]Func Study'!$AB$991</definedName>
    <definedName name="UAcct921Cn">'[10]Func Study'!$AB$989</definedName>
    <definedName name="UAcct923">'[10]Func Study'!$AB$997</definedName>
    <definedName name="UAcct923CAGW">'[10]Func Study'!$AB$995</definedName>
    <definedName name="UAcct924">'[10]Func Study'!$AB$1001</definedName>
    <definedName name="UAcct925">'[10]Func Study'!$AB$1005</definedName>
    <definedName name="UAcct926">'[10]Func Study'!$AB$1011</definedName>
    <definedName name="UAcct927">'[10]Func Study'!$AB$1016</definedName>
    <definedName name="UAcct928">'[10]Func Study'!$AB$1023</definedName>
    <definedName name="UAcct929">'[10]Func Study'!$AB$1028</definedName>
    <definedName name="UAcct930">'[10]Func Study'!$AB$1034</definedName>
    <definedName name="UAcct931">'[10]Func Study'!$AB$1039</definedName>
    <definedName name="UAcct935">'[10]Func Study'!$AB$1045</definedName>
    <definedName name="UAcctAGA">'[10]Func Study'!$AB$296</definedName>
    <definedName name="UAcctcwc">'[10]Func Study'!$AB$2136</definedName>
    <definedName name="UAcctd00">'[10]Func Study'!$AB$1786</definedName>
    <definedName name="UAcctdfa" localSheetId="2">'[10]Func Study'!#REF!</definedName>
    <definedName name="UAcctdfa" localSheetId="3">'[10]Func Study'!#REF!</definedName>
    <definedName name="UAcctdfa" localSheetId="4">'[10]Func Study'!#REF!</definedName>
    <definedName name="UAcctdfa" localSheetId="5">'[10]Func Study'!#REF!</definedName>
    <definedName name="UAcctdfa" localSheetId="8">'[10]Func Study'!#REF!</definedName>
    <definedName name="UAcctdfa" localSheetId="7">'[10]Func Study'!#REF!</definedName>
    <definedName name="UAcctdfa" localSheetId="6">'[10]Func Study'!#REF!</definedName>
    <definedName name="UAcctdfa" localSheetId="1">'[10]Func Study'!#REF!</definedName>
    <definedName name="UAcctdfa" localSheetId="9">'[10]Func Study'!#REF!</definedName>
    <definedName name="UAcctdfa">'[10]Func Study'!#REF!</definedName>
    <definedName name="UAcctdfad" localSheetId="2">'[10]Func Study'!#REF!</definedName>
    <definedName name="UAcctdfad" localSheetId="3">'[10]Func Study'!#REF!</definedName>
    <definedName name="UAcctdfad" localSheetId="4">'[10]Func Study'!#REF!</definedName>
    <definedName name="UAcctdfad" localSheetId="5">'[10]Func Study'!#REF!</definedName>
    <definedName name="UAcctdfad" localSheetId="8">'[10]Func Study'!#REF!</definedName>
    <definedName name="UAcctdfad" localSheetId="7">'[10]Func Study'!#REF!</definedName>
    <definedName name="UAcctdfad" localSheetId="6">'[10]Func Study'!#REF!</definedName>
    <definedName name="UAcctdfad" localSheetId="1">'[10]Func Study'!#REF!</definedName>
    <definedName name="UAcctdfad" localSheetId="9">'[10]Func Study'!#REF!</definedName>
    <definedName name="UAcctdfad">'[10]Func Study'!#REF!</definedName>
    <definedName name="UAcctdfap" localSheetId="2">'[10]Func Study'!#REF!</definedName>
    <definedName name="UAcctdfap" localSheetId="3">'[10]Func Study'!#REF!</definedName>
    <definedName name="UAcctdfap" localSheetId="4">'[10]Func Study'!#REF!</definedName>
    <definedName name="UAcctdfap" localSheetId="5">'[10]Func Study'!#REF!</definedName>
    <definedName name="UAcctdfap" localSheetId="8">'[10]Func Study'!#REF!</definedName>
    <definedName name="UAcctdfap" localSheetId="7">'[10]Func Study'!#REF!</definedName>
    <definedName name="UAcctdfap" localSheetId="6">'[10]Func Study'!#REF!</definedName>
    <definedName name="UAcctdfap" localSheetId="1">'[10]Func Study'!#REF!</definedName>
    <definedName name="UAcctdfap" localSheetId="9">'[10]Func Study'!#REF!</definedName>
    <definedName name="UAcctdfap">'[10]Func Study'!#REF!</definedName>
    <definedName name="UAcctdfat" localSheetId="2">'[10]Func Study'!#REF!</definedName>
    <definedName name="UAcctdfat" localSheetId="3">'[10]Func Study'!#REF!</definedName>
    <definedName name="UAcctdfat" localSheetId="4">'[10]Func Study'!#REF!</definedName>
    <definedName name="UAcctdfat" localSheetId="5">'[10]Func Study'!#REF!</definedName>
    <definedName name="UAcctdfat" localSheetId="8">'[10]Func Study'!#REF!</definedName>
    <definedName name="UAcctdfat" localSheetId="7">'[10]Func Study'!#REF!</definedName>
    <definedName name="UAcctdfat" localSheetId="6">'[10]Func Study'!#REF!</definedName>
    <definedName name="UAcctdfat" localSheetId="1">'[10]Func Study'!#REF!</definedName>
    <definedName name="UAcctdfat" localSheetId="9">'[10]Func Study'!#REF!</definedName>
    <definedName name="UAcctdfat">'[10]Func Study'!#REF!</definedName>
    <definedName name="UAcctds0">'[10]Func Study'!$AB$1790</definedName>
    <definedName name="UACCTECDDGP">'[10]Func Study'!$AB$687</definedName>
    <definedName name="UACCTECDMC">'[10]Func Study'!$AB$689</definedName>
    <definedName name="UACCTECDS">'[10]Func Study'!$AB$691</definedName>
    <definedName name="UACCTECDSG1">'[10]Func Study'!$AB$688</definedName>
    <definedName name="UACCTECDSG2">'[10]Func Study'!$AB$690</definedName>
    <definedName name="UACCTECDSG3">'[10]Func Study'!$AB$692</definedName>
    <definedName name="UAcctfit">'[10]Func Study'!$AB$1395</definedName>
    <definedName name="UAcctg00">'[10]Func Study'!$AB$1947</definedName>
    <definedName name="UAccth00">'[10]Func Study'!$AB$1545</definedName>
    <definedName name="UAccti00">'[10]Func Study'!$AB$1993</definedName>
    <definedName name="UAcctn00">'[10]Func Study'!$AB$1496</definedName>
    <definedName name="UAccto00">'[10]Func Study'!$AB$1606</definedName>
    <definedName name="UAcctowc">'[10]Func Study'!$AB$2149</definedName>
    <definedName name="UACCTOWCSSECH">'[10]Func Study'!$AB$2148</definedName>
    <definedName name="UAccts00">'[10]Func Study'!$AB$1455</definedName>
    <definedName name="UAcctsttax">'[10]Func Study'!$AB$1377</definedName>
    <definedName name="UAcctt00">'[10]Func Study'!$AB$1682</definedName>
    <definedName name="UNBILREV" localSheetId="2">#REF!</definedName>
    <definedName name="UNBILREV" localSheetId="3">#REF!</definedName>
    <definedName name="UNBILREV" localSheetId="4">#REF!</definedName>
    <definedName name="UNBILREV" localSheetId="5">#REF!</definedName>
    <definedName name="UNBILREV" localSheetId="8">#REF!</definedName>
    <definedName name="UNBILREV" localSheetId="7">#REF!</definedName>
    <definedName name="UNBILREV" localSheetId="6">#REF!</definedName>
    <definedName name="UNBILREV" localSheetId="1">#REF!</definedName>
    <definedName name="UNBILREV" localSheetId="9">#REF!</definedName>
    <definedName name="UNBILREV">#REF!</definedName>
    <definedName name="UncollectibleAccounts">[14]Variables!$D$25</definedName>
    <definedName name="UtGrossReceipts">[14]Variables!$D$29</definedName>
    <definedName name="ValidAccount">[13]Variables!$AK$43:$AK$369</definedName>
    <definedName name="VAR" localSheetId="2">[15]Backup!#REF!</definedName>
    <definedName name="VAR" localSheetId="3">[15]Backup!#REF!</definedName>
    <definedName name="VAR" localSheetId="4">[15]Backup!#REF!</definedName>
    <definedName name="VAR" localSheetId="5">[15]Backup!#REF!</definedName>
    <definedName name="VAR" localSheetId="8">[15]Backup!#REF!</definedName>
    <definedName name="VAR" localSheetId="7">[15]Backup!#REF!</definedName>
    <definedName name="VAR" localSheetId="6">[15]Backup!#REF!</definedName>
    <definedName name="VAR" localSheetId="1">[15]Backup!#REF!</definedName>
    <definedName name="VAR" localSheetId="9">[15]Backup!#REF!</definedName>
    <definedName name="VAR">[15]Backup!#REF!</definedName>
    <definedName name="VARIABLE" localSheetId="2">[20]Summary!#REF!</definedName>
    <definedName name="VARIABLE" localSheetId="3">[20]Summary!#REF!</definedName>
    <definedName name="VARIABLE" localSheetId="4">[20]Summary!#REF!</definedName>
    <definedName name="VARIABLE" localSheetId="5">[20]Summary!#REF!</definedName>
    <definedName name="VARIABLE" localSheetId="8">[20]Summary!#REF!</definedName>
    <definedName name="VARIABLE" localSheetId="7">[20]Summary!#REF!</definedName>
    <definedName name="VARIABLE" localSheetId="6">[20]Summary!#REF!</definedName>
    <definedName name="VARIABLE" localSheetId="1">[20]Summary!#REF!</definedName>
    <definedName name="VARIABLE" localSheetId="9">[20]Summary!#REF!</definedName>
    <definedName name="VARIABLE">[20]Summary!#REF!</definedName>
    <definedName name="VOUCHER" localSheetId="2">#REF!</definedName>
    <definedName name="VOUCHER" localSheetId="3">#REF!</definedName>
    <definedName name="VOUCHER" localSheetId="4">#REF!</definedName>
    <definedName name="VOUCHER" localSheetId="5">#REF!</definedName>
    <definedName name="VOUCHER" localSheetId="8">#REF!</definedName>
    <definedName name="VOUCHER" localSheetId="7">#REF!</definedName>
    <definedName name="VOUCHER" localSheetId="6">#REF!</definedName>
    <definedName name="VOUCHER" localSheetId="1">#REF!</definedName>
    <definedName name="VOUCHER" localSheetId="9">#REF!</definedName>
    <definedName name="VOUCHER">#REF!</definedName>
    <definedName name="WaRevenueTax">[14]Variables!$D$27</definedName>
    <definedName name="WEATHER" localSheetId="2">#REF!</definedName>
    <definedName name="WEATHER" localSheetId="3">#REF!</definedName>
    <definedName name="WEATHER" localSheetId="4">#REF!</definedName>
    <definedName name="WEATHER" localSheetId="5">#REF!</definedName>
    <definedName name="WEATHER" localSheetId="8">#REF!</definedName>
    <definedName name="WEATHER" localSheetId="7">#REF!</definedName>
    <definedName name="WEATHER" localSheetId="6">#REF!</definedName>
    <definedName name="WEATHER" localSheetId="1">#REF!</definedName>
    <definedName name="WEATHER" localSheetId="9">#REF!</definedName>
    <definedName name="WEATHER">#REF!</definedName>
    <definedName name="WEATHRNORM" localSheetId="2">#REF!</definedName>
    <definedName name="WEATHRNORM" localSheetId="3">#REF!</definedName>
    <definedName name="WEATHRNORM" localSheetId="4">#REF!</definedName>
    <definedName name="WEATHRNORM" localSheetId="5">#REF!</definedName>
    <definedName name="WEATHRNORM" localSheetId="8">#REF!</definedName>
    <definedName name="WEATHRNORM" localSheetId="7">#REF!</definedName>
    <definedName name="WEATHRNORM" localSheetId="6">#REF!</definedName>
    <definedName name="WEATHRNORM" localSheetId="1">#REF!</definedName>
    <definedName name="WEATHRNORM" localSheetId="9">#REF!</definedName>
    <definedName name="WEATHRNORM">#REF!</definedName>
    <definedName name="WIDTH" localSheetId="2">#REF!</definedName>
    <definedName name="WIDTH" localSheetId="3">#REF!</definedName>
    <definedName name="WIDTH" localSheetId="4">#REF!</definedName>
    <definedName name="WIDTH" localSheetId="5">#REF!</definedName>
    <definedName name="WIDTH" localSheetId="8">#REF!</definedName>
    <definedName name="WIDTH" localSheetId="7">#REF!</definedName>
    <definedName name="WIDTH" localSheetId="6">#REF!</definedName>
    <definedName name="WIDTH" localSheetId="1">#REF!</definedName>
    <definedName name="WIDTH" localSheetId="9">#REF!</definedName>
    <definedName name="WIDTH">#REF!</definedName>
    <definedName name="WinterPeak">'[28]Load Data'!$D$9:$H$12,'[28]Load Data'!$D$20:$H$22</definedName>
    <definedName name="WORK1" localSheetId="2">#REF!</definedName>
    <definedName name="WORK1" localSheetId="3">#REF!</definedName>
    <definedName name="WORK1" localSheetId="4">#REF!</definedName>
    <definedName name="WORK1" localSheetId="5">#REF!</definedName>
    <definedName name="WORK1" localSheetId="8">#REF!</definedName>
    <definedName name="WORK1" localSheetId="7">#REF!</definedName>
    <definedName name="WORK1" localSheetId="6">#REF!</definedName>
    <definedName name="WORK1" localSheetId="1">#REF!</definedName>
    <definedName name="WORK1" localSheetId="9">#REF!</definedName>
    <definedName name="WORK1">#REF!</definedName>
    <definedName name="WORK2" localSheetId="2">#REF!</definedName>
    <definedName name="WORK2" localSheetId="3">#REF!</definedName>
    <definedName name="WORK2" localSheetId="4">#REF!</definedName>
    <definedName name="WORK2" localSheetId="5">#REF!</definedName>
    <definedName name="WORK2" localSheetId="8">#REF!</definedName>
    <definedName name="WORK2" localSheetId="7">#REF!</definedName>
    <definedName name="WORK2" localSheetId="6">#REF!</definedName>
    <definedName name="WORK2" localSheetId="1">#REF!</definedName>
    <definedName name="WORK2" localSheetId="9">#REF!</definedName>
    <definedName name="WORK2">#REF!</definedName>
    <definedName name="WORK3" localSheetId="2">#REF!</definedName>
    <definedName name="WORK3" localSheetId="3">#REF!</definedName>
    <definedName name="WORK3" localSheetId="4">#REF!</definedName>
    <definedName name="WORK3" localSheetId="5">#REF!</definedName>
    <definedName name="WORK3" localSheetId="8">#REF!</definedName>
    <definedName name="WORK3" localSheetId="7">#REF!</definedName>
    <definedName name="WORK3" localSheetId="6">#REF!</definedName>
    <definedName name="WORK3" localSheetId="1">#REF!</definedName>
    <definedName name="WORK3" localSheetId="9">#REF!</definedName>
    <definedName name="WORK3">#REF!</definedName>
    <definedName name="wrn.OR._.Carrying._.Charge._.JV." localSheetId="8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8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x">'[29]Weather Present'!$K$7</definedName>
    <definedName name="y" localSheetId="2" hidden="1">#REF!</definedName>
    <definedName name="y" localSheetId="3" hidden="1">#REF!</definedName>
    <definedName name="y" localSheetId="4" hidden="1">#REF!</definedName>
    <definedName name="y" localSheetId="5" hidden="1">#REF!</definedName>
    <definedName name="y" localSheetId="8" hidden="1">#REF!</definedName>
    <definedName name="y" localSheetId="7" hidden="1">#REF!</definedName>
    <definedName name="y" localSheetId="6" hidden="1">#REF!</definedName>
    <definedName name="y" localSheetId="1" hidden="1">#REF!</definedName>
    <definedName name="y" localSheetId="0" hidden="1">#REF!</definedName>
    <definedName name="y" hidden="1">'[6]DSM Output'!$B$21:$B$23</definedName>
    <definedName name="Year" localSheetId="2">#REF!</definedName>
    <definedName name="Year" localSheetId="3">#REF!</definedName>
    <definedName name="Year" localSheetId="4">#REF!</definedName>
    <definedName name="Year" localSheetId="5">#REF!</definedName>
    <definedName name="Year" localSheetId="8">#REF!</definedName>
    <definedName name="Year" localSheetId="7">#REF!</definedName>
    <definedName name="Year" localSheetId="6">#REF!</definedName>
    <definedName name="Year" localSheetId="1">#REF!</definedName>
    <definedName name="Year" localSheetId="9">#REF!</definedName>
    <definedName name="Year">#REF!</definedName>
    <definedName name="YEFactors">[13]Factors!$S$3:$AG$99</definedName>
    <definedName name="z" localSheetId="2" hidden="1">#REF!</definedName>
    <definedName name="z" localSheetId="3" hidden="1">#REF!</definedName>
    <definedName name="z" localSheetId="4" hidden="1">#REF!</definedName>
    <definedName name="z" localSheetId="5" hidden="1">#REF!</definedName>
    <definedName name="z" localSheetId="8" hidden="1">#REF!</definedName>
    <definedName name="z" localSheetId="7" hidden="1">#REF!</definedName>
    <definedName name="z" localSheetId="6" hidden="1">#REF!</definedName>
    <definedName name="z" localSheetId="1" hidden="1">#REF!</definedName>
    <definedName name="z" localSheetId="0" hidden="1">#REF!</definedName>
    <definedName name="z" hidden="1">'[6]DSM Output'!$G$21:$G$23</definedName>
    <definedName name="ZA" localSheetId="2">'[30] annual balance '!#REF!</definedName>
    <definedName name="ZA" localSheetId="3">'[30] annual balance '!#REF!</definedName>
    <definedName name="ZA" localSheetId="4">'[30] annual balance '!#REF!</definedName>
    <definedName name="ZA" localSheetId="5">'[30] annual balance '!#REF!</definedName>
    <definedName name="ZA" localSheetId="8">'[30] annual balance '!#REF!</definedName>
    <definedName name="ZA" localSheetId="7">'[30] annual balance '!#REF!</definedName>
    <definedName name="ZA" localSheetId="6">'[30] annual balance '!#REF!</definedName>
    <definedName name="ZA" localSheetId="1">'[30] annual balance '!#REF!</definedName>
    <definedName name="ZA" localSheetId="9">'[30] annual balance '!#REF!</definedName>
    <definedName name="ZA">'[30] annual balance 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26" i="2" l="1"/>
  <c r="G1123" i="2"/>
  <c r="I1123" i="2" s="1"/>
  <c r="I1126" i="2"/>
  <c r="F1126" i="2"/>
  <c r="F1123" i="2"/>
  <c r="E10" i="10" l="1"/>
  <c r="C10" i="10" s="1"/>
  <c r="D10" i="10" s="1"/>
  <c r="E9" i="10"/>
  <c r="E8" i="10"/>
  <c r="E29" i="9"/>
  <c r="E28" i="9"/>
  <c r="E27" i="9"/>
  <c r="E25" i="9"/>
  <c r="R25" i="9"/>
  <c r="E24" i="9"/>
  <c r="E23" i="9"/>
  <c r="E21" i="9"/>
  <c r="E20" i="9"/>
  <c r="E19" i="9"/>
  <c r="E17" i="9"/>
  <c r="E16" i="9"/>
  <c r="E15" i="9"/>
  <c r="E29" i="8"/>
  <c r="E28" i="8"/>
  <c r="E27" i="8"/>
  <c r="E25" i="8"/>
  <c r="Q25" i="8"/>
  <c r="E24" i="8"/>
  <c r="E23" i="8"/>
  <c r="E21" i="8"/>
  <c r="E20" i="8"/>
  <c r="E19" i="8"/>
  <c r="E17" i="8"/>
  <c r="E16" i="8"/>
  <c r="E15" i="8"/>
  <c r="E29" i="7"/>
  <c r="E28" i="7"/>
  <c r="E27" i="7"/>
  <c r="E25" i="7"/>
  <c r="Q25" i="7"/>
  <c r="E24" i="7"/>
  <c r="E23" i="7"/>
  <c r="E21" i="7"/>
  <c r="E20" i="7"/>
  <c r="E19" i="7"/>
  <c r="E17" i="7"/>
  <c r="E16" i="7"/>
  <c r="E15" i="7"/>
  <c r="E33" i="6"/>
  <c r="E32" i="6"/>
  <c r="E31" i="6"/>
  <c r="E29" i="6"/>
  <c r="E28" i="6"/>
  <c r="E27" i="6"/>
  <c r="E25" i="6"/>
  <c r="E24" i="6"/>
  <c r="E23" i="6"/>
  <c r="E20" i="6"/>
  <c r="E19" i="6"/>
  <c r="E18" i="6"/>
  <c r="E40" i="5"/>
  <c r="E39" i="5"/>
  <c r="E38" i="5"/>
  <c r="E36" i="5"/>
  <c r="E35" i="5"/>
  <c r="E34" i="5"/>
  <c r="E32" i="5"/>
  <c r="E31" i="5"/>
  <c r="E30" i="5"/>
  <c r="E28" i="5"/>
  <c r="E27" i="5"/>
  <c r="R27" i="5"/>
  <c r="E26" i="5"/>
  <c r="E24" i="5"/>
  <c r="E23" i="5"/>
  <c r="E22" i="5"/>
  <c r="E20" i="5"/>
  <c r="E19" i="5"/>
  <c r="E18" i="5"/>
  <c r="E32" i="4"/>
  <c r="E31" i="4"/>
  <c r="AA30" i="4"/>
  <c r="E30" i="4"/>
  <c r="E28" i="4"/>
  <c r="E27" i="4"/>
  <c r="E26" i="4"/>
  <c r="E24" i="4"/>
  <c r="D24" i="4"/>
  <c r="E23" i="4"/>
  <c r="D23" i="4"/>
  <c r="E22" i="4"/>
  <c r="D22" i="4"/>
  <c r="E20" i="4"/>
  <c r="E19" i="4"/>
  <c r="E18" i="4"/>
  <c r="J31" i="3"/>
  <c r="J26" i="3"/>
  <c r="D25" i="3"/>
  <c r="J22" i="3"/>
  <c r="D21" i="3"/>
  <c r="Y17" i="3"/>
  <c r="D17" i="3"/>
  <c r="J15" i="3"/>
  <c r="D14" i="3"/>
  <c r="D28" i="3"/>
  <c r="U1279" i="2"/>
  <c r="I1271" i="2"/>
  <c r="U1271" i="2" s="1"/>
  <c r="U1270" i="2"/>
  <c r="U1272" i="2" s="1"/>
  <c r="I1269" i="2"/>
  <c r="C1269" i="2"/>
  <c r="I1267" i="2"/>
  <c r="F1267" i="2"/>
  <c r="I1265" i="2"/>
  <c r="I1264" i="2"/>
  <c r="F1264" i="2"/>
  <c r="I1263" i="2"/>
  <c r="F1263" i="2"/>
  <c r="I1261" i="2"/>
  <c r="F1261" i="2"/>
  <c r="I1260" i="2"/>
  <c r="I1258" i="2"/>
  <c r="F1258" i="2"/>
  <c r="I1257" i="2"/>
  <c r="F1257" i="2"/>
  <c r="I1256" i="2"/>
  <c r="F1256" i="2"/>
  <c r="I1253" i="2"/>
  <c r="I1252" i="2"/>
  <c r="F1252" i="2"/>
  <c r="I1250" i="2"/>
  <c r="F1250" i="2"/>
  <c r="I1249" i="2"/>
  <c r="F1249" i="2"/>
  <c r="I1248" i="2"/>
  <c r="I1245" i="2"/>
  <c r="F1245" i="2"/>
  <c r="I1244" i="2"/>
  <c r="F1244" i="2"/>
  <c r="I1242" i="2"/>
  <c r="F1242" i="2"/>
  <c r="I1241" i="2"/>
  <c r="Q1270" i="2"/>
  <c r="M1270" i="2"/>
  <c r="I1240" i="2"/>
  <c r="F1240" i="2"/>
  <c r="I1231" i="2"/>
  <c r="M1231" i="2" s="1"/>
  <c r="U1230" i="2"/>
  <c r="K1229" i="2"/>
  <c r="S1229" i="2"/>
  <c r="O1229" i="2"/>
  <c r="I1227" i="2"/>
  <c r="G1229" i="2"/>
  <c r="F1227" i="2"/>
  <c r="C1230" i="2"/>
  <c r="I1225" i="2"/>
  <c r="F1225" i="2"/>
  <c r="Q1230" i="2"/>
  <c r="M1230" i="2"/>
  <c r="I1224" i="2"/>
  <c r="C1226" i="2"/>
  <c r="I1215" i="2"/>
  <c r="U1215" i="2" s="1"/>
  <c r="Q1214" i="2"/>
  <c r="Q1166" i="2"/>
  <c r="S1211" i="2"/>
  <c r="O1211" i="2"/>
  <c r="K1211" i="2"/>
  <c r="G1211" i="2"/>
  <c r="I1211" i="2" s="1"/>
  <c r="F1210" i="2"/>
  <c r="I1210" i="2"/>
  <c r="U1214" i="2"/>
  <c r="M1214" i="2"/>
  <c r="I1209" i="2"/>
  <c r="M1201" i="2"/>
  <c r="M1170" i="2" s="1"/>
  <c r="S1200" i="2"/>
  <c r="K1200" i="2"/>
  <c r="U1166" i="2"/>
  <c r="O1200" i="2"/>
  <c r="M1166" i="2"/>
  <c r="G1200" i="2"/>
  <c r="F1196" i="2"/>
  <c r="I1196" i="2"/>
  <c r="F1194" i="2"/>
  <c r="I1194" i="2"/>
  <c r="I1193" i="2"/>
  <c r="I1191" i="2"/>
  <c r="F1191" i="2"/>
  <c r="F1190" i="2"/>
  <c r="I1190" i="2"/>
  <c r="I1187" i="2"/>
  <c r="F1187" i="2"/>
  <c r="I1186" i="2"/>
  <c r="F1186" i="2"/>
  <c r="I1185" i="2"/>
  <c r="F1185" i="2"/>
  <c r="F1184" i="2"/>
  <c r="I1184" i="2"/>
  <c r="I1183" i="2"/>
  <c r="U1180" i="2"/>
  <c r="U1201" i="2" s="1"/>
  <c r="U1170" i="2" s="1"/>
  <c r="M1180" i="2"/>
  <c r="C1168" i="2"/>
  <c r="C1167" i="2"/>
  <c r="Q1165" i="2"/>
  <c r="M1165" i="2"/>
  <c r="I1165" i="2"/>
  <c r="I1157" i="2"/>
  <c r="F1152" i="2"/>
  <c r="I1152" i="2"/>
  <c r="S1155" i="2"/>
  <c r="Q1156" i="2"/>
  <c r="O1155" i="2"/>
  <c r="K1155" i="2"/>
  <c r="G1155" i="2"/>
  <c r="F1151" i="2"/>
  <c r="C1156" i="2"/>
  <c r="U1150" i="2"/>
  <c r="U1156" i="2" s="1"/>
  <c r="I1140" i="2"/>
  <c r="U1140" i="2" s="1"/>
  <c r="C1138" i="2"/>
  <c r="I1138" i="2" s="1"/>
  <c r="F1136" i="2"/>
  <c r="I1135" i="2"/>
  <c r="F1135" i="2"/>
  <c r="F1134" i="2"/>
  <c r="I1134" i="2"/>
  <c r="I1133" i="2"/>
  <c r="I1132" i="2"/>
  <c r="F1132" i="2"/>
  <c r="I1131" i="2"/>
  <c r="F1131" i="2"/>
  <c r="F1130" i="2"/>
  <c r="I1130" i="2"/>
  <c r="I1128" i="2"/>
  <c r="F1128" i="2"/>
  <c r="F1127" i="2"/>
  <c r="I1125" i="2"/>
  <c r="F1125" i="2"/>
  <c r="F1124" i="2"/>
  <c r="I1124" i="2"/>
  <c r="I1121" i="2"/>
  <c r="F1121" i="2"/>
  <c r="I1120" i="2"/>
  <c r="F1120" i="2"/>
  <c r="I1119" i="2"/>
  <c r="F1119" i="2"/>
  <c r="F1118" i="2"/>
  <c r="I1118" i="2"/>
  <c r="I1117" i="2"/>
  <c r="F1117" i="2"/>
  <c r="F1116" i="2"/>
  <c r="I1115" i="2"/>
  <c r="F1115" i="2"/>
  <c r="F1114" i="2"/>
  <c r="I1114" i="2"/>
  <c r="I1113" i="2"/>
  <c r="U1139" i="2"/>
  <c r="Q1139" i="2"/>
  <c r="M1139" i="2"/>
  <c r="I1112" i="2"/>
  <c r="F1112" i="2"/>
  <c r="F1099" i="2"/>
  <c r="F1098" i="2"/>
  <c r="C1102" i="2"/>
  <c r="F1096" i="2"/>
  <c r="F1095" i="2"/>
  <c r="I1094" i="2"/>
  <c r="F1094" i="2"/>
  <c r="F1092" i="2"/>
  <c r="F1091" i="2"/>
  <c r="C1093" i="2"/>
  <c r="I1065" i="2"/>
  <c r="M1065" i="2" s="1"/>
  <c r="C1062" i="2"/>
  <c r="F1043" i="2"/>
  <c r="C1046" i="2"/>
  <c r="F1041" i="2"/>
  <c r="F1040" i="2"/>
  <c r="F1039" i="2"/>
  <c r="F1037" i="2"/>
  <c r="F1036" i="2"/>
  <c r="F1026" i="2"/>
  <c r="K1025" i="2"/>
  <c r="M1025" i="2" s="1"/>
  <c r="F1025" i="2"/>
  <c r="F1023" i="2"/>
  <c r="F1022" i="2"/>
  <c r="F1021" i="2"/>
  <c r="F1019" i="2"/>
  <c r="C1055" i="2"/>
  <c r="F1018" i="2"/>
  <c r="C1020" i="2"/>
  <c r="C1005" i="2"/>
  <c r="K1043" i="2"/>
  <c r="M1043" i="2" s="1"/>
  <c r="C1004" i="2"/>
  <c r="C1002" i="2"/>
  <c r="S1022" i="2"/>
  <c r="U1022" i="2" s="1"/>
  <c r="Q926" i="2"/>
  <c r="Q907" i="2" s="1"/>
  <c r="O1040" i="2"/>
  <c r="Q1040" i="2" s="1"/>
  <c r="C1001" i="2"/>
  <c r="F1001" i="2" s="1"/>
  <c r="Q925" i="2"/>
  <c r="Q906" i="2" s="1"/>
  <c r="C1000" i="2"/>
  <c r="C998" i="2"/>
  <c r="F998" i="2" s="1"/>
  <c r="O1018" i="2"/>
  <c r="Q1018" i="2" s="1"/>
  <c r="C997" i="2"/>
  <c r="F997" i="2" s="1"/>
  <c r="F986" i="2"/>
  <c r="C948" i="2"/>
  <c r="C1080" i="2"/>
  <c r="F983" i="2"/>
  <c r="S982" i="2"/>
  <c r="U982" i="2" s="1"/>
  <c r="F982" i="2"/>
  <c r="C1077" i="2"/>
  <c r="C943" i="2"/>
  <c r="C941" i="2"/>
  <c r="O978" i="2"/>
  <c r="Q978" i="2" s="1"/>
  <c r="C980" i="2"/>
  <c r="C942" i="2" s="1"/>
  <c r="C969" i="2"/>
  <c r="F968" i="2"/>
  <c r="K967" i="2"/>
  <c r="M967" i="2" s="1"/>
  <c r="F967" i="2"/>
  <c r="C970" i="2"/>
  <c r="F964" i="2"/>
  <c r="F963" i="2"/>
  <c r="C1057" i="2"/>
  <c r="C962" i="2"/>
  <c r="F961" i="2"/>
  <c r="S960" i="2"/>
  <c r="F960" i="2"/>
  <c r="S969" i="2"/>
  <c r="U969" i="2" s="1"/>
  <c r="Q931" i="2"/>
  <c r="O987" i="2"/>
  <c r="K969" i="2"/>
  <c r="M969" i="2" s="1"/>
  <c r="G987" i="2"/>
  <c r="K986" i="2"/>
  <c r="M986" i="2" s="1"/>
  <c r="F948" i="2"/>
  <c r="K985" i="2"/>
  <c r="M985" i="2" s="1"/>
  <c r="C947" i="2"/>
  <c r="C951" i="2" s="1"/>
  <c r="S964" i="2"/>
  <c r="U964" i="2" s="1"/>
  <c r="O982" i="2"/>
  <c r="Q982" i="2" s="1"/>
  <c r="C944" i="2"/>
  <c r="F944" i="2" s="1"/>
  <c r="S981" i="2"/>
  <c r="S979" i="2"/>
  <c r="U979" i="2" s="1"/>
  <c r="Q923" i="2"/>
  <c r="O961" i="2"/>
  <c r="Q961" i="2" s="1"/>
  <c r="S978" i="2"/>
  <c r="U978" i="2" s="1"/>
  <c r="O960" i="2"/>
  <c r="Q960" i="2" s="1"/>
  <c r="C940" i="2"/>
  <c r="U931" i="2"/>
  <c r="M931" i="2"/>
  <c r="F931" i="2"/>
  <c r="M930" i="2"/>
  <c r="M929" i="2"/>
  <c r="M910" i="2" s="1"/>
  <c r="U926" i="2"/>
  <c r="U907" i="2" s="1"/>
  <c r="U925" i="2"/>
  <c r="U906" i="2" s="1"/>
  <c r="U924" i="2"/>
  <c r="Q924" i="2"/>
  <c r="M924" i="2"/>
  <c r="I924" i="2"/>
  <c r="F924" i="2"/>
  <c r="U923" i="2"/>
  <c r="U904" i="2" s="1"/>
  <c r="U922" i="2"/>
  <c r="U903" i="2" s="1"/>
  <c r="M911" i="2"/>
  <c r="Q904" i="2"/>
  <c r="S894" i="2"/>
  <c r="O894" i="2"/>
  <c r="K894" i="2"/>
  <c r="G894" i="2"/>
  <c r="I894" i="2" s="1"/>
  <c r="F893" i="2"/>
  <c r="F892" i="2"/>
  <c r="F891" i="2"/>
  <c r="F889" i="2"/>
  <c r="F888" i="2"/>
  <c r="C894" i="2"/>
  <c r="C895" i="2" s="1"/>
  <c r="F886" i="2"/>
  <c r="F885" i="2"/>
  <c r="F884" i="2"/>
  <c r="S883" i="2"/>
  <c r="O883" i="2"/>
  <c r="K883" i="2"/>
  <c r="G883" i="2"/>
  <c r="C883" i="2"/>
  <c r="O882" i="2"/>
  <c r="F882" i="2"/>
  <c r="F881" i="2"/>
  <c r="C871" i="2"/>
  <c r="C870" i="2"/>
  <c r="F869" i="2"/>
  <c r="F765" i="2" s="1"/>
  <c r="F868" i="2"/>
  <c r="F864" i="2"/>
  <c r="F859" i="2"/>
  <c r="F855" i="2"/>
  <c r="F854" i="2"/>
  <c r="F853" i="2"/>
  <c r="F852" i="2"/>
  <c r="F850" i="2"/>
  <c r="F847" i="2"/>
  <c r="F846" i="2"/>
  <c r="C848" i="2"/>
  <c r="F844" i="2"/>
  <c r="F843" i="2"/>
  <c r="F841" i="2"/>
  <c r="F840" i="2"/>
  <c r="F735" i="2" s="1"/>
  <c r="F839" i="2"/>
  <c r="S838" i="2"/>
  <c r="F838" i="2"/>
  <c r="F837" i="2"/>
  <c r="O835" i="2"/>
  <c r="F835" i="2"/>
  <c r="C728" i="2"/>
  <c r="F830" i="2"/>
  <c r="F829" i="2"/>
  <c r="F828" i="2"/>
  <c r="C831" i="2"/>
  <c r="G826" i="2"/>
  <c r="I826" i="2" s="1"/>
  <c r="F826" i="2"/>
  <c r="F817" i="2"/>
  <c r="O816" i="2"/>
  <c r="Q816" i="2" s="1"/>
  <c r="F816" i="2"/>
  <c r="F764" i="2" s="1"/>
  <c r="F815" i="2"/>
  <c r="F814" i="2"/>
  <c r="F809" i="2"/>
  <c r="F803" i="2"/>
  <c r="F751" i="2" s="1"/>
  <c r="F798" i="2"/>
  <c r="F796" i="2"/>
  <c r="F795" i="2"/>
  <c r="C818" i="2"/>
  <c r="F793" i="2"/>
  <c r="F792" i="2"/>
  <c r="F738" i="2" s="1"/>
  <c r="F789" i="2"/>
  <c r="F788" i="2"/>
  <c r="F734" i="2" s="1"/>
  <c r="F787" i="2"/>
  <c r="F786" i="2"/>
  <c r="O784" i="2"/>
  <c r="F784" i="2"/>
  <c r="F730" i="2" s="1"/>
  <c r="S779" i="2"/>
  <c r="F779" i="2"/>
  <c r="S775" i="2"/>
  <c r="K775" i="2"/>
  <c r="F775" i="2"/>
  <c r="S766" i="2"/>
  <c r="S870" i="2" s="1"/>
  <c r="U870" i="2" s="1"/>
  <c r="K766" i="2"/>
  <c r="K870" i="2" s="1"/>
  <c r="M870" i="2" s="1"/>
  <c r="S817" i="2"/>
  <c r="U817" i="2" s="1"/>
  <c r="K817" i="2"/>
  <c r="M817" i="2" s="1"/>
  <c r="C765" i="2"/>
  <c r="O868" i="2"/>
  <c r="Q868" i="2" s="1"/>
  <c r="G868" i="2"/>
  <c r="I868" i="2" s="1"/>
  <c r="C764" i="2"/>
  <c r="K763" i="2"/>
  <c r="C763" i="2"/>
  <c r="C762" i="2"/>
  <c r="C766" i="2" s="1"/>
  <c r="C760" i="2"/>
  <c r="C759" i="2"/>
  <c r="C757" i="2"/>
  <c r="C756" i="2"/>
  <c r="O755" i="2"/>
  <c r="C755" i="2"/>
  <c r="C754" i="2"/>
  <c r="S753" i="2"/>
  <c r="C753" i="2"/>
  <c r="C751" i="2"/>
  <c r="O750" i="2"/>
  <c r="C750" i="2"/>
  <c r="C749" i="2"/>
  <c r="S748" i="2"/>
  <c r="K748" i="2"/>
  <c r="C748" i="2"/>
  <c r="C746" i="2"/>
  <c r="F806" i="2"/>
  <c r="S848" i="2"/>
  <c r="U848" i="2" s="1"/>
  <c r="K848" i="2"/>
  <c r="M848" i="2" s="1"/>
  <c r="F742" i="2"/>
  <c r="C742" i="2"/>
  <c r="F741" i="2"/>
  <c r="C741" i="2"/>
  <c r="C743" i="2" s="1"/>
  <c r="C740" i="2"/>
  <c r="C739" i="2"/>
  <c r="C738" i="2"/>
  <c r="S757" i="2"/>
  <c r="O789" i="2"/>
  <c r="C735" i="2"/>
  <c r="C734" i="2"/>
  <c r="O838" i="2"/>
  <c r="Q838" i="2" s="1"/>
  <c r="F733" i="2"/>
  <c r="C733" i="2"/>
  <c r="O739" i="2"/>
  <c r="O760" i="2" s="1"/>
  <c r="C732" i="2"/>
  <c r="O738" i="2"/>
  <c r="O759" i="2" s="1"/>
  <c r="C730" i="2"/>
  <c r="C727" i="2"/>
  <c r="S830" i="2"/>
  <c r="O830" i="2"/>
  <c r="C725" i="2"/>
  <c r="S749" i="2"/>
  <c r="S828" i="2"/>
  <c r="U828" i="2" s="1"/>
  <c r="K828" i="2"/>
  <c r="M828" i="2" s="1"/>
  <c r="C723" i="2"/>
  <c r="S826" i="2"/>
  <c r="O775" i="2"/>
  <c r="K826" i="2"/>
  <c r="G775" i="2"/>
  <c r="F721" i="2"/>
  <c r="C721" i="2"/>
  <c r="C713" i="2"/>
  <c r="C711" i="2"/>
  <c r="O710" i="2"/>
  <c r="Q710" i="2" s="1"/>
  <c r="G710" i="2"/>
  <c r="I710" i="2" s="1"/>
  <c r="F710" i="2"/>
  <c r="F709" i="2"/>
  <c r="F708" i="2"/>
  <c r="F706" i="2"/>
  <c r="F705" i="2"/>
  <c r="F704" i="2"/>
  <c r="F702" i="2"/>
  <c r="F701" i="2"/>
  <c r="F700" i="2"/>
  <c r="F694" i="2"/>
  <c r="C697" i="2"/>
  <c r="F693" i="2"/>
  <c r="C696" i="2"/>
  <c r="F691" i="2"/>
  <c r="F688" i="2"/>
  <c r="F687" i="2"/>
  <c r="F685" i="2"/>
  <c r="S684" i="2"/>
  <c r="U684" i="2" s="1"/>
  <c r="F684" i="2"/>
  <c r="I676" i="2"/>
  <c r="C674" i="2"/>
  <c r="C673" i="2"/>
  <c r="S672" i="2"/>
  <c r="U672" i="2" s="1"/>
  <c r="O672" i="2"/>
  <c r="Q672" i="2" s="1"/>
  <c r="F672" i="2"/>
  <c r="F632" i="2" s="1"/>
  <c r="F671" i="2"/>
  <c r="F670" i="2"/>
  <c r="F630" i="2" s="1"/>
  <c r="F669" i="2"/>
  <c r="F668" i="2"/>
  <c r="F667" i="2"/>
  <c r="F666" i="2"/>
  <c r="F665" i="2"/>
  <c r="F664" i="2"/>
  <c r="F624" i="2" s="1"/>
  <c r="F663" i="2"/>
  <c r="F623" i="2" s="1"/>
  <c r="F662" i="2"/>
  <c r="F661" i="2"/>
  <c r="F657" i="2"/>
  <c r="K656" i="2"/>
  <c r="F656" i="2"/>
  <c r="F614" i="2" s="1"/>
  <c r="C659" i="2"/>
  <c r="F653" i="2"/>
  <c r="F611" i="2" s="1"/>
  <c r="F652" i="2"/>
  <c r="S650" i="2"/>
  <c r="F650" i="2"/>
  <c r="F608" i="2" s="1"/>
  <c r="F647" i="2"/>
  <c r="O646" i="2"/>
  <c r="Q646" i="2" s="1"/>
  <c r="F646" i="2"/>
  <c r="F645" i="2"/>
  <c r="C648" i="2"/>
  <c r="S710" i="2"/>
  <c r="U710" i="2" s="1"/>
  <c r="K710" i="2"/>
  <c r="M710" i="2" s="1"/>
  <c r="G672" i="2"/>
  <c r="I672" i="2" s="1"/>
  <c r="C632" i="2"/>
  <c r="S671" i="2"/>
  <c r="U671" i="2" s="1"/>
  <c r="O709" i="2"/>
  <c r="Q709" i="2" s="1"/>
  <c r="K671" i="2"/>
  <c r="M671" i="2" s="1"/>
  <c r="G709" i="2"/>
  <c r="I709" i="2" s="1"/>
  <c r="C631" i="2"/>
  <c r="C630" i="2"/>
  <c r="K628" i="2"/>
  <c r="C628" i="2"/>
  <c r="C633" i="2" s="1"/>
  <c r="C627" i="2"/>
  <c r="O626" i="2"/>
  <c r="C626" i="2"/>
  <c r="S624" i="2"/>
  <c r="C624" i="2"/>
  <c r="C623" i="2"/>
  <c r="O622" i="2"/>
  <c r="C622" i="2"/>
  <c r="S697" i="2"/>
  <c r="O659" i="2"/>
  <c r="K697" i="2"/>
  <c r="G659" i="2"/>
  <c r="S658" i="2"/>
  <c r="O696" i="2"/>
  <c r="K658" i="2"/>
  <c r="G696" i="2"/>
  <c r="K630" i="2"/>
  <c r="K694" i="2"/>
  <c r="C614" i="2"/>
  <c r="C617" i="2" s="1"/>
  <c r="K655" i="2"/>
  <c r="K668" i="2" s="1"/>
  <c r="M668" i="2" s="1"/>
  <c r="O611" i="2"/>
  <c r="O627" i="2" s="1"/>
  <c r="C611" i="2"/>
  <c r="S626" i="2"/>
  <c r="S688" i="2"/>
  <c r="C608" i="2"/>
  <c r="S649" i="2"/>
  <c r="U649" i="2" s="1"/>
  <c r="S647" i="2"/>
  <c r="O685" i="2"/>
  <c r="C605" i="2"/>
  <c r="S646" i="2"/>
  <c r="O684" i="2"/>
  <c r="C604" i="2"/>
  <c r="S683" i="2"/>
  <c r="O645" i="2"/>
  <c r="C603" i="2"/>
  <c r="C606" i="2" s="1"/>
  <c r="C595" i="2"/>
  <c r="C597" i="2" s="1"/>
  <c r="S594" i="2"/>
  <c r="O594" i="2"/>
  <c r="K594" i="2"/>
  <c r="G594" i="2"/>
  <c r="C594" i="2"/>
  <c r="S593" i="2"/>
  <c r="O593" i="2"/>
  <c r="K593" i="2"/>
  <c r="G593" i="2"/>
  <c r="C593" i="2"/>
  <c r="I593" i="2" s="1"/>
  <c r="F592" i="2"/>
  <c r="F591" i="2"/>
  <c r="O590" i="2"/>
  <c r="F590" i="2"/>
  <c r="I589" i="2"/>
  <c r="F589" i="2"/>
  <c r="I588" i="2"/>
  <c r="F588" i="2"/>
  <c r="K587" i="2"/>
  <c r="F587" i="2"/>
  <c r="F586" i="2"/>
  <c r="K585" i="2"/>
  <c r="F585" i="2"/>
  <c r="S584" i="2"/>
  <c r="O584" i="2"/>
  <c r="K584" i="2"/>
  <c r="G584" i="2"/>
  <c r="I584" i="2" s="1"/>
  <c r="F584" i="2"/>
  <c r="S583" i="2"/>
  <c r="S590" i="2" s="1"/>
  <c r="F583" i="2"/>
  <c r="O582" i="2"/>
  <c r="F582" i="2"/>
  <c r="S581" i="2"/>
  <c r="F581" i="2"/>
  <c r="F580" i="2"/>
  <c r="S579" i="2"/>
  <c r="F579" i="2"/>
  <c r="F578" i="2"/>
  <c r="C576" i="2"/>
  <c r="I576" i="2" s="1"/>
  <c r="C575" i="2"/>
  <c r="I575" i="2" s="1"/>
  <c r="I574" i="2"/>
  <c r="G587" i="2"/>
  <c r="I587" i="2" s="1"/>
  <c r="F574" i="2"/>
  <c r="K586" i="2"/>
  <c r="F573" i="2"/>
  <c r="K592" i="2"/>
  <c r="F572" i="2"/>
  <c r="F571" i="2"/>
  <c r="O583" i="2"/>
  <c r="O591" i="2" s="1"/>
  <c r="F569" i="2"/>
  <c r="S582" i="2"/>
  <c r="F567" i="2"/>
  <c r="O581" i="2"/>
  <c r="F566" i="2"/>
  <c r="C565" i="2"/>
  <c r="S580" i="2"/>
  <c r="O580" i="2"/>
  <c r="F564" i="2"/>
  <c r="O579" i="2"/>
  <c r="F563" i="2"/>
  <c r="S578" i="2"/>
  <c r="O578" i="2"/>
  <c r="F562" i="2"/>
  <c r="C553" i="2"/>
  <c r="C552" i="2"/>
  <c r="C551" i="2"/>
  <c r="S550" i="2"/>
  <c r="U550" i="2" s="1"/>
  <c r="O550" i="2"/>
  <c r="Q550" i="2" s="1"/>
  <c r="F550" i="2"/>
  <c r="M549" i="2"/>
  <c r="K549" i="2"/>
  <c r="F549" i="2"/>
  <c r="F544" i="2"/>
  <c r="F543" i="2"/>
  <c r="F542" i="2"/>
  <c r="F541" i="2"/>
  <c r="C538" i="2"/>
  <c r="F536" i="2"/>
  <c r="F534" i="2"/>
  <c r="F533" i="2"/>
  <c r="C537" i="2"/>
  <c r="F532" i="2"/>
  <c r="F529" i="2"/>
  <c r="F528" i="2"/>
  <c r="I520" i="2"/>
  <c r="C518" i="2"/>
  <c r="C517" i="2"/>
  <c r="C516" i="2"/>
  <c r="S515" i="2"/>
  <c r="U515" i="2" s="1"/>
  <c r="O515" i="2"/>
  <c r="Q515" i="2" s="1"/>
  <c r="F515" i="2"/>
  <c r="K514" i="2"/>
  <c r="M514" i="2" s="1"/>
  <c r="F514" i="2"/>
  <c r="F479" i="2" s="1"/>
  <c r="F513" i="2"/>
  <c r="F512" i="2"/>
  <c r="F511" i="2"/>
  <c r="F510" i="2"/>
  <c r="F509" i="2"/>
  <c r="F508" i="2"/>
  <c r="F507" i="2"/>
  <c r="F472" i="2" s="1"/>
  <c r="F506" i="2"/>
  <c r="F501" i="2"/>
  <c r="F466" i="2" s="1"/>
  <c r="C466" i="2"/>
  <c r="F500" i="2"/>
  <c r="C504" i="2"/>
  <c r="F498" i="2"/>
  <c r="F463" i="2" s="1"/>
  <c r="C502" i="2"/>
  <c r="F497" i="2"/>
  <c r="C462" i="2"/>
  <c r="F494" i="2"/>
  <c r="F459" i="2" s="1"/>
  <c r="F171" i="2" s="1"/>
  <c r="F493" i="2"/>
  <c r="C458" i="2"/>
  <c r="C170" i="2" s="1"/>
  <c r="Q170" i="2" s="1"/>
  <c r="F492" i="2"/>
  <c r="U483" i="2"/>
  <c r="Q483" i="2"/>
  <c r="C483" i="2"/>
  <c r="U482" i="2"/>
  <c r="Q482" i="2"/>
  <c r="C482" i="2"/>
  <c r="U481" i="2"/>
  <c r="Q481" i="2"/>
  <c r="C481" i="2"/>
  <c r="S480" i="2"/>
  <c r="O480" i="2"/>
  <c r="M479" i="2"/>
  <c r="K479" i="2"/>
  <c r="F471" i="2"/>
  <c r="C463" i="2"/>
  <c r="C467" i="2" s="1"/>
  <c r="C461" i="2"/>
  <c r="C459" i="2"/>
  <c r="C171" i="2" s="1"/>
  <c r="Q171" i="2" s="1"/>
  <c r="C447" i="2"/>
  <c r="C446" i="2"/>
  <c r="C445" i="2"/>
  <c r="S444" i="2"/>
  <c r="U444" i="2" s="1"/>
  <c r="O444" i="2"/>
  <c r="Q444" i="2" s="1"/>
  <c r="F444" i="2"/>
  <c r="K443" i="2"/>
  <c r="M443" i="2" s="1"/>
  <c r="F443" i="2"/>
  <c r="F442" i="2"/>
  <c r="F441" i="2"/>
  <c r="F440" i="2"/>
  <c r="F439" i="2"/>
  <c r="F438" i="2"/>
  <c r="F437" i="2"/>
  <c r="F436" i="2"/>
  <c r="F435" i="2"/>
  <c r="F430" i="2"/>
  <c r="F429" i="2"/>
  <c r="C433" i="2"/>
  <c r="C358" i="2"/>
  <c r="F358" i="2" s="1"/>
  <c r="F427" i="2"/>
  <c r="C431" i="2"/>
  <c r="F426" i="2"/>
  <c r="F423" i="2"/>
  <c r="F421" i="2"/>
  <c r="U409" i="2"/>
  <c r="U374" i="2" s="1"/>
  <c r="S409" i="2"/>
  <c r="O409" i="2"/>
  <c r="K408" i="2"/>
  <c r="M408" i="2" s="1"/>
  <c r="M373" i="2" s="1"/>
  <c r="F408" i="2"/>
  <c r="F406" i="2"/>
  <c r="C412" i="2"/>
  <c r="F405" i="2"/>
  <c r="C411" i="2"/>
  <c r="F404" i="2"/>
  <c r="C410" i="2"/>
  <c r="F403" i="2"/>
  <c r="F401" i="2"/>
  <c r="F400" i="2"/>
  <c r="F407" i="2"/>
  <c r="F394" i="2"/>
  <c r="C398" i="2"/>
  <c r="F393" i="2"/>
  <c r="C397" i="2"/>
  <c r="F392" i="2"/>
  <c r="F388" i="2"/>
  <c r="F386" i="2"/>
  <c r="S374" i="2"/>
  <c r="O374" i="2"/>
  <c r="F374" i="2"/>
  <c r="K373" i="2"/>
  <c r="F373" i="2"/>
  <c r="F372" i="2"/>
  <c r="F371" i="2"/>
  <c r="F370" i="2"/>
  <c r="F369" i="2"/>
  <c r="F368" i="2"/>
  <c r="F367" i="2"/>
  <c r="F366" i="2"/>
  <c r="F365" i="2"/>
  <c r="C362" i="2"/>
  <c r="C359" i="2"/>
  <c r="F359" i="2" s="1"/>
  <c r="C357" i="2"/>
  <c r="F357" i="2" s="1"/>
  <c r="C355" i="2"/>
  <c r="F353" i="2"/>
  <c r="C353" i="2"/>
  <c r="C351" i="2"/>
  <c r="F351" i="2" s="1"/>
  <c r="F173" i="2" s="1"/>
  <c r="S339" i="2"/>
  <c r="O339" i="2"/>
  <c r="K338" i="2"/>
  <c r="M338" i="2" s="1"/>
  <c r="F338" i="2"/>
  <c r="F235" i="2" s="1"/>
  <c r="C342" i="2"/>
  <c r="C340" i="2"/>
  <c r="F333" i="2"/>
  <c r="F332" i="2"/>
  <c r="F331" i="2"/>
  <c r="F330" i="2"/>
  <c r="F337" i="2"/>
  <c r="C327" i="2"/>
  <c r="F325" i="2"/>
  <c r="F323" i="2"/>
  <c r="F322" i="2"/>
  <c r="C326" i="2"/>
  <c r="F321" i="2"/>
  <c r="F319" i="2"/>
  <c r="F317" i="2"/>
  <c r="I310" i="2"/>
  <c r="U305" i="2"/>
  <c r="S305" i="2"/>
  <c r="O305" i="2"/>
  <c r="F305" i="2"/>
  <c r="Q305" i="2"/>
  <c r="K304" i="2"/>
  <c r="M304" i="2" s="1"/>
  <c r="F304" i="2"/>
  <c r="F302" i="2"/>
  <c r="C308" i="2"/>
  <c r="F301" i="2"/>
  <c r="C307" i="2"/>
  <c r="F300" i="2"/>
  <c r="C306" i="2"/>
  <c r="F299" i="2"/>
  <c r="F298" i="2"/>
  <c r="F297" i="2"/>
  <c r="F296" i="2"/>
  <c r="F227" i="2" s="1"/>
  <c r="F190" i="2" s="1"/>
  <c r="C294" i="2"/>
  <c r="C293" i="2"/>
  <c r="F291" i="2"/>
  <c r="F290" i="2"/>
  <c r="F289" i="2"/>
  <c r="F287" i="2"/>
  <c r="C286" i="2"/>
  <c r="F285" i="2"/>
  <c r="F284" i="2"/>
  <c r="F283" i="2"/>
  <c r="S270" i="2"/>
  <c r="U270" i="2" s="1"/>
  <c r="O270" i="2"/>
  <c r="Q270" i="2" s="1"/>
  <c r="F270" i="2"/>
  <c r="M269" i="2"/>
  <c r="M235" i="2" s="1"/>
  <c r="K269" i="2"/>
  <c r="F269" i="2"/>
  <c r="F268" i="2"/>
  <c r="F267" i="2"/>
  <c r="F266" i="2"/>
  <c r="F265" i="2"/>
  <c r="C264" i="2"/>
  <c r="F264" i="2" s="1"/>
  <c r="F263" i="2"/>
  <c r="F262" i="2"/>
  <c r="F261" i="2"/>
  <c r="F256" i="2"/>
  <c r="C222" i="2"/>
  <c r="F255" i="2"/>
  <c r="C273" i="2"/>
  <c r="F254" i="2"/>
  <c r="F220" i="2" s="1"/>
  <c r="F253" i="2"/>
  <c r="F249" i="2"/>
  <c r="F248" i="2"/>
  <c r="S236" i="2"/>
  <c r="O236" i="2"/>
  <c r="C235" i="2"/>
  <c r="C198" i="2" s="1"/>
  <c r="O198" i="2" s="1"/>
  <c r="C233" i="2"/>
  <c r="C239" i="2" s="1"/>
  <c r="C231" i="2"/>
  <c r="C237" i="2" s="1"/>
  <c r="C230" i="2"/>
  <c r="C193" i="2" s="1"/>
  <c r="C229" i="2"/>
  <c r="C192" i="2" s="1"/>
  <c r="C228" i="2"/>
  <c r="C227" i="2"/>
  <c r="C190" i="2" s="1"/>
  <c r="C224" i="2"/>
  <c r="C221" i="2"/>
  <c r="C225" i="2" s="1"/>
  <c r="C220" i="2"/>
  <c r="C219" i="2"/>
  <c r="C223" i="2" s="1"/>
  <c r="C215" i="2"/>
  <c r="C217" i="2" s="1"/>
  <c r="F214" i="2"/>
  <c r="C214" i="2"/>
  <c r="C194" i="2"/>
  <c r="C200" i="2" s="1"/>
  <c r="C191" i="2"/>
  <c r="S202" i="2"/>
  <c r="K225" i="2"/>
  <c r="O238" i="2"/>
  <c r="G201" i="2"/>
  <c r="K223" i="2"/>
  <c r="S197" i="2"/>
  <c r="O222" i="2"/>
  <c r="O234" i="2" s="1"/>
  <c r="K197" i="2"/>
  <c r="O216" i="2"/>
  <c r="O229" i="2" s="1"/>
  <c r="S191" i="2"/>
  <c r="O191" i="2"/>
  <c r="O214" i="2"/>
  <c r="O227" i="2" s="1"/>
  <c r="C173" i="2"/>
  <c r="C169" i="2"/>
  <c r="Q169" i="2" s="1"/>
  <c r="I162" i="2"/>
  <c r="O158" i="2"/>
  <c r="K158" i="2"/>
  <c r="M158" i="2" s="1"/>
  <c r="F158" i="2"/>
  <c r="Q158" i="2"/>
  <c r="M157" i="2"/>
  <c r="F157" i="2"/>
  <c r="Q157" i="2"/>
  <c r="Q156" i="2"/>
  <c r="C160" i="2"/>
  <c r="F154" i="2"/>
  <c r="C161" i="2"/>
  <c r="C163" i="2" s="1"/>
  <c r="S153" i="2"/>
  <c r="U153" i="2" s="1"/>
  <c r="O153" i="2"/>
  <c r="Q153" i="2" s="1"/>
  <c r="F153" i="2"/>
  <c r="I147" i="2"/>
  <c r="O143" i="2"/>
  <c r="K143" i="2"/>
  <c r="M143" i="2" s="1"/>
  <c r="F143" i="2"/>
  <c r="F94" i="2" s="1"/>
  <c r="Q143" i="2"/>
  <c r="M142" i="2"/>
  <c r="F142" i="2"/>
  <c r="F93" i="2" s="1"/>
  <c r="Q142" i="2"/>
  <c r="Q141" i="2"/>
  <c r="C145" i="2"/>
  <c r="F139" i="2"/>
  <c r="C146" i="2"/>
  <c r="C148" i="2" s="1"/>
  <c r="S138" i="2"/>
  <c r="U138" i="2" s="1"/>
  <c r="O138" i="2"/>
  <c r="Q138" i="2" s="1"/>
  <c r="F138" i="2"/>
  <c r="I132" i="2"/>
  <c r="O128" i="2"/>
  <c r="K128" i="2"/>
  <c r="F125" i="2"/>
  <c r="C130" i="2"/>
  <c r="F124" i="2"/>
  <c r="S123" i="2"/>
  <c r="Q131" i="2"/>
  <c r="O123" i="2"/>
  <c r="M131" i="2"/>
  <c r="G123" i="2"/>
  <c r="K123" i="2" s="1"/>
  <c r="F123" i="2"/>
  <c r="F131" i="2" s="1"/>
  <c r="F133" i="2" s="1"/>
  <c r="I117" i="2"/>
  <c r="O115" i="2"/>
  <c r="K115" i="2"/>
  <c r="O114" i="2"/>
  <c r="O130" i="2" s="1"/>
  <c r="O145" i="2" s="1"/>
  <c r="O113" i="2"/>
  <c r="O129" i="2" s="1"/>
  <c r="O144" i="2" s="1"/>
  <c r="O112" i="2"/>
  <c r="O111" i="2"/>
  <c r="C114" i="2"/>
  <c r="F109" i="2"/>
  <c r="C113" i="2"/>
  <c r="S108" i="2"/>
  <c r="Q116" i="2"/>
  <c r="O108" i="2"/>
  <c r="M116" i="2"/>
  <c r="F108" i="2"/>
  <c r="F100" i="2"/>
  <c r="I100" i="2" s="1"/>
  <c r="C100" i="2"/>
  <c r="G114" i="2"/>
  <c r="K113" i="2"/>
  <c r="K129" i="2" s="1"/>
  <c r="K144" i="2" s="1"/>
  <c r="G113" i="2"/>
  <c r="M94" i="2"/>
  <c r="C94" i="2"/>
  <c r="Q94" i="2" s="1"/>
  <c r="M93" i="2"/>
  <c r="K112" i="2"/>
  <c r="C93" i="2"/>
  <c r="Q93" i="2" s="1"/>
  <c r="C92" i="2"/>
  <c r="M92" i="2" s="1"/>
  <c r="O125" i="2"/>
  <c r="K155" i="2"/>
  <c r="M155" i="2" s="1"/>
  <c r="Y10" i="3"/>
  <c r="AA10" i="3" s="1"/>
  <c r="C91" i="2"/>
  <c r="Q91" i="2" s="1"/>
  <c r="O154" i="2"/>
  <c r="Q154" i="2" s="1"/>
  <c r="K124" i="2"/>
  <c r="Y9" i="3"/>
  <c r="Y90" i="2"/>
  <c r="C90" i="2"/>
  <c r="C95" i="2" s="1"/>
  <c r="K153" i="2"/>
  <c r="M153" i="2" s="1"/>
  <c r="Y8" i="3"/>
  <c r="X89" i="2"/>
  <c r="C89" i="2"/>
  <c r="U89" i="2" s="1"/>
  <c r="O80" i="2"/>
  <c r="K80" i="2"/>
  <c r="M80" i="2" s="1"/>
  <c r="C80" i="2"/>
  <c r="F79" i="2"/>
  <c r="F78" i="2"/>
  <c r="F77" i="2"/>
  <c r="F76" i="2"/>
  <c r="F74" i="2"/>
  <c r="F73" i="2"/>
  <c r="F72" i="2"/>
  <c r="I65" i="2"/>
  <c r="C66" i="2"/>
  <c r="O62" i="2"/>
  <c r="M62" i="2"/>
  <c r="K62" i="2"/>
  <c r="F61" i="2"/>
  <c r="F60" i="2"/>
  <c r="F59" i="2"/>
  <c r="F20" i="2" s="1"/>
  <c r="F58" i="2"/>
  <c r="F56" i="2"/>
  <c r="F55" i="2"/>
  <c r="F54" i="2"/>
  <c r="I47" i="2"/>
  <c r="C44" i="2"/>
  <c r="O44" i="2"/>
  <c r="K44" i="2"/>
  <c r="F43" i="2"/>
  <c r="F22" i="2" s="1"/>
  <c r="F42" i="2"/>
  <c r="F41" i="2"/>
  <c r="F40" i="2"/>
  <c r="F19" i="2" s="1"/>
  <c r="F38" i="2"/>
  <c r="F17" i="2" s="1"/>
  <c r="F37" i="2"/>
  <c r="F36" i="2"/>
  <c r="C25" i="2"/>
  <c r="C24" i="2"/>
  <c r="G80" i="2"/>
  <c r="I80" i="2" s="1"/>
  <c r="S79" i="2"/>
  <c r="U79" i="2" s="1"/>
  <c r="O79" i="2"/>
  <c r="Q79" i="2" s="1"/>
  <c r="K79" i="2"/>
  <c r="M79" i="2" s="1"/>
  <c r="G79" i="2"/>
  <c r="I79" i="2" s="1"/>
  <c r="C22" i="2"/>
  <c r="C21" i="2"/>
  <c r="C20" i="2"/>
  <c r="C19" i="2"/>
  <c r="C17" i="2"/>
  <c r="C16" i="2"/>
  <c r="C15" i="2"/>
  <c r="V40" i="1"/>
  <c r="Q40" i="1"/>
  <c r="V39" i="1"/>
  <c r="Q39" i="1"/>
  <c r="V38" i="1"/>
  <c r="Q38" i="1"/>
  <c r="V37" i="1"/>
  <c r="Q37" i="1"/>
  <c r="H43" i="1"/>
  <c r="V30" i="1"/>
  <c r="Q30" i="1"/>
  <c r="W30" i="1"/>
  <c r="H33" i="1"/>
  <c r="B20" i="1"/>
  <c r="L20" i="1"/>
  <c r="J20" i="1"/>
  <c r="H20" i="1"/>
  <c r="C177" i="2" l="1"/>
  <c r="F474" i="2"/>
  <c r="F627" i="2"/>
  <c r="F230" i="2"/>
  <c r="F193" i="2" s="1"/>
  <c r="F228" i="2"/>
  <c r="F191" i="2" s="1"/>
  <c r="F622" i="2"/>
  <c r="F198" i="2"/>
  <c r="Q480" i="2"/>
  <c r="F16" i="2"/>
  <c r="F21" i="2"/>
  <c r="Q89" i="2"/>
  <c r="Q92" i="2"/>
  <c r="C179" i="2"/>
  <c r="C183" i="2" s="1"/>
  <c r="Q183" i="2" s="1"/>
  <c r="F462" i="2"/>
  <c r="F604" i="2"/>
  <c r="S664" i="2"/>
  <c r="U664" i="2" s="1"/>
  <c r="F628" i="2"/>
  <c r="F725" i="2"/>
  <c r="F732" i="2"/>
  <c r="S852" i="2"/>
  <c r="U852" i="2" s="1"/>
  <c r="F1156" i="2"/>
  <c r="F1158" i="2" s="1"/>
  <c r="M1232" i="2"/>
  <c r="C196" i="2"/>
  <c r="C202" i="2" s="1"/>
  <c r="F222" i="2"/>
  <c r="U480" i="2"/>
  <c r="I632" i="2"/>
  <c r="O881" i="2"/>
  <c r="I1270" i="2"/>
  <c r="I1272" i="2" s="1"/>
  <c r="S40" i="1" s="1"/>
  <c r="F90" i="2"/>
  <c r="F473" i="2"/>
  <c r="F480" i="2"/>
  <c r="S591" i="2"/>
  <c r="O662" i="2"/>
  <c r="Q662" i="2" s="1"/>
  <c r="F746" i="2"/>
  <c r="F739" i="2"/>
  <c r="S885" i="2"/>
  <c r="K888" i="2"/>
  <c r="F947" i="2"/>
  <c r="C929" i="2"/>
  <c r="C910" i="2" s="1"/>
  <c r="F1028" i="2"/>
  <c r="Q1141" i="2"/>
  <c r="Q1140" i="2"/>
  <c r="U1165" i="2"/>
  <c r="Q1215" i="2"/>
  <c r="M1271" i="2"/>
  <c r="M1272" i="2" s="1"/>
  <c r="C926" i="2"/>
  <c r="C907" i="2" s="1"/>
  <c r="F229" i="2"/>
  <c r="F192" i="2" s="1"/>
  <c r="F626" i="2"/>
  <c r="M44" i="2"/>
  <c r="Q44" i="2"/>
  <c r="F15" i="2"/>
  <c r="F64" i="2"/>
  <c r="F66" i="2" s="1"/>
  <c r="H45" i="1"/>
  <c r="H49" i="1" s="1"/>
  <c r="F46" i="2"/>
  <c r="B23" i="1"/>
  <c r="S23" i="2"/>
  <c r="K43" i="2"/>
  <c r="M43" i="2" s="1"/>
  <c r="S43" i="2"/>
  <c r="U43" i="2" s="1"/>
  <c r="G44" i="2"/>
  <c r="I44" i="2" s="1"/>
  <c r="G61" i="2"/>
  <c r="I61" i="2" s="1"/>
  <c r="O61" i="2"/>
  <c r="Q61" i="2" s="1"/>
  <c r="C62" i="2"/>
  <c r="C23" i="2" s="1"/>
  <c r="U95" i="2"/>
  <c r="M100" i="2"/>
  <c r="M162" i="2" s="1"/>
  <c r="U100" i="2"/>
  <c r="U117" i="2" s="1"/>
  <c r="Q100" i="2"/>
  <c r="Q117" i="2" s="1"/>
  <c r="Q118" i="2" s="1"/>
  <c r="Q145" i="2"/>
  <c r="O160" i="2"/>
  <c r="Q160" i="2" s="1"/>
  <c r="M183" i="2"/>
  <c r="C48" i="2"/>
  <c r="M117" i="2"/>
  <c r="M118" i="2" s="1"/>
  <c r="Q161" i="2"/>
  <c r="G43" i="2"/>
  <c r="I43" i="2" s="1"/>
  <c r="O43" i="2"/>
  <c r="Q43" i="2" s="1"/>
  <c r="K61" i="2"/>
  <c r="M61" i="2" s="1"/>
  <c r="S61" i="2"/>
  <c r="U61" i="2" s="1"/>
  <c r="G62" i="2"/>
  <c r="S113" i="2"/>
  <c r="S129" i="2" s="1"/>
  <c r="S144" i="2" s="1"/>
  <c r="I113" i="2"/>
  <c r="G129" i="2"/>
  <c r="G130" i="2"/>
  <c r="S114" i="2"/>
  <c r="S130" i="2" s="1"/>
  <c r="S145" i="2" s="1"/>
  <c r="I114" i="2"/>
  <c r="F89" i="2"/>
  <c r="M132" i="2"/>
  <c r="M133" i="2" s="1"/>
  <c r="U132" i="2"/>
  <c r="Q132" i="2"/>
  <c r="Q133" i="2" s="1"/>
  <c r="Q147" i="2"/>
  <c r="Q162" i="2"/>
  <c r="F82" i="2"/>
  <c r="Q80" i="2"/>
  <c r="Q95" i="2"/>
  <c r="M95" i="2"/>
  <c r="K159" i="2"/>
  <c r="M159" i="2" s="1"/>
  <c r="O159" i="2"/>
  <c r="O514" i="2"/>
  <c r="Q514" i="2" s="1"/>
  <c r="Q479" i="2" s="1"/>
  <c r="O479" i="2"/>
  <c r="O549" i="2"/>
  <c r="Q549" i="2" s="1"/>
  <c r="O408" i="2"/>
  <c r="Q408" i="2" s="1"/>
  <c r="O373" i="2"/>
  <c r="O304" i="2"/>
  <c r="Q304" i="2" s="1"/>
  <c r="O269" i="2"/>
  <c r="Q269" i="2" s="1"/>
  <c r="O443" i="2"/>
  <c r="Q443" i="2" s="1"/>
  <c r="O235" i="2"/>
  <c r="O338" i="2"/>
  <c r="Q338" i="2" s="1"/>
  <c r="M90" i="2"/>
  <c r="G97" i="2"/>
  <c r="K109" i="2"/>
  <c r="F110" i="2"/>
  <c r="F116" i="2" s="1"/>
  <c r="K111" i="2"/>
  <c r="C116" i="2"/>
  <c r="G124" i="2"/>
  <c r="I124" i="2" s="1"/>
  <c r="O124" i="2"/>
  <c r="K139" i="2"/>
  <c r="M139" i="2" s="1"/>
  <c r="F140" i="2"/>
  <c r="F146" i="2" s="1"/>
  <c r="F148" i="2" s="1"/>
  <c r="K154" i="2"/>
  <c r="M154" i="2" s="1"/>
  <c r="M161" i="2" s="1"/>
  <c r="F155" i="2"/>
  <c r="Q173" i="2"/>
  <c r="G516" i="2"/>
  <c r="I516" i="2" s="1"/>
  <c r="G467" i="2"/>
  <c r="G481" i="2"/>
  <c r="G431" i="2"/>
  <c r="I431" i="2" s="1"/>
  <c r="G551" i="2"/>
  <c r="I551" i="2" s="1"/>
  <c r="G502" i="2"/>
  <c r="I502" i="2" s="1"/>
  <c r="G410" i="2"/>
  <c r="I410" i="2" s="1"/>
  <c r="G292" i="2"/>
  <c r="G396" i="2"/>
  <c r="G375" i="2"/>
  <c r="G340" i="2"/>
  <c r="I340" i="2" s="1"/>
  <c r="G271" i="2"/>
  <c r="G257" i="2"/>
  <c r="G537" i="2"/>
  <c r="I537" i="2" s="1"/>
  <c r="G361" i="2"/>
  <c r="G306" i="2"/>
  <c r="I306" i="2" s="1"/>
  <c r="G326" i="2"/>
  <c r="I326" i="2" s="1"/>
  <c r="G445" i="2"/>
  <c r="I445" i="2" s="1"/>
  <c r="O516" i="2"/>
  <c r="Q516" i="2" s="1"/>
  <c r="O467" i="2"/>
  <c r="O481" i="2"/>
  <c r="O431" i="2"/>
  <c r="Q431" i="2" s="1"/>
  <c r="O551" i="2"/>
  <c r="Q551" i="2" s="1"/>
  <c r="O502" i="2"/>
  <c r="Q502" i="2" s="1"/>
  <c r="O410" i="2"/>
  <c r="Q410" i="2" s="1"/>
  <c r="O445" i="2"/>
  <c r="Q445" i="2" s="1"/>
  <c r="O292" i="2"/>
  <c r="O396" i="2"/>
  <c r="O375" i="2"/>
  <c r="O340" i="2"/>
  <c r="Q340" i="2" s="1"/>
  <c r="O271" i="2"/>
  <c r="O257" i="2"/>
  <c r="O361" i="2"/>
  <c r="O306" i="2"/>
  <c r="Q306" i="2" s="1"/>
  <c r="O326" i="2"/>
  <c r="Q326" i="2" s="1"/>
  <c r="O537" i="2"/>
  <c r="Q537" i="2" s="1"/>
  <c r="K517" i="2"/>
  <c r="M517" i="2" s="1"/>
  <c r="K468" i="2"/>
  <c r="K482" i="2"/>
  <c r="K432" i="2"/>
  <c r="K552" i="2"/>
  <c r="M552" i="2" s="1"/>
  <c r="K503" i="2"/>
  <c r="K411" i="2"/>
  <c r="M411" i="2" s="1"/>
  <c r="K446" i="2"/>
  <c r="M446" i="2" s="1"/>
  <c r="K293" i="2"/>
  <c r="M293" i="2" s="1"/>
  <c r="K397" i="2"/>
  <c r="M397" i="2" s="1"/>
  <c r="K341" i="2"/>
  <c r="K272" i="2"/>
  <c r="K258" i="2"/>
  <c r="K538" i="2"/>
  <c r="M538" i="2" s="1"/>
  <c r="K362" i="2"/>
  <c r="K307" i="2"/>
  <c r="M307" i="2" s="1"/>
  <c r="K376" i="2"/>
  <c r="K327" i="2"/>
  <c r="M327" i="2" s="1"/>
  <c r="K238" i="2"/>
  <c r="S517" i="2"/>
  <c r="U517" i="2" s="1"/>
  <c r="S468" i="2"/>
  <c r="S482" i="2"/>
  <c r="S432" i="2"/>
  <c r="S552" i="2"/>
  <c r="U552" i="2" s="1"/>
  <c r="S503" i="2"/>
  <c r="S411" i="2"/>
  <c r="U411" i="2" s="1"/>
  <c r="S293" i="2"/>
  <c r="U293" i="2" s="1"/>
  <c r="S397" i="2"/>
  <c r="U397" i="2" s="1"/>
  <c r="S341" i="2"/>
  <c r="S272" i="2"/>
  <c r="S258" i="2"/>
  <c r="S446" i="2"/>
  <c r="U446" i="2" s="1"/>
  <c r="S362" i="2"/>
  <c r="S307" i="2"/>
  <c r="U307" i="2" s="1"/>
  <c r="S538" i="2"/>
  <c r="U538" i="2" s="1"/>
  <c r="S327" i="2"/>
  <c r="U327" i="2" s="1"/>
  <c r="S376" i="2"/>
  <c r="S238" i="2"/>
  <c r="G518" i="2"/>
  <c r="I518" i="2" s="1"/>
  <c r="G469" i="2"/>
  <c r="G483" i="2"/>
  <c r="G433" i="2"/>
  <c r="I433" i="2" s="1"/>
  <c r="G553" i="2"/>
  <c r="I553" i="2" s="1"/>
  <c r="G504" i="2"/>
  <c r="I504" i="2" s="1"/>
  <c r="G412" i="2"/>
  <c r="I412" i="2" s="1"/>
  <c r="G539" i="2"/>
  <c r="G447" i="2"/>
  <c r="I447" i="2" s="1"/>
  <c r="G294" i="2"/>
  <c r="I294" i="2" s="1"/>
  <c r="G398" i="2"/>
  <c r="I398" i="2" s="1"/>
  <c r="G342" i="2"/>
  <c r="I342" i="2" s="1"/>
  <c r="G273" i="2"/>
  <c r="I273" i="2" s="1"/>
  <c r="G259" i="2"/>
  <c r="G377" i="2"/>
  <c r="G363" i="2"/>
  <c r="G308" i="2"/>
  <c r="I308" i="2" s="1"/>
  <c r="G239" i="2"/>
  <c r="G328" i="2"/>
  <c r="O518" i="2"/>
  <c r="Q518" i="2" s="1"/>
  <c r="O469" i="2"/>
  <c r="O483" i="2"/>
  <c r="O433" i="2"/>
  <c r="Q433" i="2" s="1"/>
  <c r="O553" i="2"/>
  <c r="Q553" i="2" s="1"/>
  <c r="O504" i="2"/>
  <c r="Q504" i="2" s="1"/>
  <c r="O412" i="2"/>
  <c r="Q412" i="2" s="1"/>
  <c r="O294" i="2"/>
  <c r="Q294" i="2" s="1"/>
  <c r="O398" i="2"/>
  <c r="Q398" i="2" s="1"/>
  <c r="Q363" i="2" s="1"/>
  <c r="O342" i="2"/>
  <c r="Q342" i="2" s="1"/>
  <c r="O273" i="2"/>
  <c r="Q273" i="2" s="1"/>
  <c r="O259" i="2"/>
  <c r="O539" i="2"/>
  <c r="O447" i="2"/>
  <c r="Q447" i="2" s="1"/>
  <c r="O377" i="2"/>
  <c r="O363" i="2"/>
  <c r="O308" i="2"/>
  <c r="O328" i="2"/>
  <c r="O197" i="2"/>
  <c r="S198" i="2"/>
  <c r="K200" i="2"/>
  <c r="S201" i="2"/>
  <c r="K202" i="2"/>
  <c r="G223" i="2"/>
  <c r="O224" i="2"/>
  <c r="G225" i="2"/>
  <c r="G237" i="2"/>
  <c r="G238" i="2"/>
  <c r="O239" i="2"/>
  <c r="L33" i="3"/>
  <c r="L31" i="3"/>
  <c r="L27" i="3"/>
  <c r="L19" i="3"/>
  <c r="L16" i="3"/>
  <c r="L11" i="3"/>
  <c r="L10" i="3"/>
  <c r="L26" i="3"/>
  <c r="L22" i="3"/>
  <c r="L15" i="3"/>
  <c r="AA9" i="3"/>
  <c r="L32" i="3"/>
  <c r="L28" i="3"/>
  <c r="L23" i="3"/>
  <c r="L20" i="3"/>
  <c r="L12" i="3"/>
  <c r="L29" i="3"/>
  <c r="L25" i="3"/>
  <c r="L21" i="3"/>
  <c r="L17" i="3"/>
  <c r="L14" i="3"/>
  <c r="X90" i="2"/>
  <c r="M91" i="2"/>
  <c r="C96" i="2"/>
  <c r="M96" i="2" s="1"/>
  <c r="K97" i="2"/>
  <c r="G98" i="2"/>
  <c r="K108" i="2"/>
  <c r="G110" i="2"/>
  <c r="I110" i="2" s="1"/>
  <c r="O110" i="2"/>
  <c r="O140" i="2" s="1"/>
  <c r="Q140" i="2" s="1"/>
  <c r="K114" i="2"/>
  <c r="K130" i="2" s="1"/>
  <c r="K145" i="2" s="1"/>
  <c r="K125" i="2"/>
  <c r="K138" i="2"/>
  <c r="M138" i="2" s="1"/>
  <c r="G140" i="2"/>
  <c r="I140" i="2" s="1"/>
  <c r="G155" i="2"/>
  <c r="I155" i="2" s="1"/>
  <c r="O155" i="2"/>
  <c r="Q155" i="2" s="1"/>
  <c r="S527" i="2"/>
  <c r="S457" i="2"/>
  <c r="S471" i="2" s="1"/>
  <c r="S492" i="2"/>
  <c r="S458" i="2"/>
  <c r="S472" i="2" s="1"/>
  <c r="S493" i="2"/>
  <c r="S528" i="2"/>
  <c r="S494" i="2"/>
  <c r="S459" i="2"/>
  <c r="S473" i="2" s="1"/>
  <c r="S529" i="2"/>
  <c r="S386" i="2"/>
  <c r="S317" i="2"/>
  <c r="S421" i="2"/>
  <c r="S248" i="2"/>
  <c r="S283" i="2"/>
  <c r="S351" i="2"/>
  <c r="S365" i="2" s="1"/>
  <c r="S422" i="2"/>
  <c r="S387" i="2"/>
  <c r="S318" i="2"/>
  <c r="S352" i="2"/>
  <c r="S366" i="2" s="1"/>
  <c r="S284" i="2"/>
  <c r="S215" i="2"/>
  <c r="S228" i="2" s="1"/>
  <c r="S249" i="2"/>
  <c r="S353" i="2"/>
  <c r="S367" i="2" s="1"/>
  <c r="S285" i="2"/>
  <c r="S250" i="2"/>
  <c r="S319" i="2"/>
  <c r="S423" i="2"/>
  <c r="S388" i="2"/>
  <c r="O536" i="2"/>
  <c r="O501" i="2"/>
  <c r="O430" i="2"/>
  <c r="O325" i="2"/>
  <c r="O466" i="2"/>
  <c r="O478" i="2" s="1"/>
  <c r="O360" i="2"/>
  <c r="O372" i="2" s="1"/>
  <c r="O395" i="2"/>
  <c r="O256" i="2"/>
  <c r="O291" i="2"/>
  <c r="S190" i="2"/>
  <c r="O192" i="2"/>
  <c r="K515" i="2"/>
  <c r="M515" i="2" s="1"/>
  <c r="K480" i="2"/>
  <c r="K550" i="2"/>
  <c r="M550" i="2" s="1"/>
  <c r="K409" i="2"/>
  <c r="M409" i="2" s="1"/>
  <c r="K374" i="2"/>
  <c r="K339" i="2"/>
  <c r="M339" i="2" s="1"/>
  <c r="K270" i="2"/>
  <c r="M270" i="2" s="1"/>
  <c r="K444" i="2"/>
  <c r="M444" i="2" s="1"/>
  <c r="K305" i="2"/>
  <c r="M305" i="2" s="1"/>
  <c r="K236" i="2"/>
  <c r="O200" i="2"/>
  <c r="S222" i="2"/>
  <c r="S234" i="2" s="1"/>
  <c r="S224" i="2"/>
  <c r="O237" i="2"/>
  <c r="Q90" i="2"/>
  <c r="Q99" i="2" s="1"/>
  <c r="Q101" i="2" s="1"/>
  <c r="X91" i="2"/>
  <c r="Z96" i="2"/>
  <c r="O97" i="2"/>
  <c r="K98" i="2"/>
  <c r="G109" i="2"/>
  <c r="I109" i="2" s="1"/>
  <c r="O109" i="2"/>
  <c r="I123" i="2"/>
  <c r="C129" i="2"/>
  <c r="C131" i="2"/>
  <c r="C133" i="2" s="1"/>
  <c r="G139" i="2"/>
  <c r="I139" i="2" s="1"/>
  <c r="O139" i="2"/>
  <c r="Q139" i="2" s="1"/>
  <c r="Q146" i="2" s="1"/>
  <c r="M141" i="2"/>
  <c r="C144" i="2"/>
  <c r="M144" i="2" s="1"/>
  <c r="G154" i="2"/>
  <c r="I154" i="2" s="1"/>
  <c r="M156" i="2"/>
  <c r="C159" i="2"/>
  <c r="U169" i="2"/>
  <c r="U170" i="2"/>
  <c r="U171" i="2"/>
  <c r="U173" i="2"/>
  <c r="U175" i="2"/>
  <c r="K537" i="2"/>
  <c r="M537" i="2" s="1"/>
  <c r="K551" i="2"/>
  <c r="M551" i="2" s="1"/>
  <c r="K502" i="2"/>
  <c r="M502" i="2" s="1"/>
  <c r="K410" i="2"/>
  <c r="M410" i="2" s="1"/>
  <c r="K481" i="2"/>
  <c r="K431" i="2"/>
  <c r="M431" i="2" s="1"/>
  <c r="K326" i="2"/>
  <c r="M326" i="2" s="1"/>
  <c r="K445" i="2"/>
  <c r="M445" i="2" s="1"/>
  <c r="K361" i="2"/>
  <c r="K306" i="2"/>
  <c r="M306" i="2" s="1"/>
  <c r="K516" i="2"/>
  <c r="M516" i="2" s="1"/>
  <c r="K396" i="2"/>
  <c r="M396" i="2" s="1"/>
  <c r="K375" i="2"/>
  <c r="K340" i="2"/>
  <c r="M340" i="2" s="1"/>
  <c r="K271" i="2"/>
  <c r="K257" i="2"/>
  <c r="M257" i="2" s="1"/>
  <c r="K467" i="2"/>
  <c r="K292" i="2"/>
  <c r="K237" i="2"/>
  <c r="S537" i="2"/>
  <c r="U537" i="2" s="1"/>
  <c r="S551" i="2"/>
  <c r="U551" i="2" s="1"/>
  <c r="S502" i="2"/>
  <c r="U502" i="2" s="1"/>
  <c r="S410" i="2"/>
  <c r="U410" i="2" s="1"/>
  <c r="S481" i="2"/>
  <c r="S431" i="2"/>
  <c r="U431" i="2" s="1"/>
  <c r="S326" i="2"/>
  <c r="U326" i="2" s="1"/>
  <c r="S467" i="2"/>
  <c r="S361" i="2"/>
  <c r="S306" i="2"/>
  <c r="U306" i="2" s="1"/>
  <c r="S445" i="2"/>
  <c r="U445" i="2" s="1"/>
  <c r="S396" i="2"/>
  <c r="S375" i="2"/>
  <c r="S340" i="2"/>
  <c r="U340" i="2" s="1"/>
  <c r="S271" i="2"/>
  <c r="S257" i="2"/>
  <c r="S237" i="2"/>
  <c r="S516" i="2"/>
  <c r="U516" i="2" s="1"/>
  <c r="S292" i="2"/>
  <c r="G538" i="2"/>
  <c r="I538" i="2" s="1"/>
  <c r="G446" i="2"/>
  <c r="I446" i="2" s="1"/>
  <c r="G552" i="2"/>
  <c r="I552" i="2" s="1"/>
  <c r="G503" i="2"/>
  <c r="G411" i="2"/>
  <c r="I411" i="2" s="1"/>
  <c r="G482" i="2"/>
  <c r="G432" i="2"/>
  <c r="G376" i="2"/>
  <c r="G327" i="2"/>
  <c r="I327" i="2" s="1"/>
  <c r="G362" i="2"/>
  <c r="G307" i="2"/>
  <c r="I307" i="2" s="1"/>
  <c r="G517" i="2"/>
  <c r="I517" i="2" s="1"/>
  <c r="G468" i="2"/>
  <c r="G397" i="2"/>
  <c r="I397" i="2" s="1"/>
  <c r="G341" i="2"/>
  <c r="G272" i="2"/>
  <c r="G258" i="2"/>
  <c r="G293" i="2"/>
  <c r="I293" i="2" s="1"/>
  <c r="O538" i="2"/>
  <c r="Q538" i="2" s="1"/>
  <c r="O446" i="2"/>
  <c r="Q446" i="2" s="1"/>
  <c r="O552" i="2"/>
  <c r="Q552" i="2" s="1"/>
  <c r="O503" i="2"/>
  <c r="O411" i="2"/>
  <c r="Q411" i="2" s="1"/>
  <c r="O482" i="2"/>
  <c r="O432" i="2"/>
  <c r="O376" i="2"/>
  <c r="O327" i="2"/>
  <c r="Q327" i="2" s="1"/>
  <c r="O362" i="2"/>
  <c r="O307" i="2"/>
  <c r="Q307" i="2" s="1"/>
  <c r="O397" i="2"/>
  <c r="Q397" i="2" s="1"/>
  <c r="O341" i="2"/>
  <c r="O272" i="2"/>
  <c r="O258" i="2"/>
  <c r="O468" i="2"/>
  <c r="O293" i="2"/>
  <c r="Q293" i="2" s="1"/>
  <c r="O517" i="2"/>
  <c r="Q517" i="2" s="1"/>
  <c r="K539" i="2"/>
  <c r="K447" i="2"/>
  <c r="M447" i="2" s="1"/>
  <c r="K553" i="2"/>
  <c r="M553" i="2" s="1"/>
  <c r="K504" i="2"/>
  <c r="M504" i="2" s="1"/>
  <c r="K412" i="2"/>
  <c r="M412" i="2" s="1"/>
  <c r="K483" i="2"/>
  <c r="K433" i="2"/>
  <c r="M433" i="2" s="1"/>
  <c r="K328" i="2"/>
  <c r="K377" i="2"/>
  <c r="K363" i="2"/>
  <c r="K308" i="2"/>
  <c r="K518" i="2"/>
  <c r="M518" i="2" s="1"/>
  <c r="K469" i="2"/>
  <c r="K398" i="2"/>
  <c r="M398" i="2" s="1"/>
  <c r="K342" i="2"/>
  <c r="M342" i="2" s="1"/>
  <c r="K273" i="2"/>
  <c r="M273" i="2" s="1"/>
  <c r="K259" i="2"/>
  <c r="K294" i="2"/>
  <c r="M294" i="2" s="1"/>
  <c r="K239" i="2"/>
  <c r="S539" i="2"/>
  <c r="S447" i="2"/>
  <c r="U447" i="2" s="1"/>
  <c r="S553" i="2"/>
  <c r="U553" i="2" s="1"/>
  <c r="S504" i="2"/>
  <c r="U504" i="2" s="1"/>
  <c r="S412" i="2"/>
  <c r="U412" i="2" s="1"/>
  <c r="U377" i="2" s="1"/>
  <c r="S483" i="2"/>
  <c r="S433" i="2"/>
  <c r="U433" i="2" s="1"/>
  <c r="S328" i="2"/>
  <c r="S377" i="2"/>
  <c r="S363" i="2"/>
  <c r="S308" i="2"/>
  <c r="U308" i="2" s="1"/>
  <c r="S398" i="2"/>
  <c r="U398" i="2" s="1"/>
  <c r="S342" i="2"/>
  <c r="U342" i="2" s="1"/>
  <c r="S273" i="2"/>
  <c r="U273" i="2" s="1"/>
  <c r="S259" i="2"/>
  <c r="S518" i="2"/>
  <c r="U518" i="2" s="1"/>
  <c r="S469" i="2"/>
  <c r="S239" i="2"/>
  <c r="S294" i="2"/>
  <c r="U294" i="2" s="1"/>
  <c r="S200" i="2"/>
  <c r="K201" i="2"/>
  <c r="O202" i="2"/>
  <c r="S214" i="2"/>
  <c r="S227" i="2" s="1"/>
  <c r="S216" i="2"/>
  <c r="S229" i="2" s="1"/>
  <c r="O223" i="2"/>
  <c r="G224" i="2"/>
  <c r="O225" i="2"/>
  <c r="F250" i="2"/>
  <c r="F216" i="2" s="1"/>
  <c r="F175" i="2" s="1"/>
  <c r="C216" i="2"/>
  <c r="C175" i="2" s="1"/>
  <c r="Q175" i="2" s="1"/>
  <c r="F252" i="2"/>
  <c r="F218" i="2" s="1"/>
  <c r="C218" i="2"/>
  <c r="F33" i="3"/>
  <c r="F32" i="3"/>
  <c r="F29" i="3"/>
  <c r="F26" i="3"/>
  <c r="F22" i="3"/>
  <c r="F15" i="3"/>
  <c r="F25" i="3"/>
  <c r="F21" i="3"/>
  <c r="F17" i="3"/>
  <c r="F14" i="3"/>
  <c r="F31" i="3"/>
  <c r="F27" i="3"/>
  <c r="F19" i="3"/>
  <c r="F16" i="3"/>
  <c r="F11" i="3"/>
  <c r="F10" i="3"/>
  <c r="F23" i="3"/>
  <c r="F28" i="3"/>
  <c r="F12" i="3"/>
  <c r="F20" i="3"/>
  <c r="Y91" i="2"/>
  <c r="O98" i="2"/>
  <c r="G108" i="2"/>
  <c r="I108" i="2" s="1"/>
  <c r="K110" i="2"/>
  <c r="K140" i="2" s="1"/>
  <c r="M140" i="2" s="1"/>
  <c r="G125" i="2"/>
  <c r="I125" i="2" s="1"/>
  <c r="G138" i="2"/>
  <c r="I138" i="2" s="1"/>
  <c r="F141" i="2"/>
  <c r="G153" i="2"/>
  <c r="I153" i="2" s="1"/>
  <c r="F156" i="2"/>
  <c r="O492" i="2"/>
  <c r="O457" i="2"/>
  <c r="O471" i="2" s="1"/>
  <c r="O527" i="2"/>
  <c r="O528" i="2"/>
  <c r="O493" i="2"/>
  <c r="O458" i="2"/>
  <c r="O472" i="2" s="1"/>
  <c r="O529" i="2"/>
  <c r="O459" i="2"/>
  <c r="O473" i="2" s="1"/>
  <c r="O494" i="2"/>
  <c r="O421" i="2"/>
  <c r="O351" i="2"/>
  <c r="O365" i="2" s="1"/>
  <c r="O283" i="2"/>
  <c r="O248" i="2"/>
  <c r="O317" i="2"/>
  <c r="O386" i="2"/>
  <c r="O422" i="2"/>
  <c r="O352" i="2"/>
  <c r="O366" i="2" s="1"/>
  <c r="O284" i="2"/>
  <c r="O387" i="2"/>
  <c r="O318" i="2"/>
  <c r="O249" i="2"/>
  <c r="O215" i="2"/>
  <c r="O228" i="2" s="1"/>
  <c r="O388" i="2"/>
  <c r="O319" i="2"/>
  <c r="O423" i="2"/>
  <c r="O250" i="2"/>
  <c r="O285" i="2"/>
  <c r="O353" i="2"/>
  <c r="O367" i="2" s="1"/>
  <c r="K466" i="2"/>
  <c r="K478" i="2" s="1"/>
  <c r="K430" i="2"/>
  <c r="K501" i="2"/>
  <c r="K291" i="2"/>
  <c r="K395" i="2"/>
  <c r="K256" i="2"/>
  <c r="K360" i="2"/>
  <c r="K372" i="2" s="1"/>
  <c r="K325" i="2"/>
  <c r="K536" i="2"/>
  <c r="S466" i="2"/>
  <c r="S478" i="2" s="1"/>
  <c r="S430" i="2"/>
  <c r="S501" i="2"/>
  <c r="S291" i="2"/>
  <c r="S536" i="2"/>
  <c r="S395" i="2"/>
  <c r="S256" i="2"/>
  <c r="S360" i="2"/>
  <c r="S372" i="2" s="1"/>
  <c r="S325" i="2"/>
  <c r="O190" i="2"/>
  <c r="S192" i="2"/>
  <c r="G514" i="2"/>
  <c r="I514" i="2" s="1"/>
  <c r="G479" i="2"/>
  <c r="G549" i="2"/>
  <c r="I549" i="2" s="1"/>
  <c r="G373" i="2"/>
  <c r="G304" i="2"/>
  <c r="I304" i="2" s="1"/>
  <c r="G443" i="2"/>
  <c r="I443" i="2" s="1"/>
  <c r="G269" i="2"/>
  <c r="I269" i="2" s="1"/>
  <c r="K235" i="2"/>
  <c r="G235" i="2"/>
  <c r="G408" i="2"/>
  <c r="I408" i="2" s="1"/>
  <c r="I373" i="2" s="1"/>
  <c r="G338" i="2"/>
  <c r="I338" i="2" s="1"/>
  <c r="G550" i="2"/>
  <c r="I550" i="2" s="1"/>
  <c r="G409" i="2"/>
  <c r="I409" i="2" s="1"/>
  <c r="G480" i="2"/>
  <c r="G515" i="2"/>
  <c r="I515" i="2" s="1"/>
  <c r="G444" i="2"/>
  <c r="I444" i="2" s="1"/>
  <c r="G305" i="2"/>
  <c r="I305" i="2" s="1"/>
  <c r="G339" i="2"/>
  <c r="I339" i="2" s="1"/>
  <c r="G270" i="2"/>
  <c r="I270" i="2" s="1"/>
  <c r="G374" i="2"/>
  <c r="G200" i="2"/>
  <c r="O201" i="2"/>
  <c r="G202" i="2"/>
  <c r="K222" i="2"/>
  <c r="K234" i="2" s="1"/>
  <c r="S223" i="2"/>
  <c r="K224" i="2"/>
  <c r="S225" i="2"/>
  <c r="G236" i="2"/>
  <c r="C274" i="2"/>
  <c r="C276" i="2" s="1"/>
  <c r="I275" i="2"/>
  <c r="C320" i="2"/>
  <c r="F318" i="2"/>
  <c r="F215" i="2" s="1"/>
  <c r="Q409" i="2"/>
  <c r="Q374" i="2" s="1"/>
  <c r="F409" i="2"/>
  <c r="F288" i="2"/>
  <c r="F219" i="2" s="1"/>
  <c r="F179" i="2" s="1"/>
  <c r="C309" i="2"/>
  <c r="F303" i="2"/>
  <c r="F234" i="2" s="1"/>
  <c r="C234" i="2"/>
  <c r="C197" i="2" s="1"/>
  <c r="C328" i="2"/>
  <c r="F324" i="2"/>
  <c r="F221" i="2" s="1"/>
  <c r="F335" i="2"/>
  <c r="C341" i="2"/>
  <c r="C232" i="2"/>
  <c r="C389" i="2"/>
  <c r="F387" i="2"/>
  <c r="C352" i="2"/>
  <c r="C432" i="2"/>
  <c r="F428" i="2"/>
  <c r="F547" i="2"/>
  <c r="F477" i="2" s="1"/>
  <c r="F545" i="2"/>
  <c r="F475" i="2" s="1"/>
  <c r="F546" i="2"/>
  <c r="F476" i="2" s="1"/>
  <c r="U683" i="2"/>
  <c r="S699" i="2"/>
  <c r="U699" i="2" s="1"/>
  <c r="G848" i="2"/>
  <c r="I848" i="2" s="1"/>
  <c r="I743" i="2" s="1"/>
  <c r="G766" i="2"/>
  <c r="G870" i="2" s="1"/>
  <c r="I870" i="2" s="1"/>
  <c r="I766" i="2" s="1"/>
  <c r="F274" i="2"/>
  <c r="F276" i="2" s="1"/>
  <c r="C272" i="2"/>
  <c r="C258" i="2"/>
  <c r="C292" i="2"/>
  <c r="F232" i="2"/>
  <c r="F334" i="2"/>
  <c r="F231" i="2" s="1"/>
  <c r="F336" i="2"/>
  <c r="F233" i="2" s="1"/>
  <c r="F391" i="2"/>
  <c r="C356" i="2"/>
  <c r="F356" i="2" s="1"/>
  <c r="F402" i="2"/>
  <c r="C361" i="2"/>
  <c r="I414" i="2"/>
  <c r="C448" i="2"/>
  <c r="F548" i="2"/>
  <c r="F478" i="2" s="1"/>
  <c r="U339" i="2"/>
  <c r="U236" i="2" s="1"/>
  <c r="F339" i="2"/>
  <c r="F236" i="2" s="1"/>
  <c r="C236" i="2"/>
  <c r="C199" i="2" s="1"/>
  <c r="Q339" i="2"/>
  <c r="Q236" i="2" s="1"/>
  <c r="F395" i="2"/>
  <c r="C360" i="2"/>
  <c r="F422" i="2"/>
  <c r="C424" i="2"/>
  <c r="F690" i="2"/>
  <c r="F610" i="2" s="1"/>
  <c r="C610" i="2"/>
  <c r="C257" i="2"/>
  <c r="C259" i="2"/>
  <c r="C271" i="2"/>
  <c r="C413" i="2"/>
  <c r="C396" i="2"/>
  <c r="C519" i="2"/>
  <c r="F499" i="2"/>
  <c r="F464" i="2" s="1"/>
  <c r="F180" i="2" s="1"/>
  <c r="C503" i="2"/>
  <c r="C464" i="2"/>
  <c r="F527" i="2"/>
  <c r="F457" i="2" s="1"/>
  <c r="F169" i="2" s="1"/>
  <c r="C457" i="2"/>
  <c r="C530" i="2"/>
  <c r="C460" i="2" s="1"/>
  <c r="Q685" i="2"/>
  <c r="O701" i="2"/>
  <c r="Q701" i="2" s="1"/>
  <c r="F675" i="2"/>
  <c r="C675" i="2"/>
  <c r="C635" i="2" s="1"/>
  <c r="F655" i="2"/>
  <c r="F613" i="2" s="1"/>
  <c r="C658" i="2"/>
  <c r="U658" i="2" s="1"/>
  <c r="C613" i="2"/>
  <c r="C616" i="2" s="1"/>
  <c r="C1059" i="2"/>
  <c r="C945" i="2"/>
  <c r="C927" i="2" s="1"/>
  <c r="C908" i="2" s="1"/>
  <c r="C343" i="2"/>
  <c r="F458" i="2"/>
  <c r="F170" i="2" s="1"/>
  <c r="O711" i="2"/>
  <c r="Q711" i="2" s="1"/>
  <c r="Q696" i="2"/>
  <c r="O674" i="2"/>
  <c r="Q674" i="2" s="1"/>
  <c r="Q659" i="2"/>
  <c r="F699" i="2"/>
  <c r="F621" i="2" s="1"/>
  <c r="C621" i="2"/>
  <c r="F778" i="2"/>
  <c r="F724" i="2" s="1"/>
  <c r="C724" i="2"/>
  <c r="S858" i="2"/>
  <c r="U858" i="2" s="1"/>
  <c r="U838" i="2"/>
  <c r="C539" i="2"/>
  <c r="F535" i="2"/>
  <c r="F465" i="2" s="1"/>
  <c r="C465" i="2"/>
  <c r="G711" i="2"/>
  <c r="I711" i="2" s="1"/>
  <c r="I696" i="2"/>
  <c r="S835" i="2"/>
  <c r="S784" i="2"/>
  <c r="S751" i="2"/>
  <c r="S738" i="2"/>
  <c r="S759" i="2" s="1"/>
  <c r="S798" i="2"/>
  <c r="U798" i="2" s="1"/>
  <c r="U775" i="2"/>
  <c r="C554" i="2"/>
  <c r="F595" i="2"/>
  <c r="F597" i="2" s="1"/>
  <c r="I594" i="2"/>
  <c r="S662" i="2"/>
  <c r="U662" i="2" s="1"/>
  <c r="U646" i="2"/>
  <c r="O624" i="2"/>
  <c r="O687" i="2"/>
  <c r="O649" i="2"/>
  <c r="O650" i="2"/>
  <c r="O625" i="2"/>
  <c r="F605" i="2"/>
  <c r="F649" i="2"/>
  <c r="F607" i="2" s="1"/>
  <c r="C607" i="2"/>
  <c r="F631" i="2"/>
  <c r="O688" i="2"/>
  <c r="S700" i="2"/>
  <c r="U700" i="2" s="1"/>
  <c r="G748" i="2"/>
  <c r="G828" i="2"/>
  <c r="K777" i="2"/>
  <c r="S837" i="2"/>
  <c r="S786" i="2"/>
  <c r="S739" i="2"/>
  <c r="S760" i="2" s="1"/>
  <c r="S787" i="2"/>
  <c r="S754" i="2"/>
  <c r="S839" i="2"/>
  <c r="S788" i="2"/>
  <c r="S755" i="2"/>
  <c r="S840" i="2"/>
  <c r="S756" i="2"/>
  <c r="S789" i="2"/>
  <c r="O848" i="2"/>
  <c r="Q848" i="2" s="1"/>
  <c r="Q743" i="2" s="1"/>
  <c r="O766" i="2"/>
  <c r="O870" i="2" s="1"/>
  <c r="Q870" i="2" s="1"/>
  <c r="K798" i="2"/>
  <c r="M798" i="2" s="1"/>
  <c r="M775" i="2"/>
  <c r="G777" i="2"/>
  <c r="O700" i="2"/>
  <c r="Q700" i="2" s="1"/>
  <c r="Q684" i="2"/>
  <c r="S703" i="2"/>
  <c r="U703" i="2" s="1"/>
  <c r="U688" i="2"/>
  <c r="K707" i="2"/>
  <c r="M707" i="2" s="1"/>
  <c r="M694" i="2"/>
  <c r="G674" i="2"/>
  <c r="I674" i="2" s="1"/>
  <c r="I659" i="2"/>
  <c r="K672" i="2"/>
  <c r="M672" i="2" s="1"/>
  <c r="C677" i="2"/>
  <c r="F695" i="2"/>
  <c r="C615" i="2"/>
  <c r="F703" i="2"/>
  <c r="F625" i="2" s="1"/>
  <c r="C625" i="2"/>
  <c r="O798" i="2"/>
  <c r="Q798" i="2" s="1"/>
  <c r="Q775" i="2"/>
  <c r="O808" i="2"/>
  <c r="Q808" i="2" s="1"/>
  <c r="Q789" i="2"/>
  <c r="S841" i="2"/>
  <c r="S790" i="2"/>
  <c r="O869" i="2"/>
  <c r="Q869" i="2" s="1"/>
  <c r="O817" i="2"/>
  <c r="Q817" i="2" s="1"/>
  <c r="C780" i="2"/>
  <c r="C726" i="2" s="1"/>
  <c r="U779" i="2"/>
  <c r="S802" i="2"/>
  <c r="U802" i="2" s="1"/>
  <c r="F790" i="2"/>
  <c r="F736" i="2" s="1"/>
  <c r="C736" i="2"/>
  <c r="G850" i="2"/>
  <c r="I850" i="2" s="1"/>
  <c r="Q645" i="2"/>
  <c r="O661" i="2"/>
  <c r="Q661" i="2" s="1"/>
  <c r="U647" i="2"/>
  <c r="S663" i="2"/>
  <c r="U663" i="2" s="1"/>
  <c r="O652" i="2"/>
  <c r="O690" i="2"/>
  <c r="M655" i="2"/>
  <c r="K673" i="2"/>
  <c r="M673" i="2" s="1"/>
  <c r="M658" i="2"/>
  <c r="S673" i="2"/>
  <c r="U673" i="2" s="1"/>
  <c r="K712" i="2"/>
  <c r="M697" i="2"/>
  <c r="S712" i="2"/>
  <c r="U697" i="2"/>
  <c r="U650" i="2"/>
  <c r="S665" i="2"/>
  <c r="U665" i="2" s="1"/>
  <c r="M656" i="2"/>
  <c r="K669" i="2"/>
  <c r="M669" i="2" s="1"/>
  <c r="F615" i="2"/>
  <c r="F683" i="2"/>
  <c r="C686" i="2"/>
  <c r="C712" i="2"/>
  <c r="F707" i="2"/>
  <c r="F629" i="2" s="1"/>
  <c r="C629" i="2"/>
  <c r="C634" i="2" s="1"/>
  <c r="G798" i="2"/>
  <c r="I798" i="2" s="1"/>
  <c r="I775" i="2"/>
  <c r="O828" i="2"/>
  <c r="O777" i="2"/>
  <c r="O748" i="2"/>
  <c r="U830" i="2"/>
  <c r="S854" i="2"/>
  <c r="U854" i="2" s="1"/>
  <c r="G869" i="2"/>
  <c r="I869" i="2" s="1"/>
  <c r="G817" i="2"/>
  <c r="I817" i="2" s="1"/>
  <c r="I765" i="2" s="1"/>
  <c r="Q784" i="2"/>
  <c r="O803" i="2"/>
  <c r="Q803" i="2" s="1"/>
  <c r="O792" i="2"/>
  <c r="C767" i="2"/>
  <c r="O843" i="2"/>
  <c r="Q835" i="2"/>
  <c r="O855" i="2"/>
  <c r="Q855" i="2" s="1"/>
  <c r="K618" i="2"/>
  <c r="S621" i="2"/>
  <c r="O623" i="2"/>
  <c r="S625" i="2"/>
  <c r="K629" i="2"/>
  <c r="G633" i="2"/>
  <c r="O633" i="2"/>
  <c r="K634" i="2"/>
  <c r="S634" i="2"/>
  <c r="S645" i="2"/>
  <c r="O647" i="2"/>
  <c r="S652" i="2"/>
  <c r="K657" i="2"/>
  <c r="G658" i="2"/>
  <c r="O658" i="2"/>
  <c r="K659" i="2"/>
  <c r="S659" i="2"/>
  <c r="G671" i="2"/>
  <c r="I671" i="2" s="1"/>
  <c r="I631" i="2" s="1"/>
  <c r="O671" i="2"/>
  <c r="Q671" i="2" s="1"/>
  <c r="O683" i="2"/>
  <c r="S685" i="2"/>
  <c r="S687" i="2"/>
  <c r="K693" i="2"/>
  <c r="K696" i="2"/>
  <c r="S696" i="2"/>
  <c r="G697" i="2"/>
  <c r="O697" i="2"/>
  <c r="K709" i="2"/>
  <c r="M709" i="2" s="1"/>
  <c r="S709" i="2"/>
  <c r="U709" i="2" s="1"/>
  <c r="K850" i="2"/>
  <c r="M850" i="2" s="1"/>
  <c r="M826" i="2"/>
  <c r="S850" i="2"/>
  <c r="U850" i="2" s="1"/>
  <c r="U826" i="2"/>
  <c r="O829" i="2"/>
  <c r="O778" i="2"/>
  <c r="O854" i="2"/>
  <c r="Q854" i="2" s="1"/>
  <c r="Q830" i="2"/>
  <c r="K847" i="2"/>
  <c r="K796" i="2"/>
  <c r="G746" i="2"/>
  <c r="O746" i="2"/>
  <c r="O751" i="2"/>
  <c r="O756" i="2"/>
  <c r="K868" i="2"/>
  <c r="M868" i="2" s="1"/>
  <c r="K816" i="2"/>
  <c r="M816" i="2" s="1"/>
  <c r="S868" i="2"/>
  <c r="U868" i="2" s="1"/>
  <c r="S816" i="2"/>
  <c r="U816" i="2" s="1"/>
  <c r="F777" i="2"/>
  <c r="F723" i="2" s="1"/>
  <c r="S777" i="2"/>
  <c r="O779" i="2"/>
  <c r="F802" i="2"/>
  <c r="F750" i="2" s="1"/>
  <c r="F811" i="2"/>
  <c r="G816" i="2"/>
  <c r="I816" i="2" s="1"/>
  <c r="I764" i="2" s="1"/>
  <c r="K852" i="2"/>
  <c r="M852" i="2" s="1"/>
  <c r="O858" i="2"/>
  <c r="Q858" i="2" s="1"/>
  <c r="F860" i="2"/>
  <c r="F866" i="2"/>
  <c r="F762" i="2" s="1"/>
  <c r="F1102" i="2"/>
  <c r="K619" i="2"/>
  <c r="O621" i="2"/>
  <c r="S623" i="2"/>
  <c r="K633" i="2"/>
  <c r="S633" i="2"/>
  <c r="G634" i="2"/>
  <c r="O634" i="2"/>
  <c r="S690" i="2"/>
  <c r="K695" i="2"/>
  <c r="S829" i="2"/>
  <c r="S778" i="2"/>
  <c r="K746" i="2"/>
  <c r="S746" i="2"/>
  <c r="O749" i="2"/>
  <c r="O754" i="2"/>
  <c r="O787" i="2"/>
  <c r="F801" i="2"/>
  <c r="F749" i="2" s="1"/>
  <c r="F805" i="2"/>
  <c r="F808" i="2"/>
  <c r="F756" i="2" s="1"/>
  <c r="O826" i="2"/>
  <c r="O840" i="2"/>
  <c r="F858" i="2"/>
  <c r="F754" i="2" s="1"/>
  <c r="F863" i="2"/>
  <c r="K869" i="2"/>
  <c r="M869" i="2" s="1"/>
  <c r="F890" i="2"/>
  <c r="I890" i="2"/>
  <c r="U960" i="2"/>
  <c r="S881" i="2"/>
  <c r="F941" i="2"/>
  <c r="F923" i="2" s="1"/>
  <c r="F904" i="2" s="1"/>
  <c r="C923" i="2"/>
  <c r="C904" i="2" s="1"/>
  <c r="F1165" i="2"/>
  <c r="F1182" i="2"/>
  <c r="I1182" i="2"/>
  <c r="S611" i="2"/>
  <c r="S627" i="2" s="1"/>
  <c r="S622" i="2"/>
  <c r="O837" i="2"/>
  <c r="O786" i="2"/>
  <c r="O839" i="2"/>
  <c r="O788" i="2"/>
  <c r="O841" i="2"/>
  <c r="O790" i="2"/>
  <c r="S750" i="2"/>
  <c r="O753" i="2"/>
  <c r="O757" i="2"/>
  <c r="F800" i="2"/>
  <c r="F748" i="2" s="1"/>
  <c r="F807" i="2"/>
  <c r="F755" i="2" s="1"/>
  <c r="F812" i="2"/>
  <c r="F760" i="2" s="1"/>
  <c r="F857" i="2"/>
  <c r="F861" i="2"/>
  <c r="F757" i="2" s="1"/>
  <c r="F867" i="2"/>
  <c r="F763" i="2" s="1"/>
  <c r="S869" i="2"/>
  <c r="U869" i="2" s="1"/>
  <c r="F895" i="2"/>
  <c r="O963" i="2"/>
  <c r="O981" i="2"/>
  <c r="Q981" i="2" s="1"/>
  <c r="O964" i="2"/>
  <c r="F979" i="2"/>
  <c r="F981" i="2"/>
  <c r="F1076" i="2" s="1"/>
  <c r="C930" i="2"/>
  <c r="C911" i="2" s="1"/>
  <c r="S1036" i="2"/>
  <c r="U1036" i="2" s="1"/>
  <c r="S1018" i="2"/>
  <c r="U1018" i="2" s="1"/>
  <c r="F1002" i="2"/>
  <c r="F1004" i="2"/>
  <c r="F929" i="2" s="1"/>
  <c r="F910" i="2" s="1"/>
  <c r="M1061" i="2"/>
  <c r="C1081" i="2"/>
  <c r="M1167" i="2"/>
  <c r="U1167" i="2"/>
  <c r="F1192" i="2"/>
  <c r="I1192" i="2"/>
  <c r="F943" i="2"/>
  <c r="U981" i="2"/>
  <c r="F926" i="2"/>
  <c r="F907" i="2" s="1"/>
  <c r="F965" i="2"/>
  <c r="F970" i="2" s="1"/>
  <c r="F1000" i="2"/>
  <c r="F1008" i="2" s="1"/>
  <c r="F1005" i="2"/>
  <c r="F930" i="2" s="1"/>
  <c r="F911" i="2" s="1"/>
  <c r="K1027" i="2"/>
  <c r="K1045" i="2"/>
  <c r="S1027" i="2"/>
  <c r="U1027" i="2" s="1"/>
  <c r="U1063" i="2" s="1"/>
  <c r="S1045" i="2"/>
  <c r="C1056" i="2"/>
  <c r="F1074" i="2"/>
  <c r="F1077" i="2"/>
  <c r="M1150" i="2"/>
  <c r="M1156" i="2" s="1"/>
  <c r="S1169" i="2"/>
  <c r="F940" i="2"/>
  <c r="C922" i="2"/>
  <c r="C903" i="2" s="1"/>
  <c r="Q922" i="2"/>
  <c r="Q903" i="2" s="1"/>
  <c r="Q987" i="2"/>
  <c r="C925" i="2"/>
  <c r="C906" i="2" s="1"/>
  <c r="S1037" i="2"/>
  <c r="U1037" i="2" s="1"/>
  <c r="U1074" i="2" s="1"/>
  <c r="S1019" i="2"/>
  <c r="U1019" i="2" s="1"/>
  <c r="Q1077" i="2"/>
  <c r="C1006" i="2"/>
  <c r="I1006" i="2" s="1"/>
  <c r="C1008" i="2"/>
  <c r="C932" i="2" s="1"/>
  <c r="F1062" i="2"/>
  <c r="F1171" i="2"/>
  <c r="I1171" i="2" s="1"/>
  <c r="I1202" i="2"/>
  <c r="S961" i="2"/>
  <c r="S963" i="2"/>
  <c r="K968" i="2"/>
  <c r="G969" i="2"/>
  <c r="I969" i="2" s="1"/>
  <c r="O969" i="2"/>
  <c r="Q969" i="2" s="1"/>
  <c r="F978" i="2"/>
  <c r="O979" i="2"/>
  <c r="Q979" i="2" s="1"/>
  <c r="F985" i="2"/>
  <c r="C987" i="2"/>
  <c r="I987" i="2" s="1"/>
  <c r="K987" i="2"/>
  <c r="M987" i="2" s="1"/>
  <c r="S987" i="2"/>
  <c r="O1021" i="2"/>
  <c r="Q1021" i="2" s="1"/>
  <c r="O1039" i="2"/>
  <c r="Q1039" i="2" s="1"/>
  <c r="Q1076" i="2" s="1"/>
  <c r="F1057" i="2"/>
  <c r="F1058" i="2"/>
  <c r="F1061" i="2"/>
  <c r="C1073" i="2"/>
  <c r="C1074" i="2"/>
  <c r="C1076" i="2"/>
  <c r="C1078" i="2"/>
  <c r="F1054" i="2"/>
  <c r="F1113" i="2"/>
  <c r="F1133" i="2"/>
  <c r="Q1201" i="2"/>
  <c r="Q1167" i="2"/>
  <c r="U1216" i="2"/>
  <c r="C988" i="2"/>
  <c r="C1083" i="2" s="1"/>
  <c r="S1039" i="2"/>
  <c r="U1039" i="2" s="1"/>
  <c r="U1076" i="2" s="1"/>
  <c r="S1021" i="2"/>
  <c r="U1021" i="2" s="1"/>
  <c r="U1058" i="2"/>
  <c r="M1080" i="2"/>
  <c r="K1044" i="2"/>
  <c r="M1044" i="2" s="1"/>
  <c r="M1081" i="2" s="1"/>
  <c r="K1026" i="2"/>
  <c r="M1026" i="2" s="1"/>
  <c r="O1022" i="2"/>
  <c r="Q1022" i="2" s="1"/>
  <c r="F1078" i="2"/>
  <c r="F1080" i="2"/>
  <c r="F1044" i="2"/>
  <c r="F1081" i="2" s="1"/>
  <c r="U1157" i="2"/>
  <c r="U1158" i="2" s="1"/>
  <c r="Q1157" i="2"/>
  <c r="Q1158" i="2" s="1"/>
  <c r="C1214" i="2"/>
  <c r="F1211" i="2"/>
  <c r="F1214" i="2" s="1"/>
  <c r="F1216" i="2" s="1"/>
  <c r="C1166" i="2"/>
  <c r="Q1054" i="2"/>
  <c r="O1019" i="2"/>
  <c r="Q1019" i="2" s="1"/>
  <c r="Q1055" i="2" s="1"/>
  <c r="O1037" i="2"/>
  <c r="Q1037" i="2" s="1"/>
  <c r="Q1074" i="2" s="1"/>
  <c r="G1045" i="2"/>
  <c r="I1045" i="2" s="1"/>
  <c r="G1027" i="2"/>
  <c r="O1045" i="2"/>
  <c r="O1027" i="2"/>
  <c r="F1055" i="2"/>
  <c r="C1058" i="2"/>
  <c r="C1061" i="2"/>
  <c r="O1036" i="2"/>
  <c r="Q1036" i="2" s="1"/>
  <c r="S1040" i="2"/>
  <c r="U1040" i="2" s="1"/>
  <c r="U1077" i="2" s="1"/>
  <c r="U1065" i="2"/>
  <c r="Q1065" i="2"/>
  <c r="U1141" i="2"/>
  <c r="I1116" i="2"/>
  <c r="I1127" i="2"/>
  <c r="I1136" i="2"/>
  <c r="C1154" i="2"/>
  <c r="I1154" i="2" s="1"/>
  <c r="M1157" i="2"/>
  <c r="F1183" i="2"/>
  <c r="F1193" i="2"/>
  <c r="I1166" i="2"/>
  <c r="C1028" i="2"/>
  <c r="C971" i="2" s="1"/>
  <c r="C1038" i="2"/>
  <c r="C1075" i="2" s="1"/>
  <c r="C1045" i="2"/>
  <c r="C1082" i="2" s="1"/>
  <c r="C1054" i="2"/>
  <c r="C1100" i="2"/>
  <c r="I1100" i="2" s="1"/>
  <c r="M1140" i="2"/>
  <c r="M1141" i="2" s="1"/>
  <c r="I1151" i="2"/>
  <c r="M1215" i="2"/>
  <c r="M1216" i="2" s="1"/>
  <c r="F1241" i="2"/>
  <c r="F1270" i="2" s="1"/>
  <c r="F1272" i="2" s="1"/>
  <c r="X1272" i="2" s="1"/>
  <c r="F1253" i="2"/>
  <c r="F1265" i="2"/>
  <c r="C1027" i="2"/>
  <c r="C1063" i="2" s="1"/>
  <c r="I1091" i="2"/>
  <c r="C1201" i="2"/>
  <c r="C1232" i="2"/>
  <c r="C1228" i="2"/>
  <c r="I1228" i="2" s="1"/>
  <c r="I1230" i="2" s="1"/>
  <c r="I1232" i="2" s="1"/>
  <c r="U1231" i="2"/>
  <c r="U1232" i="2" s="1"/>
  <c r="Q1231" i="2"/>
  <c r="Q1232" i="2" s="1"/>
  <c r="F1248" i="2"/>
  <c r="F1260" i="2"/>
  <c r="Q1216" i="2"/>
  <c r="F1224" i="2"/>
  <c r="F1230" i="2" s="1"/>
  <c r="F1232" i="2" s="1"/>
  <c r="J29" i="3"/>
  <c r="J32" i="3"/>
  <c r="D12" i="3"/>
  <c r="J14" i="3"/>
  <c r="J17" i="3"/>
  <c r="D20" i="3"/>
  <c r="J21" i="3"/>
  <c r="D23" i="3"/>
  <c r="J25" i="3"/>
  <c r="C8" i="10"/>
  <c r="F11" i="10"/>
  <c r="Q1271" i="2"/>
  <c r="Q1272" i="2" s="1"/>
  <c r="D33" i="3"/>
  <c r="D31" i="3"/>
  <c r="J10" i="3"/>
  <c r="J11" i="3"/>
  <c r="D15" i="3"/>
  <c r="J16" i="3"/>
  <c r="J19" i="3"/>
  <c r="D22" i="3"/>
  <c r="D26" i="3"/>
  <c r="J27" i="3"/>
  <c r="J33" i="3"/>
  <c r="D10" i="3"/>
  <c r="D11" i="3"/>
  <c r="J12" i="3"/>
  <c r="D16" i="3"/>
  <c r="D19" i="3"/>
  <c r="J20" i="3"/>
  <c r="J23" i="3"/>
  <c r="D27" i="3"/>
  <c r="J28" i="3"/>
  <c r="D29" i="3"/>
  <c r="D32" i="3"/>
  <c r="C9" i="10"/>
  <c r="D9" i="10" s="1"/>
  <c r="V28" i="6"/>
  <c r="F945" i="2" l="1"/>
  <c r="F199" i="2"/>
  <c r="M361" i="2"/>
  <c r="I22" i="2"/>
  <c r="M163" i="2"/>
  <c r="F988" i="2"/>
  <c r="F1166" i="2"/>
  <c r="I1156" i="2"/>
  <c r="I1158" i="2" s="1"/>
  <c r="X1158" i="2" s="1"/>
  <c r="Q1045" i="2"/>
  <c r="Q1082" i="2" s="1"/>
  <c r="F871" i="2"/>
  <c r="F1201" i="2"/>
  <c r="F92" i="2"/>
  <c r="Z98" i="2"/>
  <c r="Q377" i="2"/>
  <c r="M272" i="2"/>
  <c r="Q257" i="2"/>
  <c r="Q396" i="2"/>
  <c r="I271" i="2"/>
  <c r="I292" i="2"/>
  <c r="Q144" i="2"/>
  <c r="U162" i="2"/>
  <c r="M147" i="2"/>
  <c r="M375" i="2"/>
  <c r="U147" i="2"/>
  <c r="F1139" i="2"/>
  <c r="F1141" i="2" s="1"/>
  <c r="F1059" i="2"/>
  <c r="F448" i="2"/>
  <c r="I235" i="2"/>
  <c r="I198" i="2" s="1"/>
  <c r="I479" i="2"/>
  <c r="Q148" i="2"/>
  <c r="F161" i="2"/>
  <c r="F163" i="2" s="1"/>
  <c r="C178" i="2"/>
  <c r="M363" i="2"/>
  <c r="Q503" i="2"/>
  <c r="Q468" i="2" s="1"/>
  <c r="F927" i="2"/>
  <c r="F908" i="2" s="1"/>
  <c r="M467" i="2"/>
  <c r="Q361" i="2"/>
  <c r="F713" i="2"/>
  <c r="F343" i="2"/>
  <c r="F413" i="2"/>
  <c r="F415" i="2" s="1"/>
  <c r="F1203" i="2"/>
  <c r="F1170" i="2"/>
  <c r="F1172" i="2" s="1"/>
  <c r="C913" i="2"/>
  <c r="C912" i="2"/>
  <c r="X1232" i="2"/>
  <c r="S30" i="1"/>
  <c r="X30" i="1" s="1"/>
  <c r="F971" i="2"/>
  <c r="F972" i="2" s="1"/>
  <c r="F1064" i="2"/>
  <c r="F1066" i="2" s="1"/>
  <c r="F1029" i="2"/>
  <c r="F118" i="2"/>
  <c r="D8" i="10"/>
  <c r="C11" i="10"/>
  <c r="Q1170" i="2"/>
  <c r="S884" i="2"/>
  <c r="U963" i="2"/>
  <c r="O861" i="2"/>
  <c r="Q861" i="2" s="1"/>
  <c r="Q841" i="2"/>
  <c r="K674" i="2"/>
  <c r="M674" i="2" s="1"/>
  <c r="M659" i="2"/>
  <c r="S666" i="2"/>
  <c r="U666" i="2" s="1"/>
  <c r="S653" i="2"/>
  <c r="U652" i="2"/>
  <c r="I721" i="2"/>
  <c r="I777" i="2"/>
  <c r="G800" i="2"/>
  <c r="I800" i="2" s="1"/>
  <c r="M777" i="2"/>
  <c r="K800" i="2"/>
  <c r="M800" i="2" s="1"/>
  <c r="Q687" i="2"/>
  <c r="O702" i="2"/>
  <c r="Q702" i="2" s="1"/>
  <c r="S803" i="2"/>
  <c r="U803" i="2" s="1"/>
  <c r="U784" i="2"/>
  <c r="S792" i="2"/>
  <c r="F635" i="2"/>
  <c r="F677" i="2"/>
  <c r="C468" i="2"/>
  <c r="C180" i="2"/>
  <c r="C184" i="2" s="1"/>
  <c r="F196" i="2"/>
  <c r="U536" i="2"/>
  <c r="S548" i="2"/>
  <c r="U548" i="2" s="1"/>
  <c r="Q421" i="2"/>
  <c r="O435" i="2"/>
  <c r="Q435" i="2" s="1"/>
  <c r="T11" i="3"/>
  <c r="R11" i="3"/>
  <c r="H11" i="3"/>
  <c r="Q501" i="2"/>
  <c r="O513" i="2"/>
  <c r="Q513" i="2" s="1"/>
  <c r="U318" i="2"/>
  <c r="S331" i="2"/>
  <c r="U331" i="2" s="1"/>
  <c r="S400" i="2"/>
  <c r="U400" i="2" s="1"/>
  <c r="U386" i="2"/>
  <c r="P28" i="3"/>
  <c r="N28" i="3"/>
  <c r="N16" i="3"/>
  <c r="P16" i="3"/>
  <c r="I259" i="2"/>
  <c r="M432" i="2"/>
  <c r="M362" i="2" s="1"/>
  <c r="Q1073" i="2"/>
  <c r="Q1027" i="2"/>
  <c r="Q1063" i="2" s="1"/>
  <c r="U1057" i="2"/>
  <c r="U987" i="2"/>
  <c r="K889" i="2"/>
  <c r="M968" i="2"/>
  <c r="M1062" i="2" s="1"/>
  <c r="U1045" i="2"/>
  <c r="F1046" i="2"/>
  <c r="C949" i="2"/>
  <c r="O809" i="2"/>
  <c r="Q809" i="2" s="1"/>
  <c r="Q790" i="2"/>
  <c r="O805" i="2"/>
  <c r="Q805" i="2" s="1"/>
  <c r="O793" i="2"/>
  <c r="Q786" i="2"/>
  <c r="Q826" i="2"/>
  <c r="O850" i="2"/>
  <c r="Q850" i="2" s="1"/>
  <c r="O806" i="2"/>
  <c r="Q806" i="2" s="1"/>
  <c r="Q787" i="2"/>
  <c r="U690" i="2"/>
  <c r="S691" i="2"/>
  <c r="S704" i="2"/>
  <c r="U704" i="2" s="1"/>
  <c r="U777" i="2"/>
  <c r="S800" i="2"/>
  <c r="U800" i="2" s="1"/>
  <c r="S711" i="2"/>
  <c r="U711" i="2" s="1"/>
  <c r="U696" i="2"/>
  <c r="S701" i="2"/>
  <c r="U701" i="2" s="1"/>
  <c r="U685" i="2"/>
  <c r="U659" i="2"/>
  <c r="S674" i="2"/>
  <c r="U674" i="2" s="1"/>
  <c r="K670" i="2"/>
  <c r="M670" i="2" s="1"/>
  <c r="M657" i="2"/>
  <c r="Q843" i="2"/>
  <c r="O863" i="2"/>
  <c r="Q863" i="2" s="1"/>
  <c r="F818" i="2"/>
  <c r="M712" i="2"/>
  <c r="S860" i="2"/>
  <c r="U860" i="2" s="1"/>
  <c r="U840" i="2"/>
  <c r="U837" i="2"/>
  <c r="S844" i="2"/>
  <c r="S857" i="2"/>
  <c r="U857" i="2" s="1"/>
  <c r="O664" i="2"/>
  <c r="Q664" i="2" s="1"/>
  <c r="Q649" i="2"/>
  <c r="C521" i="2"/>
  <c r="C484" i="2"/>
  <c r="F181" i="2"/>
  <c r="I480" i="2"/>
  <c r="S407" i="2"/>
  <c r="U407" i="2" s="1"/>
  <c r="U395" i="2"/>
  <c r="S442" i="2"/>
  <c r="U442" i="2" s="1"/>
  <c r="U430" i="2"/>
  <c r="K513" i="2"/>
  <c r="M513" i="2" s="1"/>
  <c r="M501" i="2"/>
  <c r="Q285" i="2"/>
  <c r="O298" i="2"/>
  <c r="Q298" i="2" s="1"/>
  <c r="O402" i="2"/>
  <c r="Q402" i="2" s="1"/>
  <c r="Q388" i="2"/>
  <c r="O401" i="2"/>
  <c r="Q401" i="2" s="1"/>
  <c r="Q387" i="2"/>
  <c r="O400" i="2"/>
  <c r="Q400" i="2" s="1"/>
  <c r="Q386" i="2"/>
  <c r="Q529" i="2"/>
  <c r="O543" i="2"/>
  <c r="Q543" i="2" s="1"/>
  <c r="O541" i="2"/>
  <c r="Q541" i="2" s="1"/>
  <c r="Q527" i="2"/>
  <c r="R20" i="3"/>
  <c r="H20" i="3"/>
  <c r="T20" i="3"/>
  <c r="T10" i="3"/>
  <c r="R10" i="3"/>
  <c r="H10" i="3"/>
  <c r="T27" i="3"/>
  <c r="R27" i="3"/>
  <c r="H27" i="3"/>
  <c r="H21" i="3"/>
  <c r="R21" i="3"/>
  <c r="T21" i="3"/>
  <c r="T26" i="3"/>
  <c r="H26" i="3"/>
  <c r="R26" i="3"/>
  <c r="F309" i="2"/>
  <c r="U328" i="2"/>
  <c r="Q341" i="2"/>
  <c r="Q376" i="2"/>
  <c r="I341" i="2"/>
  <c r="I432" i="2"/>
  <c r="I362" i="2" s="1"/>
  <c r="M374" i="2"/>
  <c r="O407" i="2"/>
  <c r="Q407" i="2" s="1"/>
  <c r="Q395" i="2"/>
  <c r="O442" i="2"/>
  <c r="Q442" i="2" s="1"/>
  <c r="Q430" i="2"/>
  <c r="U423" i="2"/>
  <c r="S437" i="2"/>
  <c r="U437" i="2" s="1"/>
  <c r="S330" i="2"/>
  <c r="U330" i="2" s="1"/>
  <c r="U317" i="2"/>
  <c r="U494" i="2"/>
  <c r="S508" i="2"/>
  <c r="U508" i="2" s="1"/>
  <c r="U492" i="2"/>
  <c r="S506" i="2"/>
  <c r="U506" i="2" s="1"/>
  <c r="M145" i="2"/>
  <c r="K160" i="2"/>
  <c r="M160" i="2" s="1"/>
  <c r="P25" i="3"/>
  <c r="N25" i="3"/>
  <c r="P23" i="3"/>
  <c r="N23" i="3"/>
  <c r="N15" i="3"/>
  <c r="P15" i="3"/>
  <c r="N11" i="3"/>
  <c r="P11" i="3"/>
  <c r="P31" i="3"/>
  <c r="N31" i="3"/>
  <c r="S549" i="2"/>
  <c r="U549" i="2" s="1"/>
  <c r="S479" i="2"/>
  <c r="S338" i="2"/>
  <c r="U338" i="2" s="1"/>
  <c r="S235" i="2"/>
  <c r="S408" i="2"/>
  <c r="U408" i="2" s="1"/>
  <c r="S269" i="2"/>
  <c r="U269" i="2" s="1"/>
  <c r="S514" i="2"/>
  <c r="U514" i="2" s="1"/>
  <c r="S443" i="2"/>
  <c r="U443" i="2" s="1"/>
  <c r="S373" i="2"/>
  <c r="S304" i="2"/>
  <c r="U304" i="2" s="1"/>
  <c r="Q259" i="2"/>
  <c r="I328" i="2"/>
  <c r="I377" i="2"/>
  <c r="U341" i="2"/>
  <c r="U503" i="2"/>
  <c r="U468" i="2" s="1"/>
  <c r="M258" i="2"/>
  <c r="M224" i="2" s="1"/>
  <c r="Q375" i="2"/>
  <c r="I257" i="2"/>
  <c r="I396" i="2"/>
  <c r="I361" i="2" s="1"/>
  <c r="Q159" i="2"/>
  <c r="I130" i="2"/>
  <c r="G145" i="2"/>
  <c r="B24" i="1"/>
  <c r="F48" i="2"/>
  <c r="F25" i="2"/>
  <c r="C1199" i="2"/>
  <c r="I1199" i="2" s="1"/>
  <c r="I1201" i="2" s="1"/>
  <c r="C1170" i="2"/>
  <c r="C1213" i="2"/>
  <c r="U1054" i="2"/>
  <c r="Q963" i="2"/>
  <c r="O884" i="2"/>
  <c r="O857" i="2"/>
  <c r="Q857" i="2" s="1"/>
  <c r="O844" i="2"/>
  <c r="Q837" i="2"/>
  <c r="S801" i="2"/>
  <c r="U801" i="2" s="1"/>
  <c r="U778" i="2"/>
  <c r="M696" i="2"/>
  <c r="K711" i="2"/>
  <c r="M711" i="2" s="1"/>
  <c r="O811" i="2"/>
  <c r="Q811" i="2" s="1"/>
  <c r="Q792" i="2"/>
  <c r="U787" i="2"/>
  <c r="S806" i="2"/>
  <c r="U806" i="2" s="1"/>
  <c r="C469" i="2"/>
  <c r="C181" i="2"/>
  <c r="C185" i="2" s="1"/>
  <c r="F360" i="2"/>
  <c r="F182" i="2" s="1"/>
  <c r="C182" i="2"/>
  <c r="M182" i="2" s="1"/>
  <c r="F197" i="2"/>
  <c r="U325" i="2"/>
  <c r="S337" i="2"/>
  <c r="U337" i="2" s="1"/>
  <c r="K268" i="2"/>
  <c r="M268" i="2" s="1"/>
  <c r="M256" i="2"/>
  <c r="Q250" i="2"/>
  <c r="O263" i="2"/>
  <c r="Q263" i="2" s="1"/>
  <c r="I89" i="2"/>
  <c r="R31" i="3"/>
  <c r="H31" i="3"/>
  <c r="T31" i="3"/>
  <c r="H25" i="3"/>
  <c r="R25" i="3"/>
  <c r="T25" i="3"/>
  <c r="R29" i="3"/>
  <c r="T29" i="3"/>
  <c r="H29" i="3"/>
  <c r="U259" i="2"/>
  <c r="F194" i="2"/>
  <c r="U319" i="2"/>
  <c r="S332" i="2"/>
  <c r="U332" i="2" s="1"/>
  <c r="U283" i="2"/>
  <c r="S296" i="2"/>
  <c r="U296" i="2" s="1"/>
  <c r="U528" i="2"/>
  <c r="S542" i="2"/>
  <c r="U542" i="2" s="1"/>
  <c r="N29" i="3"/>
  <c r="P29" i="3"/>
  <c r="N33" i="3"/>
  <c r="P33" i="3"/>
  <c r="Q467" i="2"/>
  <c r="I237" i="2"/>
  <c r="F91" i="2"/>
  <c r="Q235" i="2"/>
  <c r="I129" i="2"/>
  <c r="G144" i="2"/>
  <c r="C1029" i="2"/>
  <c r="C1064" i="2"/>
  <c r="C1066" i="2" s="1"/>
  <c r="I1139" i="2"/>
  <c r="I1141" i="2" s="1"/>
  <c r="I1027" i="2"/>
  <c r="I1063" i="2" s="1"/>
  <c r="S882" i="2"/>
  <c r="U961" i="2"/>
  <c r="U1055" i="2" s="1"/>
  <c r="F951" i="2"/>
  <c r="F922" i="2"/>
  <c r="F903" i="2" s="1"/>
  <c r="C999" i="2"/>
  <c r="M1045" i="2"/>
  <c r="M1082" i="2" s="1"/>
  <c r="U1073" i="2"/>
  <c r="Q788" i="2"/>
  <c r="O807" i="2"/>
  <c r="Q807" i="2" s="1"/>
  <c r="F1167" i="2"/>
  <c r="F753" i="2"/>
  <c r="S853" i="2"/>
  <c r="U853" i="2" s="1"/>
  <c r="U829" i="2"/>
  <c r="K815" i="2"/>
  <c r="M815" i="2" s="1"/>
  <c r="M796" i="2"/>
  <c r="O801" i="2"/>
  <c r="Q801" i="2" s="1"/>
  <c r="Q778" i="2"/>
  <c r="Q697" i="2"/>
  <c r="O712" i="2"/>
  <c r="Q712" i="2" s="1"/>
  <c r="K706" i="2"/>
  <c r="M706" i="2" s="1"/>
  <c r="M693" i="2"/>
  <c r="O673" i="2"/>
  <c r="Q673" i="2" s="1"/>
  <c r="Q658" i="2"/>
  <c r="O663" i="2"/>
  <c r="Q663" i="2" s="1"/>
  <c r="Q647" i="2"/>
  <c r="Q777" i="2"/>
  <c r="O800" i="2"/>
  <c r="Q800" i="2" s="1"/>
  <c r="I746" i="2"/>
  <c r="U712" i="2"/>
  <c r="O704" i="2"/>
  <c r="Q704" i="2" s="1"/>
  <c r="O691" i="2"/>
  <c r="Q690" i="2"/>
  <c r="U841" i="2"/>
  <c r="S861" i="2"/>
  <c r="U861" i="2" s="1"/>
  <c r="U789" i="2"/>
  <c r="S808" i="2"/>
  <c r="U808" i="2" s="1"/>
  <c r="S807" i="2"/>
  <c r="U807" i="2" s="1"/>
  <c r="U788" i="2"/>
  <c r="G852" i="2"/>
  <c r="I852" i="2" s="1"/>
  <c r="I828" i="2"/>
  <c r="S855" i="2"/>
  <c r="U855" i="2" s="1"/>
  <c r="U835" i="2"/>
  <c r="S843" i="2"/>
  <c r="F603" i="2"/>
  <c r="F519" i="2"/>
  <c r="C363" i="2"/>
  <c r="F352" i="2"/>
  <c r="F174" i="2" s="1"/>
  <c r="C354" i="2"/>
  <c r="C174" i="2"/>
  <c r="C311" i="2"/>
  <c r="C240" i="2"/>
  <c r="I236" i="2"/>
  <c r="I374" i="2"/>
  <c r="S303" i="2"/>
  <c r="U303" i="2" s="1"/>
  <c r="U291" i="2"/>
  <c r="M536" i="2"/>
  <c r="K548" i="2"/>
  <c r="M548" i="2" s="1"/>
  <c r="K407" i="2"/>
  <c r="M407" i="2" s="1"/>
  <c r="M395" i="2"/>
  <c r="Q423" i="2"/>
  <c r="O437" i="2"/>
  <c r="Q437" i="2" s="1"/>
  <c r="O262" i="2"/>
  <c r="Q262" i="2" s="1"/>
  <c r="Q249" i="2"/>
  <c r="O261" i="2"/>
  <c r="Q261" i="2" s="1"/>
  <c r="Q248" i="2"/>
  <c r="O508" i="2"/>
  <c r="Q508" i="2" s="1"/>
  <c r="Q494" i="2"/>
  <c r="Q493" i="2"/>
  <c r="O507" i="2"/>
  <c r="Q507" i="2" s="1"/>
  <c r="O506" i="2"/>
  <c r="Q506" i="2" s="1"/>
  <c r="Q471" i="2" s="1"/>
  <c r="Q492" i="2"/>
  <c r="T28" i="3"/>
  <c r="R28" i="3"/>
  <c r="H28" i="3"/>
  <c r="T16" i="3"/>
  <c r="R16" i="3"/>
  <c r="H16" i="3"/>
  <c r="H14" i="3"/>
  <c r="R14" i="3"/>
  <c r="T14" i="3"/>
  <c r="T15" i="3"/>
  <c r="H15" i="3"/>
  <c r="R15" i="3"/>
  <c r="H32" i="3"/>
  <c r="R32" i="3"/>
  <c r="T32" i="3"/>
  <c r="F178" i="2"/>
  <c r="U239" i="2"/>
  <c r="M259" i="2"/>
  <c r="M377" i="2"/>
  <c r="M539" i="2"/>
  <c r="Q258" i="2"/>
  <c r="Q224" i="2" s="1"/>
  <c r="Q432" i="2"/>
  <c r="Q362" i="2" s="1"/>
  <c r="I258" i="2"/>
  <c r="I224" i="2" s="1"/>
  <c r="I376" i="2"/>
  <c r="U257" i="2"/>
  <c r="U396" i="2"/>
  <c r="U361" i="2" s="1"/>
  <c r="U375" i="2"/>
  <c r="M271" i="2"/>
  <c r="M237" i="2" s="1"/>
  <c r="I90" i="2"/>
  <c r="Q291" i="2"/>
  <c r="O303" i="2"/>
  <c r="Q303" i="2" s="1"/>
  <c r="O548" i="2"/>
  <c r="Q548" i="2" s="1"/>
  <c r="Q536" i="2"/>
  <c r="S263" i="2"/>
  <c r="U263" i="2" s="1"/>
  <c r="U250" i="2"/>
  <c r="S401" i="2"/>
  <c r="U401" i="2" s="1"/>
  <c r="U387" i="2"/>
  <c r="S261" i="2"/>
  <c r="U261" i="2" s="1"/>
  <c r="U248" i="2"/>
  <c r="S543" i="2"/>
  <c r="U543" i="2" s="1"/>
  <c r="U529" i="2"/>
  <c r="S507" i="2"/>
  <c r="U507" i="2" s="1"/>
  <c r="U493" i="2"/>
  <c r="U458" i="2" s="1"/>
  <c r="U527" i="2"/>
  <c r="S541" i="2"/>
  <c r="U541" i="2" s="1"/>
  <c r="M89" i="2"/>
  <c r="M99" i="2" s="1"/>
  <c r="M101" i="2" s="1"/>
  <c r="M146" i="2"/>
  <c r="M148" i="2" s="1"/>
  <c r="I91" i="2"/>
  <c r="Q96" i="2"/>
  <c r="U96" i="2"/>
  <c r="P17" i="3"/>
  <c r="N17" i="3"/>
  <c r="P12" i="3"/>
  <c r="N12" i="3"/>
  <c r="P32" i="3"/>
  <c r="N32" i="3"/>
  <c r="N26" i="3"/>
  <c r="P26" i="3"/>
  <c r="N19" i="3"/>
  <c r="P19" i="3"/>
  <c r="Q328" i="2"/>
  <c r="I239" i="2"/>
  <c r="U258" i="2"/>
  <c r="U224" i="2" s="1"/>
  <c r="U432" i="2"/>
  <c r="U362" i="2" s="1"/>
  <c r="M341" i="2"/>
  <c r="M238" i="2" s="1"/>
  <c r="M376" i="2"/>
  <c r="Q271" i="2"/>
  <c r="Q237" i="2" s="1"/>
  <c r="Q292" i="2"/>
  <c r="I375" i="2"/>
  <c r="Q163" i="2"/>
  <c r="F1073" i="2"/>
  <c r="C972" i="2"/>
  <c r="I1167" i="2"/>
  <c r="F759" i="2"/>
  <c r="O699" i="2"/>
  <c r="Q699" i="2" s="1"/>
  <c r="Q683" i="2"/>
  <c r="S809" i="2"/>
  <c r="U809" i="2" s="1"/>
  <c r="U790" i="2"/>
  <c r="Q688" i="2"/>
  <c r="O703" i="2"/>
  <c r="Q703" i="2" s="1"/>
  <c r="C195" i="2"/>
  <c r="C201" i="2" s="1"/>
  <c r="C238" i="2"/>
  <c r="K442" i="2"/>
  <c r="M442" i="2" s="1"/>
  <c r="M430" i="2"/>
  <c r="Q284" i="2"/>
  <c r="O297" i="2"/>
  <c r="Q297" i="2" s="1"/>
  <c r="Q228" i="2" s="1"/>
  <c r="Q317" i="2"/>
  <c r="O330" i="2"/>
  <c r="Q330" i="2" s="1"/>
  <c r="R12" i="3"/>
  <c r="H12" i="3"/>
  <c r="T12" i="3"/>
  <c r="U249" i="2"/>
  <c r="S262" i="2"/>
  <c r="U262" i="2" s="1"/>
  <c r="P14" i="3"/>
  <c r="N14" i="3"/>
  <c r="N22" i="3"/>
  <c r="P22" i="3"/>
  <c r="I1082" i="2"/>
  <c r="Q1057" i="2"/>
  <c r="M1202" i="2"/>
  <c r="Q1202" i="2"/>
  <c r="Q1171" i="2" s="1"/>
  <c r="U1202" i="2"/>
  <c r="M1158" i="2"/>
  <c r="C924" i="2"/>
  <c r="C905" i="2" s="1"/>
  <c r="M1027" i="2"/>
  <c r="M1063" i="2" s="1"/>
  <c r="F925" i="2"/>
  <c r="F906" i="2" s="1"/>
  <c r="Q964" i="2"/>
  <c r="Q1058" i="2" s="1"/>
  <c r="O885" i="2"/>
  <c r="O859" i="2"/>
  <c r="Q859" i="2" s="1"/>
  <c r="Q839" i="2"/>
  <c r="Q840" i="2"/>
  <c r="O860" i="2"/>
  <c r="Q860" i="2" s="1"/>
  <c r="M695" i="2"/>
  <c r="K708" i="2"/>
  <c r="M708" i="2" s="1"/>
  <c r="Q779" i="2"/>
  <c r="O802" i="2"/>
  <c r="Q802" i="2" s="1"/>
  <c r="M847" i="2"/>
  <c r="K867" i="2"/>
  <c r="M867" i="2" s="1"/>
  <c r="Q829" i="2"/>
  <c r="O853" i="2"/>
  <c r="Q853" i="2" s="1"/>
  <c r="I697" i="2"/>
  <c r="I617" i="2" s="1"/>
  <c r="G712" i="2"/>
  <c r="I712" i="2" s="1"/>
  <c r="I634" i="2" s="1"/>
  <c r="S702" i="2"/>
  <c r="U702" i="2" s="1"/>
  <c r="U687" i="2"/>
  <c r="G673" i="2"/>
  <c r="I673" i="2" s="1"/>
  <c r="I633" i="2" s="1"/>
  <c r="I658" i="2"/>
  <c r="I616" i="2" s="1"/>
  <c r="S661" i="2"/>
  <c r="U661" i="2" s="1"/>
  <c r="U645" i="2"/>
  <c r="O852" i="2"/>
  <c r="Q852" i="2" s="1"/>
  <c r="Q828" i="2"/>
  <c r="Q652" i="2"/>
  <c r="O666" i="2"/>
  <c r="Q666" i="2" s="1"/>
  <c r="O653" i="2"/>
  <c r="S859" i="2"/>
  <c r="U859" i="2" s="1"/>
  <c r="U839" i="2"/>
  <c r="S793" i="2"/>
  <c r="S805" i="2"/>
  <c r="U805" i="2" s="1"/>
  <c r="U786" i="2"/>
  <c r="O665" i="2"/>
  <c r="Q665" i="2" s="1"/>
  <c r="Q650" i="2"/>
  <c r="F554" i="2"/>
  <c r="C415" i="2"/>
  <c r="C378" i="2"/>
  <c r="F195" i="2"/>
  <c r="S268" i="2"/>
  <c r="U268" i="2" s="1"/>
  <c r="U256" i="2"/>
  <c r="S513" i="2"/>
  <c r="U513" i="2" s="1"/>
  <c r="U478" i="2" s="1"/>
  <c r="U501" i="2"/>
  <c r="U466" i="2" s="1"/>
  <c r="M325" i="2"/>
  <c r="K337" i="2"/>
  <c r="M337" i="2" s="1"/>
  <c r="K303" i="2"/>
  <c r="M303" i="2" s="1"/>
  <c r="M291" i="2"/>
  <c r="M222" i="2" s="1"/>
  <c r="O332" i="2"/>
  <c r="Q332" i="2" s="1"/>
  <c r="Q319" i="2"/>
  <c r="O331" i="2"/>
  <c r="Q331" i="2" s="1"/>
  <c r="Q318" i="2"/>
  <c r="Q422" i="2"/>
  <c r="O436" i="2"/>
  <c r="Q436" i="2" s="1"/>
  <c r="O296" i="2"/>
  <c r="Q296" i="2" s="1"/>
  <c r="Q227" i="2" s="1"/>
  <c r="Q283" i="2"/>
  <c r="O542" i="2"/>
  <c r="Q542" i="2" s="1"/>
  <c r="Q528" i="2"/>
  <c r="R23" i="3"/>
  <c r="H23" i="3"/>
  <c r="T23" i="3"/>
  <c r="T19" i="3"/>
  <c r="R19" i="3"/>
  <c r="H19" i="3"/>
  <c r="H17" i="3"/>
  <c r="R17" i="3"/>
  <c r="T17" i="3"/>
  <c r="T22" i="3"/>
  <c r="H22" i="3"/>
  <c r="R22" i="3"/>
  <c r="T33" i="3"/>
  <c r="H33" i="3"/>
  <c r="R33" i="3"/>
  <c r="U539" i="2"/>
  <c r="U469" i="2" s="1"/>
  <c r="M328" i="2"/>
  <c r="M469" i="2"/>
  <c r="Q272" i="2"/>
  <c r="I272" i="2"/>
  <c r="I238" i="2" s="1"/>
  <c r="I503" i="2"/>
  <c r="I468" i="2" s="1"/>
  <c r="U292" i="2"/>
  <c r="U271" i="2"/>
  <c r="U237" i="2" s="1"/>
  <c r="U467" i="2"/>
  <c r="M292" i="2"/>
  <c r="M223" i="2" s="1"/>
  <c r="M236" i="2"/>
  <c r="M480" i="2"/>
  <c r="O268" i="2"/>
  <c r="Q268" i="2" s="1"/>
  <c r="Q256" i="2"/>
  <c r="O337" i="2"/>
  <c r="Q337" i="2" s="1"/>
  <c r="Q325" i="2"/>
  <c r="S402" i="2"/>
  <c r="U402" i="2" s="1"/>
  <c r="U388" i="2"/>
  <c r="U353" i="2" s="1"/>
  <c r="S298" i="2"/>
  <c r="U298" i="2" s="1"/>
  <c r="U285" i="2"/>
  <c r="U216" i="2" s="1"/>
  <c r="S297" i="2"/>
  <c r="U297" i="2" s="1"/>
  <c r="U284" i="2"/>
  <c r="U215" i="2" s="1"/>
  <c r="U422" i="2"/>
  <c r="S436" i="2"/>
  <c r="U436" i="2" s="1"/>
  <c r="U421" i="2"/>
  <c r="S435" i="2"/>
  <c r="U435" i="2" s="1"/>
  <c r="P21" i="3"/>
  <c r="N21" i="3"/>
  <c r="P20" i="3"/>
  <c r="N20" i="3"/>
  <c r="N10" i="3"/>
  <c r="P10" i="3"/>
  <c r="N27" i="3"/>
  <c r="P27" i="3"/>
  <c r="Q539" i="2"/>
  <c r="Q469" i="2" s="1"/>
  <c r="I539" i="2"/>
  <c r="I469" i="2" s="1"/>
  <c r="U272" i="2"/>
  <c r="U238" i="2" s="1"/>
  <c r="U376" i="2"/>
  <c r="M503" i="2"/>
  <c r="M468" i="2" s="1"/>
  <c r="I467" i="2"/>
  <c r="C99" i="2"/>
  <c r="C101" i="2" s="1"/>
  <c r="C118" i="2"/>
  <c r="Q373" i="2"/>
  <c r="U145" i="2"/>
  <c r="S160" i="2"/>
  <c r="U160" i="2" s="1"/>
  <c r="U144" i="2"/>
  <c r="S159" i="2"/>
  <c r="U159" i="2" s="1"/>
  <c r="Q62" i="2"/>
  <c r="I62" i="2"/>
  <c r="I23" i="2" s="1"/>
  <c r="S80" i="2"/>
  <c r="U80" i="2" s="1"/>
  <c r="S44" i="2"/>
  <c r="U44" i="2" s="1"/>
  <c r="S62" i="2"/>
  <c r="U62" i="2" s="1"/>
  <c r="U479" i="2" l="1"/>
  <c r="F378" i="2"/>
  <c r="Q223" i="2"/>
  <c r="Q459" i="2"/>
  <c r="I223" i="2"/>
  <c r="U473" i="2"/>
  <c r="Q360" i="2"/>
  <c r="Q353" i="2"/>
  <c r="M466" i="2"/>
  <c r="U360" i="2"/>
  <c r="Q1203" i="2"/>
  <c r="F99" i="2"/>
  <c r="F101" i="2" s="1"/>
  <c r="S38" i="1"/>
  <c r="U352" i="2"/>
  <c r="I748" i="2"/>
  <c r="Q238" i="2"/>
  <c r="Q473" i="2"/>
  <c r="M372" i="2"/>
  <c r="U234" i="2"/>
  <c r="U235" i="2"/>
  <c r="U225" i="2"/>
  <c r="I1203" i="2"/>
  <c r="Q214" i="2"/>
  <c r="U1171" i="2"/>
  <c r="U1172" i="2" s="1"/>
  <c r="U1203" i="2"/>
  <c r="F484" i="2"/>
  <c r="F521" i="2"/>
  <c r="X1141" i="2"/>
  <c r="S37" i="1"/>
  <c r="I145" i="2"/>
  <c r="I96" i="2" s="1"/>
  <c r="G160" i="2"/>
  <c r="I160" i="2" s="1"/>
  <c r="Q466" i="2"/>
  <c r="Q308" i="2"/>
  <c r="Q239" i="2" s="1"/>
  <c r="U229" i="2"/>
  <c r="U472" i="2"/>
  <c r="Q222" i="2"/>
  <c r="I184" i="2"/>
  <c r="Q457" i="2"/>
  <c r="M360" i="2"/>
  <c r="U222" i="2"/>
  <c r="I199" i="2"/>
  <c r="Q174" i="2"/>
  <c r="U174" i="2"/>
  <c r="C176" i="2"/>
  <c r="O705" i="2"/>
  <c r="Q705" i="2" s="1"/>
  <c r="Q691" i="2"/>
  <c r="U214" i="2"/>
  <c r="M185" i="2"/>
  <c r="Q185" i="2"/>
  <c r="U1213" i="2"/>
  <c r="I1213" i="2"/>
  <c r="I1214" i="2" s="1"/>
  <c r="I1216" i="2" s="1"/>
  <c r="Q225" i="2"/>
  <c r="U457" i="2"/>
  <c r="F240" i="2"/>
  <c r="F311" i="2"/>
  <c r="Q366" i="2"/>
  <c r="Q216" i="2"/>
  <c r="U691" i="2"/>
  <c r="S705" i="2"/>
  <c r="U705" i="2" s="1"/>
  <c r="Q793" i="2"/>
  <c r="O812" i="2"/>
  <c r="Q812" i="2" s="1"/>
  <c r="C931" i="2"/>
  <c r="I949" i="2"/>
  <c r="I931" i="2" s="1"/>
  <c r="U351" i="2"/>
  <c r="Q478" i="2"/>
  <c r="Q1172" i="2"/>
  <c r="I1029" i="2"/>
  <c r="F1030" i="2"/>
  <c r="M225" i="2"/>
  <c r="Q351" i="2"/>
  <c r="U228" i="2"/>
  <c r="U367" i="2"/>
  <c r="M234" i="2"/>
  <c r="S812" i="2"/>
  <c r="U812" i="2" s="1"/>
  <c r="U793" i="2"/>
  <c r="Q215" i="2"/>
  <c r="U366" i="2"/>
  <c r="U223" i="2"/>
  <c r="Q472" i="2"/>
  <c r="C203" i="2"/>
  <c r="I144" i="2"/>
  <c r="G159" i="2"/>
  <c r="I159" i="2" s="1"/>
  <c r="C1169" i="2"/>
  <c r="U373" i="2"/>
  <c r="U459" i="2"/>
  <c r="Q372" i="2"/>
  <c r="Q365" i="2"/>
  <c r="Q367" i="2"/>
  <c r="M478" i="2"/>
  <c r="U372" i="2"/>
  <c r="U1082" i="2"/>
  <c r="Q184" i="2"/>
  <c r="M184" i="2"/>
  <c r="U792" i="2"/>
  <c r="S811" i="2"/>
  <c r="U811" i="2" s="1"/>
  <c r="I723" i="2"/>
  <c r="E11" i="10"/>
  <c r="D11" i="10"/>
  <c r="O864" i="2"/>
  <c r="Q864" i="2" s="1"/>
  <c r="Q844" i="2"/>
  <c r="I183" i="2"/>
  <c r="F767" i="2"/>
  <c r="F1083" i="2"/>
  <c r="U365" i="2"/>
  <c r="Q653" i="2"/>
  <c r="O667" i="2"/>
  <c r="Q667" i="2" s="1"/>
  <c r="M1171" i="2"/>
  <c r="M1172" i="2" s="1"/>
  <c r="M1203" i="2"/>
  <c r="Q234" i="2"/>
  <c r="Q458" i="2"/>
  <c r="S863" i="2"/>
  <c r="U863" i="2" s="1"/>
  <c r="U843" i="2"/>
  <c r="F932" i="2"/>
  <c r="F913" i="2" s="1"/>
  <c r="C1030" i="2"/>
  <c r="U227" i="2"/>
  <c r="B25" i="1"/>
  <c r="U471" i="2"/>
  <c r="Q352" i="2"/>
  <c r="Q229" i="2"/>
  <c r="S864" i="2"/>
  <c r="U864" i="2" s="1"/>
  <c r="U844" i="2"/>
  <c r="I225" i="2"/>
  <c r="S667" i="2"/>
  <c r="U667" i="2" s="1"/>
  <c r="U653" i="2"/>
  <c r="I971" i="2"/>
  <c r="B26" i="1"/>
  <c r="I95" i="2" l="1"/>
  <c r="U1029" i="2"/>
  <c r="Q1029" i="2"/>
  <c r="M1029" i="2"/>
  <c r="U971" i="2"/>
  <c r="Q971" i="2"/>
  <c r="M971" i="2"/>
  <c r="M1169" i="2"/>
  <c r="M1284" i="2" s="1"/>
  <c r="Q1169" i="2"/>
  <c r="Q1284" i="2" s="1"/>
  <c r="I1169" i="2"/>
  <c r="U1169" i="2" s="1"/>
  <c r="F203" i="2"/>
  <c r="B27" i="1"/>
  <c r="U1205" i="2"/>
  <c r="U1206" i="2" s="1"/>
  <c r="I1170" i="2"/>
  <c r="I1172" i="2" s="1"/>
  <c r="X1172" i="2" l="1"/>
  <c r="S39" i="1"/>
  <c r="B28" i="1"/>
  <c r="B29" i="1"/>
  <c r="B30" i="1" l="1"/>
  <c r="B33" i="1"/>
  <c r="B36" i="1" s="1"/>
  <c r="B37" i="1" s="1"/>
  <c r="B38" i="1" l="1"/>
  <c r="B39" i="1" s="1"/>
  <c r="B40" i="1" s="1"/>
  <c r="B43" i="1" s="1"/>
  <c r="B45" i="1" s="1"/>
  <c r="I1279" i="2" l="1"/>
  <c r="M1279" i="2" s="1"/>
  <c r="N47" i="1" l="1"/>
  <c r="S47" i="1" s="1"/>
  <c r="C873" i="2" l="1"/>
  <c r="C1158" i="2"/>
  <c r="C1104" i="2"/>
  <c r="C1272" i="2"/>
  <c r="C1141" i="2"/>
  <c r="C1216" i="2"/>
  <c r="C897" i="2"/>
  <c r="C379" i="2" l="1"/>
  <c r="C380" i="2" s="1"/>
  <c r="C450" i="2"/>
  <c r="I1084" i="2"/>
  <c r="F989" i="2"/>
  <c r="F1047" i="2"/>
  <c r="F1085" i="2"/>
  <c r="F636" i="2"/>
  <c r="I714" i="2"/>
  <c r="F715" i="2"/>
  <c r="C1171" i="2"/>
  <c r="C1172" i="2" s="1"/>
  <c r="C1203" i="2"/>
  <c r="I872" i="2"/>
  <c r="F873" i="2"/>
  <c r="C715" i="2"/>
  <c r="C636" i="2"/>
  <c r="C637" i="2" s="1"/>
  <c r="I344" i="2"/>
  <c r="F241" i="2"/>
  <c r="F345" i="2"/>
  <c r="C768" i="2"/>
  <c r="C769" i="2" s="1"/>
  <c r="C820" i="2"/>
  <c r="I83" i="2"/>
  <c r="F26" i="2"/>
  <c r="F84" i="2"/>
  <c r="I555" i="2"/>
  <c r="F485" i="2"/>
  <c r="F556" i="2"/>
  <c r="C26" i="2"/>
  <c r="C27" i="2" s="1"/>
  <c r="C84" i="2"/>
  <c r="I896" i="2"/>
  <c r="F897" i="2"/>
  <c r="I449" i="2"/>
  <c r="F379" i="2"/>
  <c r="F450" i="2"/>
  <c r="C241" i="2"/>
  <c r="C345" i="2"/>
  <c r="I1103" i="2"/>
  <c r="F1104" i="2"/>
  <c r="C1085" i="2"/>
  <c r="C989" i="2"/>
  <c r="C1047" i="2"/>
  <c r="I819" i="2"/>
  <c r="F768" i="2"/>
  <c r="F769" i="2" s="1"/>
  <c r="F820" i="2"/>
  <c r="C485" i="2"/>
  <c r="C486" i="2" s="1"/>
  <c r="C556" i="2"/>
  <c r="I768" i="2" l="1"/>
  <c r="C1048" i="2"/>
  <c r="C1009" i="2"/>
  <c r="C1010" i="2" s="1"/>
  <c r="U1103" i="2"/>
  <c r="Q1103" i="2"/>
  <c r="M1103" i="2"/>
  <c r="I379" i="2"/>
  <c r="F380" i="2"/>
  <c r="I989" i="2"/>
  <c r="F990" i="2"/>
  <c r="F952" i="2"/>
  <c r="C990" i="2"/>
  <c r="C952" i="2"/>
  <c r="I636" i="2"/>
  <c r="F637" i="2"/>
  <c r="M1084" i="2"/>
  <c r="Q1084" i="2"/>
  <c r="U1084" i="2"/>
  <c r="C204" i="2"/>
  <c r="C205" i="2" s="1"/>
  <c r="C242" i="2"/>
  <c r="I26" i="2"/>
  <c r="F27" i="2"/>
  <c r="W40" i="1"/>
  <c r="X40" i="1"/>
  <c r="W37" i="1"/>
  <c r="X37" i="1"/>
  <c r="W38" i="1"/>
  <c r="X38" i="1"/>
  <c r="M896" i="2"/>
  <c r="Q896" i="2"/>
  <c r="U896" i="2"/>
  <c r="I485" i="2"/>
  <c r="F486" i="2"/>
  <c r="I241" i="2"/>
  <c r="F204" i="2"/>
  <c r="F242" i="2"/>
  <c r="I1047" i="2"/>
  <c r="F1009" i="2"/>
  <c r="F1048" i="2"/>
  <c r="J43" i="1"/>
  <c r="C953" i="2" l="1"/>
  <c r="C934" i="2" s="1"/>
  <c r="C933" i="2"/>
  <c r="C914" i="2" s="1"/>
  <c r="C915" i="2" s="1"/>
  <c r="C1277" i="2" s="1"/>
  <c r="C1280" i="2" s="1"/>
  <c r="M989" i="2"/>
  <c r="Q989" i="2"/>
  <c r="U989" i="2"/>
  <c r="W39" i="1"/>
  <c r="X39" i="1"/>
  <c r="I204" i="2"/>
  <c r="F205" i="2"/>
  <c r="I1009" i="2"/>
  <c r="F1010" i="2"/>
  <c r="M636" i="2"/>
  <c r="Q636" i="2"/>
  <c r="U636" i="2"/>
  <c r="I952" i="2"/>
  <c r="F933" i="2"/>
  <c r="F914" i="2" s="1"/>
  <c r="F915" i="2" s="1"/>
  <c r="F953" i="2"/>
  <c r="M1047" i="2"/>
  <c r="Q1047" i="2"/>
  <c r="U1047" i="2"/>
  <c r="U26" i="2"/>
  <c r="Q26" i="2"/>
  <c r="M26" i="2"/>
  <c r="L43" i="1"/>
  <c r="F934" i="2" l="1"/>
  <c r="F1277" i="2"/>
  <c r="F1280" i="2" s="1"/>
  <c r="U83" i="2"/>
  <c r="U65" i="2"/>
  <c r="U47" i="2"/>
  <c r="U676" i="2"/>
  <c r="U714" i="2"/>
  <c r="Q714" i="2"/>
  <c r="Q676" i="2"/>
  <c r="M1009" i="2"/>
  <c r="U1009" i="2"/>
  <c r="Q1009" i="2"/>
  <c r="M83" i="2"/>
  <c r="M47" i="2"/>
  <c r="M65" i="2"/>
  <c r="M714" i="2"/>
  <c r="M676" i="2"/>
  <c r="Q83" i="2"/>
  <c r="Q47" i="2"/>
  <c r="Q65" i="2"/>
  <c r="M952" i="2"/>
  <c r="I933" i="2"/>
  <c r="I914" i="2" s="1"/>
  <c r="Q952" i="2"/>
  <c r="U952" i="2"/>
  <c r="U933" i="2" s="1"/>
  <c r="U914" i="2" s="1"/>
  <c r="M204" i="2"/>
  <c r="U204" i="2"/>
  <c r="Q204" i="2"/>
  <c r="M933" i="2" l="1"/>
  <c r="M914" i="2" s="1"/>
  <c r="Q933" i="2"/>
  <c r="Q914" i="2" s="1"/>
  <c r="Q449" i="2"/>
  <c r="Q414" i="2"/>
  <c r="Q555" i="2"/>
  <c r="Q485" i="2"/>
  <c r="Q520" i="2"/>
  <c r="Q379" i="2"/>
  <c r="Q310" i="2"/>
  <c r="Q344" i="2"/>
  <c r="Q275" i="2"/>
  <c r="Q241" i="2"/>
  <c r="J33" i="1"/>
  <c r="J45" i="1" s="1"/>
  <c r="J49" i="1" s="1"/>
  <c r="U555" i="2"/>
  <c r="U520" i="2"/>
  <c r="U449" i="2"/>
  <c r="U414" i="2"/>
  <c r="U379" i="2"/>
  <c r="U310" i="2"/>
  <c r="U485" i="2"/>
  <c r="U241" i="2"/>
  <c r="U275" i="2"/>
  <c r="U344" i="2"/>
  <c r="L33" i="1"/>
  <c r="L45" i="1" s="1"/>
  <c r="L49" i="1" s="1"/>
  <c r="M555" i="2"/>
  <c r="M485" i="2"/>
  <c r="M449" i="2"/>
  <c r="M520" i="2"/>
  <c r="M344" i="2"/>
  <c r="M275" i="2"/>
  <c r="M414" i="2"/>
  <c r="M241" i="2"/>
  <c r="M379" i="2"/>
  <c r="M310" i="2"/>
  <c r="G25" i="9" l="1"/>
  <c r="X15" i="4"/>
  <c r="Y20" i="4"/>
  <c r="Y18" i="4"/>
  <c r="Y15" i="4"/>
  <c r="Y21" i="4"/>
  <c r="Y22" i="4" l="1"/>
  <c r="I14" i="4" s="1"/>
  <c r="I15" i="4"/>
  <c r="I22" i="4"/>
  <c r="G23" i="9"/>
  <c r="G24" i="9"/>
  <c r="G16" i="9"/>
  <c r="Y23" i="4"/>
  <c r="K422" i="2"/>
  <c r="K387" i="2"/>
  <c r="K318" i="2"/>
  <c r="K352" i="2"/>
  <c r="K366" i="2" s="1"/>
  <c r="K284" i="2"/>
  <c r="K249" i="2"/>
  <c r="K215" i="2"/>
  <c r="K228" i="2" s="1"/>
  <c r="K191" i="2"/>
  <c r="K423" i="2"/>
  <c r="K353" i="2"/>
  <c r="K367" i="2" s="1"/>
  <c r="K285" i="2"/>
  <c r="K250" i="2"/>
  <c r="K388" i="2"/>
  <c r="K319" i="2"/>
  <c r="K192" i="2"/>
  <c r="K216" i="2"/>
  <c r="K229" i="2" s="1"/>
  <c r="K978" i="2"/>
  <c r="M978" i="2" s="1"/>
  <c r="K960" i="2"/>
  <c r="G20" i="9"/>
  <c r="G19" i="9"/>
  <c r="G27" i="9"/>
  <c r="G33" i="6"/>
  <c r="G25" i="6"/>
  <c r="G19" i="6"/>
  <c r="G27" i="6"/>
  <c r="G23" i="6"/>
  <c r="G18" i="6"/>
  <c r="G31" i="6"/>
  <c r="G29" i="6"/>
  <c r="G28" i="6"/>
  <c r="G20" i="6"/>
  <c r="G24" i="6"/>
  <c r="G32" i="6"/>
  <c r="G31" i="4"/>
  <c r="G28" i="4"/>
  <c r="G16" i="4"/>
  <c r="G15" i="4"/>
  <c r="G14" i="4"/>
  <c r="G27" i="4"/>
  <c r="G23" i="4"/>
  <c r="G20" i="4"/>
  <c r="G32" i="4"/>
  <c r="G24" i="4"/>
  <c r="G22" i="4"/>
  <c r="G18" i="4"/>
  <c r="G26" i="4"/>
  <c r="G19" i="4"/>
  <c r="G30" i="4"/>
  <c r="K649" i="2"/>
  <c r="K687" i="2"/>
  <c r="K624" i="2"/>
  <c r="K839" i="2"/>
  <c r="K788" i="2"/>
  <c r="K755" i="2"/>
  <c r="G21" i="9"/>
  <c r="G17" i="9"/>
  <c r="G29" i="9"/>
  <c r="K386" i="2"/>
  <c r="K317" i="2"/>
  <c r="K421" i="2"/>
  <c r="K248" i="2"/>
  <c r="K283" i="2"/>
  <c r="K351" i="2"/>
  <c r="K365" i="2" s="1"/>
  <c r="K190" i="2"/>
  <c r="K214" i="2"/>
  <c r="K227" i="2" s="1"/>
  <c r="K838" i="2"/>
  <c r="K754" i="2"/>
  <c r="K787" i="2"/>
  <c r="K837" i="2"/>
  <c r="K786" i="2"/>
  <c r="K739" i="2"/>
  <c r="K760" i="2" s="1"/>
  <c r="K753" i="2"/>
  <c r="G15" i="9"/>
  <c r="G28" i="9"/>
  <c r="K581" i="2"/>
  <c r="I18" i="4" l="1"/>
  <c r="I19" i="4"/>
  <c r="I20" i="4"/>
  <c r="K458" i="2"/>
  <c r="K472" i="2" s="1"/>
  <c r="K493" i="2"/>
  <c r="K528" i="2"/>
  <c r="K683" i="2"/>
  <c r="K645" i="2"/>
  <c r="K621" i="2"/>
  <c r="K646" i="2"/>
  <c r="K622" i="2"/>
  <c r="K684" i="2"/>
  <c r="K964" i="2"/>
  <c r="K982" i="2"/>
  <c r="M982" i="2" s="1"/>
  <c r="K835" i="2"/>
  <c r="K751" i="2"/>
  <c r="K784" i="2"/>
  <c r="K738" i="2"/>
  <c r="K759" i="2" s="1"/>
  <c r="G28" i="7"/>
  <c r="K793" i="2"/>
  <c r="K805" i="2"/>
  <c r="M805" i="2" s="1"/>
  <c r="M786" i="2"/>
  <c r="K858" i="2"/>
  <c r="M858" i="2" s="1"/>
  <c r="M838" i="2"/>
  <c r="M283" i="2"/>
  <c r="K296" i="2"/>
  <c r="M296" i="2" s="1"/>
  <c r="K400" i="2"/>
  <c r="M400" i="2" s="1"/>
  <c r="M386" i="2"/>
  <c r="K702" i="2"/>
  <c r="M702" i="2" s="1"/>
  <c r="M687" i="2"/>
  <c r="M960" i="2"/>
  <c r="K881" i="2"/>
  <c r="I18" i="6"/>
  <c r="I25" i="6"/>
  <c r="I19" i="6"/>
  <c r="I20" i="6"/>
  <c r="I23" i="6"/>
  <c r="I24" i="6"/>
  <c r="K263" i="2"/>
  <c r="M263" i="2" s="1"/>
  <c r="M250" i="2"/>
  <c r="I24" i="4"/>
  <c r="I23" i="4"/>
  <c r="K527" i="2"/>
  <c r="K457" i="2"/>
  <c r="K471" i="2" s="1"/>
  <c r="K492" i="2"/>
  <c r="K688" i="2"/>
  <c r="K625" i="2"/>
  <c r="K650" i="2"/>
  <c r="K981" i="2"/>
  <c r="M981" i="2" s="1"/>
  <c r="K963" i="2"/>
  <c r="M837" i="2"/>
  <c r="K844" i="2"/>
  <c r="K857" i="2"/>
  <c r="M857" i="2" s="1"/>
  <c r="K261" i="2"/>
  <c r="M261" i="2" s="1"/>
  <c r="M248" i="2"/>
  <c r="K807" i="2"/>
  <c r="M807" i="2" s="1"/>
  <c r="M788" i="2"/>
  <c r="M649" i="2"/>
  <c r="K664" i="2"/>
  <c r="M664" i="2" s="1"/>
  <c r="K298" i="2"/>
  <c r="M298" i="2" s="1"/>
  <c r="M285" i="2"/>
  <c r="M318" i="2"/>
  <c r="K331" i="2"/>
  <c r="M331" i="2" s="1"/>
  <c r="I32" i="4"/>
  <c r="I16" i="4"/>
  <c r="I26" i="4"/>
  <c r="I27" i="4"/>
  <c r="K494" i="2"/>
  <c r="K459" i="2"/>
  <c r="K473" i="2" s="1"/>
  <c r="K529" i="2"/>
  <c r="M787" i="2"/>
  <c r="K806" i="2"/>
  <c r="M806" i="2" s="1"/>
  <c r="M421" i="2"/>
  <c r="K435" i="2"/>
  <c r="M435" i="2" s="1"/>
  <c r="K859" i="2"/>
  <c r="M859" i="2" s="1"/>
  <c r="M839" i="2"/>
  <c r="M319" i="2"/>
  <c r="K332" i="2"/>
  <c r="M332" i="2" s="1"/>
  <c r="M249" i="2"/>
  <c r="K262" i="2"/>
  <c r="M262" i="2" s="1"/>
  <c r="K401" i="2"/>
  <c r="M401" i="2" s="1"/>
  <c r="M387" i="2"/>
  <c r="I28" i="4"/>
  <c r="I30" i="4"/>
  <c r="K647" i="2"/>
  <c r="K623" i="2"/>
  <c r="K685" i="2"/>
  <c r="K979" i="2"/>
  <c r="M979" i="2" s="1"/>
  <c r="K961" i="2"/>
  <c r="K829" i="2"/>
  <c r="K749" i="2"/>
  <c r="K750" i="2"/>
  <c r="K830" i="2"/>
  <c r="K330" i="2"/>
  <c r="M330" i="2" s="1"/>
  <c r="M317" i="2"/>
  <c r="K402" i="2"/>
  <c r="M402" i="2" s="1"/>
  <c r="M388" i="2"/>
  <c r="M423" i="2"/>
  <c r="K437" i="2"/>
  <c r="M437" i="2" s="1"/>
  <c r="K297" i="2"/>
  <c r="M284" i="2"/>
  <c r="K436" i="2"/>
  <c r="M436" i="2" s="1"/>
  <c r="M422" i="2"/>
  <c r="I31" i="4"/>
  <c r="K579" i="2"/>
  <c r="K578" i="2"/>
  <c r="K582" i="2"/>
  <c r="K580" i="2"/>
  <c r="M215" i="2" l="1"/>
  <c r="K701" i="2"/>
  <c r="M701" i="2" s="1"/>
  <c r="M685" i="2"/>
  <c r="K864" i="2"/>
  <c r="M864" i="2" s="1"/>
  <c r="M844" i="2"/>
  <c r="M963" i="2"/>
  <c r="K884" i="2"/>
  <c r="K703" i="2"/>
  <c r="M703" i="2" s="1"/>
  <c r="M688" i="2"/>
  <c r="M227" i="2"/>
  <c r="K855" i="2"/>
  <c r="M855" i="2" s="1"/>
  <c r="M835" i="2"/>
  <c r="K843" i="2"/>
  <c r="M964" i="2"/>
  <c r="K885" i="2"/>
  <c r="K507" i="2"/>
  <c r="M507" i="2" s="1"/>
  <c r="M493" i="2"/>
  <c r="K853" i="2"/>
  <c r="M853" i="2" s="1"/>
  <c r="M829" i="2"/>
  <c r="M352" i="2"/>
  <c r="K543" i="2"/>
  <c r="M543" i="2" s="1"/>
  <c r="M529" i="2"/>
  <c r="M492" i="2"/>
  <c r="K506" i="2"/>
  <c r="M506" i="2" s="1"/>
  <c r="M214" i="2"/>
  <c r="I29" i="6"/>
  <c r="I28" i="6"/>
  <c r="I27" i="6"/>
  <c r="I33" i="6"/>
  <c r="I31" i="6"/>
  <c r="I32" i="6"/>
  <c r="M684" i="2"/>
  <c r="K700" i="2"/>
  <c r="M700" i="2" s="1"/>
  <c r="K661" i="2"/>
  <c r="M661" i="2" s="1"/>
  <c r="M645" i="2"/>
  <c r="G27" i="7"/>
  <c r="G25" i="7"/>
  <c r="M353" i="2"/>
  <c r="M830" i="2"/>
  <c r="K854" i="2"/>
  <c r="M854" i="2" s="1"/>
  <c r="K882" i="2"/>
  <c r="M961" i="2"/>
  <c r="M647" i="2"/>
  <c r="K663" i="2"/>
  <c r="M663" i="2" s="1"/>
  <c r="M366" i="2"/>
  <c r="M216" i="2"/>
  <c r="M650" i="2"/>
  <c r="K665" i="2"/>
  <c r="M665" i="2" s="1"/>
  <c r="M351" i="2"/>
  <c r="K812" i="2"/>
  <c r="M812" i="2" s="1"/>
  <c r="M793" i="2"/>
  <c r="K803" i="2"/>
  <c r="M803" i="2" s="1"/>
  <c r="M784" i="2"/>
  <c r="K792" i="2"/>
  <c r="M683" i="2"/>
  <c r="K699" i="2"/>
  <c r="M699" i="2" s="1"/>
  <c r="G24" i="7"/>
  <c r="G29" i="7"/>
  <c r="G17" i="7"/>
  <c r="M297" i="2"/>
  <c r="M228" i="2" s="1"/>
  <c r="M308" i="2"/>
  <c r="M239" i="2" s="1"/>
  <c r="M367" i="2"/>
  <c r="M494" i="2"/>
  <c r="M459" i="2" s="1"/>
  <c r="K508" i="2"/>
  <c r="M508" i="2" s="1"/>
  <c r="M473" i="2" s="1"/>
  <c r="M229" i="2"/>
  <c r="M527" i="2"/>
  <c r="K541" i="2"/>
  <c r="M541" i="2" s="1"/>
  <c r="M365" i="2"/>
  <c r="K662" i="2"/>
  <c r="M662" i="2" s="1"/>
  <c r="M646" i="2"/>
  <c r="M528" i="2"/>
  <c r="K542" i="2"/>
  <c r="M542" i="2" s="1"/>
  <c r="G23" i="7"/>
  <c r="G15" i="7"/>
  <c r="M482" i="2"/>
  <c r="M483" i="2"/>
  <c r="V14" i="6" l="1"/>
  <c r="G795" i="2"/>
  <c r="G744" i="2"/>
  <c r="X744" i="2" s="1"/>
  <c r="G846" i="2"/>
  <c r="X741" i="2"/>
  <c r="G762" i="2"/>
  <c r="G59" i="2"/>
  <c r="I59" i="2" s="1"/>
  <c r="G77" i="2"/>
  <c r="I77" i="2" s="1"/>
  <c r="G41" i="2"/>
  <c r="I41" i="2" s="1"/>
  <c r="G19" i="7"/>
  <c r="M457" i="2"/>
  <c r="G16" i="7"/>
  <c r="M481" i="2"/>
  <c r="G20" i="7"/>
  <c r="G645" i="2"/>
  <c r="G621" i="2"/>
  <c r="G683" i="2"/>
  <c r="X603" i="2"/>
  <c r="G21" i="7"/>
  <c r="M458" i="2"/>
  <c r="K863" i="2"/>
  <c r="M863" i="2" s="1"/>
  <c r="M843" i="2"/>
  <c r="R16" i="9"/>
  <c r="I1092" i="2"/>
  <c r="X1092" i="2"/>
  <c r="M792" i="2"/>
  <c r="K811" i="2"/>
  <c r="M811" i="2" s="1"/>
  <c r="M471" i="2"/>
  <c r="M472" i="2"/>
  <c r="W27" i="1"/>
  <c r="W1143" i="2"/>
  <c r="W1159" i="2"/>
  <c r="W1174" i="2"/>
  <c r="W1233" i="2"/>
  <c r="W1273" i="2"/>
  <c r="M926" i="2"/>
  <c r="M907" i="2" s="1"/>
  <c r="I20" i="2" l="1"/>
  <c r="G652" i="2"/>
  <c r="G690" i="2"/>
  <c r="G626" i="2"/>
  <c r="G611" i="2"/>
  <c r="X610" i="2"/>
  <c r="G78" i="2"/>
  <c r="I78" i="2" s="1"/>
  <c r="G42" i="2"/>
  <c r="I42" i="2" s="1"/>
  <c r="G60" i="2"/>
  <c r="I60" i="2" s="1"/>
  <c r="V20" i="6"/>
  <c r="K778" i="2"/>
  <c r="G829" i="2"/>
  <c r="G778" i="2"/>
  <c r="G749" i="2"/>
  <c r="X724" i="2"/>
  <c r="R18" i="9"/>
  <c r="X1098" i="2"/>
  <c r="G1101" i="2"/>
  <c r="X1101" i="2" s="1"/>
  <c r="I1098" i="2"/>
  <c r="I846" i="2"/>
  <c r="G866" i="2"/>
  <c r="I866" i="2" s="1"/>
  <c r="M923" i="2"/>
  <c r="M904" i="2" s="1"/>
  <c r="G847" i="2"/>
  <c r="G796" i="2"/>
  <c r="G763" i="2"/>
  <c r="X742" i="2"/>
  <c r="G111" i="2"/>
  <c r="X92" i="2"/>
  <c r="G94" i="2"/>
  <c r="X94" i="2" s="1"/>
  <c r="G156" i="2"/>
  <c r="G141" i="2"/>
  <c r="G126" i="2"/>
  <c r="G58" i="2"/>
  <c r="I58" i="2" s="1"/>
  <c r="G76" i="2"/>
  <c r="I76" i="2" s="1"/>
  <c r="G40" i="2"/>
  <c r="I40" i="2" s="1"/>
  <c r="G837" i="2"/>
  <c r="G786" i="2"/>
  <c r="G753" i="2"/>
  <c r="X732" i="2"/>
  <c r="G739" i="2"/>
  <c r="G760" i="2" s="1"/>
  <c r="V17" i="6"/>
  <c r="G784" i="2"/>
  <c r="G738" i="2"/>
  <c r="G759" i="2" s="1"/>
  <c r="X730" i="2"/>
  <c r="G835" i="2"/>
  <c r="G751" i="2"/>
  <c r="R14" i="5"/>
  <c r="I645" i="2"/>
  <c r="G661" i="2"/>
  <c r="I661" i="2" s="1"/>
  <c r="Q29" i="1"/>
  <c r="K1036" i="2"/>
  <c r="M1036" i="2" s="1"/>
  <c r="K1018" i="2"/>
  <c r="M1018" i="2" s="1"/>
  <c r="K1039" i="2"/>
  <c r="M1039" i="2" s="1"/>
  <c r="M1076" i="2" s="1"/>
  <c r="K1021" i="2"/>
  <c r="M1021" i="2" s="1"/>
  <c r="M1057" i="2" s="1"/>
  <c r="K1022" i="2"/>
  <c r="M1022" i="2" s="1"/>
  <c r="M1058" i="2" s="1"/>
  <c r="K1040" i="2"/>
  <c r="M1040" i="2" s="1"/>
  <c r="M1077" i="2" s="1"/>
  <c r="N43" i="1"/>
  <c r="W36" i="1"/>
  <c r="V21" i="6"/>
  <c r="G830" i="2"/>
  <c r="K779" i="2"/>
  <c r="G779" i="2"/>
  <c r="X725" i="2"/>
  <c r="G750" i="2"/>
  <c r="G960" i="2"/>
  <c r="X940" i="2"/>
  <c r="G978" i="2"/>
  <c r="I978" i="2" s="1"/>
  <c r="I940" i="2"/>
  <c r="G74" i="2"/>
  <c r="I74" i="2" s="1"/>
  <c r="G38" i="2"/>
  <c r="I38" i="2" s="1"/>
  <c r="G56" i="2"/>
  <c r="I56" i="2" s="1"/>
  <c r="G73" i="2"/>
  <c r="I73" i="2" s="1"/>
  <c r="G37" i="2"/>
  <c r="I37" i="2" s="1"/>
  <c r="G55" i="2"/>
  <c r="I55" i="2" s="1"/>
  <c r="V18" i="6"/>
  <c r="G838" i="2"/>
  <c r="X733" i="2"/>
  <c r="G754" i="2"/>
  <c r="G787" i="2"/>
  <c r="V19" i="6"/>
  <c r="G839" i="2"/>
  <c r="G788" i="2"/>
  <c r="X734" i="2"/>
  <c r="G755" i="2"/>
  <c r="S16" i="9"/>
  <c r="X1095" i="2"/>
  <c r="I1095" i="2"/>
  <c r="I795" i="2"/>
  <c r="G814" i="2"/>
  <c r="I814" i="2" s="1"/>
  <c r="I762" i="2" s="1"/>
  <c r="K1037" i="2"/>
  <c r="M1037" i="2" s="1"/>
  <c r="M1074" i="2" s="1"/>
  <c r="K1019" i="2"/>
  <c r="M1019" i="2" s="1"/>
  <c r="M1055" i="2" s="1"/>
  <c r="G500" i="2"/>
  <c r="G465" i="2"/>
  <c r="G477" i="2" s="1"/>
  <c r="G535" i="2"/>
  <c r="G359" i="2"/>
  <c r="G371" i="2" s="1"/>
  <c r="G429" i="2"/>
  <c r="G290" i="2"/>
  <c r="G324" i="2"/>
  <c r="G255" i="2"/>
  <c r="G394" i="2"/>
  <c r="G221" i="2"/>
  <c r="G188" i="2"/>
  <c r="G196" i="2"/>
  <c r="X181" i="2"/>
  <c r="G54" i="2"/>
  <c r="I54" i="2" s="1"/>
  <c r="G72" i="2"/>
  <c r="I72" i="2" s="1"/>
  <c r="G36" i="2"/>
  <c r="I36" i="2" s="1"/>
  <c r="X1099" i="2"/>
  <c r="I1099" i="2"/>
  <c r="R17" i="9"/>
  <c r="U17" i="9" s="1"/>
  <c r="X1096" i="2"/>
  <c r="I1096" i="2"/>
  <c r="G699" i="2"/>
  <c r="I699" i="2" s="1"/>
  <c r="I683" i="2"/>
  <c r="K29" i="6"/>
  <c r="O29" i="6" s="1"/>
  <c r="K28" i="6"/>
  <c r="O28" i="6" s="1"/>
  <c r="K27" i="6"/>
  <c r="O27" i="6" s="1"/>
  <c r="K20" i="6"/>
  <c r="O20" i="6" s="1"/>
  <c r="K31" i="6"/>
  <c r="O31" i="6" s="1"/>
  <c r="K19" i="6"/>
  <c r="O19" i="6" s="1"/>
  <c r="K23" i="6"/>
  <c r="O23" i="6" s="1"/>
  <c r="K25" i="6"/>
  <c r="O25" i="6" s="1"/>
  <c r="K24" i="6"/>
  <c r="O24" i="6" s="1"/>
  <c r="K32" i="6"/>
  <c r="O32" i="6" s="1"/>
  <c r="K33" i="6"/>
  <c r="O33" i="6" s="1"/>
  <c r="K18" i="6"/>
  <c r="O18" i="6" s="1"/>
  <c r="I1102" i="2" l="1"/>
  <c r="I1104" i="2" s="1"/>
  <c r="S29" i="1" s="1"/>
  <c r="X29" i="1" s="1"/>
  <c r="I21" i="2"/>
  <c r="I82" i="2"/>
  <c r="I84" i="2" s="1"/>
  <c r="I64" i="2"/>
  <c r="I66" i="2" s="1"/>
  <c r="I741" i="2"/>
  <c r="Q36" i="1"/>
  <c r="P43" i="1"/>
  <c r="K841" i="2"/>
  <c r="K790" i="2"/>
  <c r="K757" i="2"/>
  <c r="X735" i="2"/>
  <c r="G756" i="2"/>
  <c r="G840" i="2"/>
  <c r="G789" i="2"/>
  <c r="G624" i="2"/>
  <c r="G687" i="2"/>
  <c r="G649" i="2"/>
  <c r="X607" i="2"/>
  <c r="G968" i="2"/>
  <c r="I948" i="2"/>
  <c r="W930" i="2"/>
  <c r="X930" i="2" s="1"/>
  <c r="G986" i="2"/>
  <c r="I986" i="2" s="1"/>
  <c r="X948" i="2"/>
  <c r="G1018" i="2"/>
  <c r="X997" i="2"/>
  <c r="G1036" i="2"/>
  <c r="I1036" i="2" s="1"/>
  <c r="I997" i="2"/>
  <c r="I922" i="2" s="1"/>
  <c r="I903" i="2" s="1"/>
  <c r="G1026" i="2"/>
  <c r="I1026" i="2" s="1"/>
  <c r="G1044" i="2"/>
  <c r="I1044" i="2" s="1"/>
  <c r="X1005" i="2"/>
  <c r="I1005" i="2"/>
  <c r="G533" i="2"/>
  <c r="G463" i="2"/>
  <c r="G475" i="2" s="1"/>
  <c r="G392" i="2"/>
  <c r="G498" i="2"/>
  <c r="G322" i="2"/>
  <c r="G288" i="2"/>
  <c r="G357" i="2"/>
  <c r="G369" i="2" s="1"/>
  <c r="G253" i="2"/>
  <c r="G219" i="2"/>
  <c r="G427" i="2"/>
  <c r="G194" i="2"/>
  <c r="G186" i="2"/>
  <c r="X179" i="2"/>
  <c r="G336" i="2"/>
  <c r="I336" i="2" s="1"/>
  <c r="I324" i="2"/>
  <c r="G547" i="2"/>
  <c r="I547" i="2" s="1"/>
  <c r="I535" i="2"/>
  <c r="I788" i="2"/>
  <c r="G807" i="2"/>
  <c r="I807" i="2" s="1"/>
  <c r="I17" i="2"/>
  <c r="I779" i="2"/>
  <c r="G802" i="2"/>
  <c r="I802" i="2" s="1"/>
  <c r="M1073" i="2"/>
  <c r="I603" i="2"/>
  <c r="G857" i="2"/>
  <c r="I857" i="2" s="1"/>
  <c r="G844" i="2"/>
  <c r="I837" i="2"/>
  <c r="G128" i="2"/>
  <c r="I128" i="2" s="1"/>
  <c r="I126" i="2"/>
  <c r="G815" i="2"/>
  <c r="I815" i="2" s="1"/>
  <c r="I796" i="2"/>
  <c r="R18" i="5"/>
  <c r="I652" i="2"/>
  <c r="G653" i="2"/>
  <c r="G666" i="2"/>
  <c r="I666" i="2" s="1"/>
  <c r="G841" i="2"/>
  <c r="G790" i="2"/>
  <c r="G757" i="2"/>
  <c r="X736" i="2"/>
  <c r="G388" i="2"/>
  <c r="G319" i="2"/>
  <c r="G423" i="2"/>
  <c r="G250" i="2"/>
  <c r="G285" i="2"/>
  <c r="G353" i="2"/>
  <c r="G367" i="2" s="1"/>
  <c r="G216" i="2"/>
  <c r="X175" i="2"/>
  <c r="G192" i="2"/>
  <c r="R16" i="5"/>
  <c r="G685" i="2"/>
  <c r="G647" i="2"/>
  <c r="G623" i="2"/>
  <c r="X605" i="2"/>
  <c r="G961" i="2"/>
  <c r="G979" i="2"/>
  <c r="I979" i="2" s="1"/>
  <c r="X941" i="2"/>
  <c r="I941" i="2"/>
  <c r="G127" i="2"/>
  <c r="I127" i="2" s="1"/>
  <c r="G112" i="2"/>
  <c r="I112" i="2" s="1"/>
  <c r="G157" i="2"/>
  <c r="I157" i="2" s="1"/>
  <c r="G142" i="2"/>
  <c r="I142" i="2" s="1"/>
  <c r="X93" i="2"/>
  <c r="G1021" i="2"/>
  <c r="G1039" i="2"/>
  <c r="I1039" i="2" s="1"/>
  <c r="X1000" i="2"/>
  <c r="I1000" i="2"/>
  <c r="G1025" i="2"/>
  <c r="G1043" i="2"/>
  <c r="I1043" i="2" s="1"/>
  <c r="X1004" i="2"/>
  <c r="G1007" i="2"/>
  <c r="X1007" i="2" s="1"/>
  <c r="I1004" i="2"/>
  <c r="G351" i="2"/>
  <c r="G365" i="2" s="1"/>
  <c r="G283" i="2"/>
  <c r="G248" i="2"/>
  <c r="G386" i="2"/>
  <c r="G421" i="2"/>
  <c r="G317" i="2"/>
  <c r="G214" i="2"/>
  <c r="G190" i="2"/>
  <c r="X173" i="2"/>
  <c r="AA23" i="4"/>
  <c r="AB23" i="4" s="1"/>
  <c r="G233" i="2"/>
  <c r="I290" i="2"/>
  <c r="G302" i="2"/>
  <c r="I302" i="2" s="1"/>
  <c r="G859" i="2"/>
  <c r="I859" i="2" s="1"/>
  <c r="I839" i="2"/>
  <c r="I16" i="2"/>
  <c r="Q15" i="7"/>
  <c r="W922" i="2"/>
  <c r="X922" i="2" s="1"/>
  <c r="I960" i="2"/>
  <c r="G881" i="2"/>
  <c r="I881" i="2" s="1"/>
  <c r="M779" i="2"/>
  <c r="K802" i="2"/>
  <c r="M802" i="2" s="1"/>
  <c r="I19" i="2"/>
  <c r="G143" i="2"/>
  <c r="I143" i="2" s="1"/>
  <c r="I141" i="2"/>
  <c r="I111" i="2"/>
  <c r="G115" i="2"/>
  <c r="I115" i="2" s="1"/>
  <c r="G867" i="2"/>
  <c r="I867" i="2" s="1"/>
  <c r="I847" i="2"/>
  <c r="G801" i="2"/>
  <c r="I801" i="2" s="1"/>
  <c r="I778" i="2"/>
  <c r="G627" i="2"/>
  <c r="X611" i="2"/>
  <c r="K840" i="2"/>
  <c r="K789" i="2"/>
  <c r="K756" i="2"/>
  <c r="M922" i="2"/>
  <c r="M903" i="2" s="1"/>
  <c r="U92" i="2"/>
  <c r="S156" i="2"/>
  <c r="S141" i="2"/>
  <c r="S126" i="2"/>
  <c r="S128" i="2" s="1"/>
  <c r="S111" i="2"/>
  <c r="S115" i="2" s="1"/>
  <c r="G684" i="2"/>
  <c r="X604" i="2"/>
  <c r="G646" i="2"/>
  <c r="G622" i="2"/>
  <c r="G650" i="2"/>
  <c r="G625" i="2"/>
  <c r="G688" i="2"/>
  <c r="X608" i="2"/>
  <c r="G963" i="2"/>
  <c r="I943" i="2"/>
  <c r="G981" i="2"/>
  <c r="I981" i="2" s="1"/>
  <c r="I988" i="2" s="1"/>
  <c r="I990" i="2" s="1"/>
  <c r="X943" i="2"/>
  <c r="G1019" i="2"/>
  <c r="G1037" i="2"/>
  <c r="I1037" i="2" s="1"/>
  <c r="X998" i="2"/>
  <c r="I998" i="2"/>
  <c r="G1041" i="2"/>
  <c r="I1041" i="2" s="1"/>
  <c r="G1023" i="2"/>
  <c r="X1002" i="2"/>
  <c r="I1002" i="2"/>
  <c r="G532" i="2"/>
  <c r="G497" i="2"/>
  <c r="G426" i="2"/>
  <c r="G462" i="2"/>
  <c r="G474" i="2" s="1"/>
  <c r="G321" i="2"/>
  <c r="G356" i="2"/>
  <c r="G368" i="2" s="1"/>
  <c r="G391" i="2"/>
  <c r="G252" i="2"/>
  <c r="G287" i="2"/>
  <c r="G218" i="2"/>
  <c r="X178" i="2"/>
  <c r="G193" i="2"/>
  <c r="G967" i="2"/>
  <c r="G950" i="2"/>
  <c r="X950" i="2" s="1"/>
  <c r="I947" i="2"/>
  <c r="X947" i="2"/>
  <c r="G985" i="2"/>
  <c r="I985" i="2" s="1"/>
  <c r="I394" i="2"/>
  <c r="G406" i="2"/>
  <c r="I406" i="2" s="1"/>
  <c r="I429" i="2"/>
  <c r="G441" i="2"/>
  <c r="I441" i="2" s="1"/>
  <c r="G512" i="2"/>
  <c r="I512" i="2" s="1"/>
  <c r="I500" i="2"/>
  <c r="I838" i="2"/>
  <c r="G858" i="2"/>
  <c r="I858" i="2" s="1"/>
  <c r="G854" i="2"/>
  <c r="I854" i="2" s="1"/>
  <c r="I830" i="2"/>
  <c r="W43" i="1"/>
  <c r="I784" i="2"/>
  <c r="G803" i="2"/>
  <c r="I803" i="2" s="1"/>
  <c r="G792" i="2"/>
  <c r="G158" i="2"/>
  <c r="I158" i="2" s="1"/>
  <c r="I156" i="2"/>
  <c r="I29" i="9"/>
  <c r="K29" i="9" s="1"/>
  <c r="I28" i="9"/>
  <c r="K28" i="9" s="1"/>
  <c r="I17" i="9"/>
  <c r="K17" i="9" s="1"/>
  <c r="I16" i="9"/>
  <c r="K16" i="9" s="1"/>
  <c r="U18" i="9"/>
  <c r="I25" i="9"/>
  <c r="K25" i="9" s="1"/>
  <c r="I15" i="9"/>
  <c r="K15" i="9" s="1"/>
  <c r="I23" i="9"/>
  <c r="K23" i="9" s="1"/>
  <c r="I24" i="9"/>
  <c r="K24" i="9" s="1"/>
  <c r="I20" i="9"/>
  <c r="K20" i="9" s="1"/>
  <c r="I21" i="9"/>
  <c r="K21" i="9" s="1"/>
  <c r="I27" i="9"/>
  <c r="K27" i="9" s="1"/>
  <c r="I19" i="9"/>
  <c r="K19" i="9" s="1"/>
  <c r="G853" i="2"/>
  <c r="I853" i="2" s="1"/>
  <c r="I829" i="2"/>
  <c r="W1277" i="2"/>
  <c r="G27" i="8"/>
  <c r="G28" i="8"/>
  <c r="G17" i="8"/>
  <c r="G25" i="8"/>
  <c r="G19" i="8"/>
  <c r="G24" i="8"/>
  <c r="G15" i="8"/>
  <c r="G29" i="8"/>
  <c r="G20" i="8"/>
  <c r="G23" i="8"/>
  <c r="G21" i="8"/>
  <c r="G16" i="8"/>
  <c r="G657" i="2"/>
  <c r="G695" i="2"/>
  <c r="X615" i="2"/>
  <c r="G630" i="2"/>
  <c r="G982" i="2"/>
  <c r="I982" i="2" s="1"/>
  <c r="I944" i="2"/>
  <c r="G964" i="2"/>
  <c r="X944" i="2"/>
  <c r="G536" i="2"/>
  <c r="G501" i="2"/>
  <c r="G430" i="2"/>
  <c r="G325" i="2"/>
  <c r="G360" i="2"/>
  <c r="G372" i="2" s="1"/>
  <c r="G395" i="2"/>
  <c r="G256" i="2"/>
  <c r="G466" i="2"/>
  <c r="G478" i="2" s="1"/>
  <c r="G291" i="2"/>
  <c r="G222" i="2"/>
  <c r="G234" i="2" s="1"/>
  <c r="X182" i="2"/>
  <c r="G197" i="2"/>
  <c r="G422" i="2"/>
  <c r="G352" i="2"/>
  <c r="G366" i="2" s="1"/>
  <c r="G284" i="2"/>
  <c r="G387" i="2"/>
  <c r="G318" i="2"/>
  <c r="G215" i="2"/>
  <c r="X174" i="2"/>
  <c r="G191" i="2"/>
  <c r="G249" i="2"/>
  <c r="G1040" i="2"/>
  <c r="I1040" i="2" s="1"/>
  <c r="I1077" i="2" s="1"/>
  <c r="X1001" i="2"/>
  <c r="G1022" i="2"/>
  <c r="I1001" i="2"/>
  <c r="G983" i="2"/>
  <c r="I983" i="2" s="1"/>
  <c r="I945" i="2"/>
  <c r="G965" i="2"/>
  <c r="X945" i="2"/>
  <c r="G464" i="2"/>
  <c r="G476" i="2" s="1"/>
  <c r="G428" i="2"/>
  <c r="G499" i="2"/>
  <c r="G289" i="2"/>
  <c r="G393" i="2"/>
  <c r="G254" i="2"/>
  <c r="G358" i="2"/>
  <c r="G370" i="2" s="1"/>
  <c r="G323" i="2"/>
  <c r="G534" i="2"/>
  <c r="G220" i="2"/>
  <c r="G195" i="2"/>
  <c r="G187" i="2"/>
  <c r="X180" i="2"/>
  <c r="I46" i="2"/>
  <c r="I15" i="2"/>
  <c r="G267" i="2"/>
  <c r="I267" i="2" s="1"/>
  <c r="I255" i="2"/>
  <c r="G806" i="2"/>
  <c r="I806" i="2" s="1"/>
  <c r="I754" i="2" s="1"/>
  <c r="I787" i="2"/>
  <c r="M29" i="6"/>
  <c r="Q29" i="6" s="1"/>
  <c r="M32" i="6"/>
  <c r="Q32" i="6" s="1"/>
  <c r="M28" i="6"/>
  <c r="Q28" i="6" s="1"/>
  <c r="M33" i="6"/>
  <c r="Q33" i="6" s="1"/>
  <c r="M31" i="6"/>
  <c r="Q31" i="6" s="1"/>
  <c r="M27" i="6"/>
  <c r="Q27" i="6" s="1"/>
  <c r="M1054" i="2"/>
  <c r="I621" i="2"/>
  <c r="G843" i="2"/>
  <c r="I835" i="2"/>
  <c r="G855" i="2"/>
  <c r="I855" i="2" s="1"/>
  <c r="M20" i="6"/>
  <c r="Q20" i="6" s="1"/>
  <c r="M19" i="6"/>
  <c r="Q19" i="6" s="1"/>
  <c r="M18" i="6"/>
  <c r="Q18" i="6" s="1"/>
  <c r="M23" i="6"/>
  <c r="Q23" i="6" s="1"/>
  <c r="M25" i="6"/>
  <c r="Q25" i="6" s="1"/>
  <c r="M24" i="6"/>
  <c r="Q24" i="6" s="1"/>
  <c r="G805" i="2"/>
  <c r="I805" i="2" s="1"/>
  <c r="G793" i="2"/>
  <c r="I786" i="2"/>
  <c r="K801" i="2"/>
  <c r="M801" i="2" s="1"/>
  <c r="M778" i="2"/>
  <c r="G704" i="2"/>
  <c r="I704" i="2" s="1"/>
  <c r="G691" i="2"/>
  <c r="I690" i="2"/>
  <c r="W1105" i="2"/>
  <c r="I571" i="2"/>
  <c r="U94" i="2"/>
  <c r="I465" i="2" l="1"/>
  <c r="I146" i="2"/>
  <c r="I148" i="2" s="1"/>
  <c r="I477" i="2"/>
  <c r="I93" i="2"/>
  <c r="I753" i="2"/>
  <c r="I927" i="2"/>
  <c r="I908" i="2" s="1"/>
  <c r="I1081" i="2"/>
  <c r="I732" i="2"/>
  <c r="I371" i="2"/>
  <c r="I929" i="2"/>
  <c r="I910" i="2" s="1"/>
  <c r="I733" i="2"/>
  <c r="I359" i="2"/>
  <c r="I1074" i="2"/>
  <c r="I925" i="2"/>
  <c r="I906" i="2" s="1"/>
  <c r="G528" i="2"/>
  <c r="G493" i="2"/>
  <c r="G458" i="2"/>
  <c r="G472" i="2" s="1"/>
  <c r="X170" i="2"/>
  <c r="G581" i="2"/>
  <c r="I581" i="2" s="1"/>
  <c r="I566" i="2"/>
  <c r="G812" i="2"/>
  <c r="I812" i="2" s="1"/>
  <c r="I793" i="2"/>
  <c r="G546" i="2"/>
  <c r="I546" i="2" s="1"/>
  <c r="I534" i="2"/>
  <c r="G405" i="2"/>
  <c r="I405" i="2" s="1"/>
  <c r="I393" i="2"/>
  <c r="AB14" i="4"/>
  <c r="AB15" i="4" s="1"/>
  <c r="G228" i="2"/>
  <c r="G407" i="2"/>
  <c r="I407" i="2" s="1"/>
  <c r="I395" i="2"/>
  <c r="I501" i="2"/>
  <c r="G513" i="2"/>
  <c r="I513" i="2" s="1"/>
  <c r="I926" i="2"/>
  <c r="I907" i="2" s="1"/>
  <c r="G708" i="2"/>
  <c r="I708" i="2" s="1"/>
  <c r="I695" i="2"/>
  <c r="G811" i="2"/>
  <c r="I811" i="2" s="1"/>
  <c r="I792" i="2"/>
  <c r="AA20" i="4"/>
  <c r="AB20" i="4" s="1"/>
  <c r="G230" i="2"/>
  <c r="I497" i="2"/>
  <c r="G509" i="2"/>
  <c r="I509" i="2" s="1"/>
  <c r="Q17" i="8"/>
  <c r="T17" i="8" s="1"/>
  <c r="I1023" i="2"/>
  <c r="U141" i="2"/>
  <c r="S143" i="2"/>
  <c r="U143" i="2" s="1"/>
  <c r="I749" i="2"/>
  <c r="I92" i="2"/>
  <c r="I116" i="2"/>
  <c r="I421" i="2"/>
  <c r="G435" i="2"/>
  <c r="I435" i="2" s="1"/>
  <c r="I1080" i="2"/>
  <c r="I1076" i="2"/>
  <c r="I285" i="2"/>
  <c r="G298" i="2"/>
  <c r="I298" i="2" s="1"/>
  <c r="G402" i="2"/>
  <c r="I402" i="2" s="1"/>
  <c r="I388" i="2"/>
  <c r="G861" i="2"/>
  <c r="I861" i="2" s="1"/>
  <c r="I841" i="2"/>
  <c r="I750" i="2"/>
  <c r="I734" i="2"/>
  <c r="G404" i="2"/>
  <c r="I404" i="2" s="1"/>
  <c r="I392" i="2"/>
  <c r="I1073" i="2"/>
  <c r="I1046" i="2"/>
  <c r="G808" i="2"/>
  <c r="I808" i="2" s="1"/>
  <c r="I789" i="2"/>
  <c r="K809" i="2"/>
  <c r="M809" i="2" s="1"/>
  <c r="M790" i="2"/>
  <c r="G579" i="2"/>
  <c r="I579" i="2" s="1"/>
  <c r="I563" i="2"/>
  <c r="I482" i="2" s="1"/>
  <c r="I201" i="2" s="1"/>
  <c r="G492" i="2"/>
  <c r="G457" i="2"/>
  <c r="G471" i="2" s="1"/>
  <c r="G527" i="2"/>
  <c r="X169" i="2"/>
  <c r="I323" i="2"/>
  <c r="G335" i="2"/>
  <c r="I335" i="2" s="1"/>
  <c r="G301" i="2"/>
  <c r="I301" i="2" s="1"/>
  <c r="I289" i="2"/>
  <c r="G262" i="2"/>
  <c r="I262" i="2" s="1"/>
  <c r="I249" i="2"/>
  <c r="G331" i="2"/>
  <c r="I331" i="2" s="1"/>
  <c r="I318" i="2"/>
  <c r="G436" i="2"/>
  <c r="I436" i="2" s="1"/>
  <c r="I422" i="2"/>
  <c r="I291" i="2"/>
  <c r="G303" i="2"/>
  <c r="I303" i="2" s="1"/>
  <c r="G548" i="2"/>
  <c r="I548" i="2" s="1"/>
  <c r="I536" i="2"/>
  <c r="I657" i="2"/>
  <c r="G670" i="2"/>
  <c r="I670" i="2" s="1"/>
  <c r="I630" i="2" s="1"/>
  <c r="I751" i="2"/>
  <c r="Q18" i="7"/>
  <c r="I967" i="2"/>
  <c r="G888" i="2"/>
  <c r="I287" i="2"/>
  <c r="G299" i="2"/>
  <c r="I299" i="2" s="1"/>
  <c r="G333" i="2"/>
  <c r="I333" i="2" s="1"/>
  <c r="I321" i="2"/>
  <c r="G544" i="2"/>
  <c r="I544" i="2" s="1"/>
  <c r="I532" i="2"/>
  <c r="I1078" i="2"/>
  <c r="Q16" i="8"/>
  <c r="I1019" i="2"/>
  <c r="R15" i="7"/>
  <c r="I963" i="2"/>
  <c r="W925" i="2"/>
  <c r="X925" i="2" s="1"/>
  <c r="G884" i="2"/>
  <c r="I884" i="2" s="1"/>
  <c r="S16" i="5"/>
  <c r="G665" i="2"/>
  <c r="I665" i="2" s="1"/>
  <c r="I650" i="2"/>
  <c r="G700" i="2"/>
  <c r="I700" i="2" s="1"/>
  <c r="I684" i="2"/>
  <c r="U156" i="2"/>
  <c r="S158" i="2"/>
  <c r="U158" i="2" s="1"/>
  <c r="G400" i="2"/>
  <c r="I400" i="2" s="1"/>
  <c r="I386" i="2"/>
  <c r="Q18" i="8"/>
  <c r="I1025" i="2"/>
  <c r="I1061" i="2" s="1"/>
  <c r="R15" i="8"/>
  <c r="I1021" i="2"/>
  <c r="G663" i="2"/>
  <c r="I663" i="2" s="1"/>
  <c r="I647" i="2"/>
  <c r="G263" i="2"/>
  <c r="I263" i="2" s="1"/>
  <c r="I250" i="2"/>
  <c r="I626" i="2"/>
  <c r="I742" i="2"/>
  <c r="I725" i="2"/>
  <c r="I427" i="2"/>
  <c r="G439" i="2"/>
  <c r="I439" i="2" s="1"/>
  <c r="G300" i="2"/>
  <c r="I300" i="2" s="1"/>
  <c r="I288" i="2"/>
  <c r="S15" i="5"/>
  <c r="G664" i="2"/>
  <c r="I664" i="2" s="1"/>
  <c r="I649" i="2"/>
  <c r="I840" i="2"/>
  <c r="G860" i="2"/>
  <c r="I860" i="2" s="1"/>
  <c r="M841" i="2"/>
  <c r="K861" i="2"/>
  <c r="M861" i="2" s="1"/>
  <c r="Q28" i="1"/>
  <c r="G529" i="2"/>
  <c r="G459" i="2"/>
  <c r="G473" i="2" s="1"/>
  <c r="G494" i="2"/>
  <c r="X171" i="2"/>
  <c r="I564" i="2"/>
  <c r="I483" i="2" s="1"/>
  <c r="I202" i="2" s="1"/>
  <c r="G580" i="2"/>
  <c r="I580" i="2" s="1"/>
  <c r="I843" i="2"/>
  <c r="G863" i="2"/>
  <c r="I863" i="2" s="1"/>
  <c r="I48" i="2"/>
  <c r="I25" i="2"/>
  <c r="I27" i="2" s="1"/>
  <c r="G511" i="2"/>
  <c r="I511" i="2" s="1"/>
  <c r="I499" i="2"/>
  <c r="Q17" i="7"/>
  <c r="T17" i="7" s="1"/>
  <c r="W927" i="2"/>
  <c r="X927" i="2" s="1"/>
  <c r="I965" i="2"/>
  <c r="G886" i="2"/>
  <c r="R16" i="8"/>
  <c r="I1022" i="2"/>
  <c r="I387" i="2"/>
  <c r="G401" i="2"/>
  <c r="I401" i="2" s="1"/>
  <c r="I366" i="2" s="1"/>
  <c r="G337" i="2"/>
  <c r="I337" i="2" s="1"/>
  <c r="I325" i="2"/>
  <c r="I161" i="2"/>
  <c r="I163" i="2" s="1"/>
  <c r="I730" i="2"/>
  <c r="G264" i="2"/>
  <c r="I264" i="2" s="1"/>
  <c r="I252" i="2"/>
  <c r="M789" i="2"/>
  <c r="K808" i="2"/>
  <c r="M808" i="2" s="1"/>
  <c r="I233" i="2"/>
  <c r="G628" i="2"/>
  <c r="G618" i="2"/>
  <c r="X618" i="2" s="1"/>
  <c r="G693" i="2"/>
  <c r="G655" i="2"/>
  <c r="X613" i="2"/>
  <c r="AA14" i="4"/>
  <c r="AA15" i="4" s="1"/>
  <c r="G227" i="2"/>
  <c r="I248" i="2"/>
  <c r="G261" i="2"/>
  <c r="I261" i="2" s="1"/>
  <c r="Q16" i="7"/>
  <c r="I961" i="2"/>
  <c r="W923" i="2"/>
  <c r="X923" i="2" s="1"/>
  <c r="G882" i="2"/>
  <c r="I882" i="2" s="1"/>
  <c r="I685" i="2"/>
  <c r="G701" i="2"/>
  <c r="I701" i="2" s="1"/>
  <c r="AA18" i="4"/>
  <c r="AB18" i="4" s="1"/>
  <c r="G229" i="2"/>
  <c r="I423" i="2"/>
  <c r="G437" i="2"/>
  <c r="I437" i="2" s="1"/>
  <c r="I653" i="2"/>
  <c r="I611" i="2" s="1"/>
  <c r="G667" i="2"/>
  <c r="I667" i="2" s="1"/>
  <c r="I763" i="2"/>
  <c r="G864" i="2"/>
  <c r="I864" i="2" s="1"/>
  <c r="I844" i="2"/>
  <c r="AA21" i="4"/>
  <c r="AB21" i="4" s="1"/>
  <c r="G231" i="2"/>
  <c r="I322" i="2"/>
  <c r="G334" i="2"/>
  <c r="I334" i="2" s="1"/>
  <c r="I533" i="2"/>
  <c r="G545" i="2"/>
  <c r="I545" i="2" s="1"/>
  <c r="Q15" i="8"/>
  <c r="I1018" i="2"/>
  <c r="I930" i="2"/>
  <c r="I911" i="2" s="1"/>
  <c r="I687" i="2"/>
  <c r="G702" i="2"/>
  <c r="I702" i="2" s="1"/>
  <c r="Q43" i="1"/>
  <c r="S127" i="2"/>
  <c r="S157" i="2"/>
  <c r="U157" i="2" s="1"/>
  <c r="S142" i="2"/>
  <c r="U142" i="2" s="1"/>
  <c r="S112" i="2"/>
  <c r="U93" i="2"/>
  <c r="U90" i="2" s="1"/>
  <c r="U99" i="2" s="1"/>
  <c r="U101" i="2" s="1"/>
  <c r="G583" i="2"/>
  <c r="I569" i="2"/>
  <c r="G582" i="2"/>
  <c r="I582" i="2" s="1"/>
  <c r="I567" i="2"/>
  <c r="G586" i="2"/>
  <c r="I586" i="2" s="1"/>
  <c r="I573" i="2"/>
  <c r="I562" i="2"/>
  <c r="G578" i="2"/>
  <c r="I578" i="2" s="1"/>
  <c r="G705" i="2"/>
  <c r="I705" i="2" s="1"/>
  <c r="I691" i="2"/>
  <c r="AA22" i="4"/>
  <c r="AB22" i="4" s="1"/>
  <c r="G232" i="2"/>
  <c r="G266" i="2"/>
  <c r="I266" i="2" s="1"/>
  <c r="I254" i="2"/>
  <c r="G440" i="2"/>
  <c r="I440" i="2" s="1"/>
  <c r="I428" i="2"/>
  <c r="I284" i="2"/>
  <c r="G297" i="2"/>
  <c r="I297" i="2" s="1"/>
  <c r="I228" i="2" s="1"/>
  <c r="G268" i="2"/>
  <c r="I268" i="2" s="1"/>
  <c r="I256" i="2"/>
  <c r="I430" i="2"/>
  <c r="G442" i="2"/>
  <c r="I442" i="2" s="1"/>
  <c r="R16" i="7"/>
  <c r="I964" i="2"/>
  <c r="W926" i="2"/>
  <c r="X926" i="2" s="1"/>
  <c r="G885" i="2"/>
  <c r="I885" i="2" s="1"/>
  <c r="I951" i="2"/>
  <c r="G403" i="2"/>
  <c r="I403" i="2" s="1"/>
  <c r="I391" i="2"/>
  <c r="I426" i="2"/>
  <c r="G438" i="2"/>
  <c r="I438" i="2" s="1"/>
  <c r="I688" i="2"/>
  <c r="G703" i="2"/>
  <c r="I703" i="2" s="1"/>
  <c r="R15" i="5"/>
  <c r="I646" i="2"/>
  <c r="G662" i="2"/>
  <c r="I662" i="2" s="1"/>
  <c r="K860" i="2"/>
  <c r="M860" i="2" s="1"/>
  <c r="M840" i="2"/>
  <c r="I724" i="2"/>
  <c r="I94" i="2"/>
  <c r="I221" i="2"/>
  <c r="G656" i="2"/>
  <c r="G629" i="2"/>
  <c r="G694" i="2"/>
  <c r="G619" i="2"/>
  <c r="X619" i="2" s="1"/>
  <c r="X614" i="2"/>
  <c r="I317" i="2"/>
  <c r="G330" i="2"/>
  <c r="I330" i="2" s="1"/>
  <c r="G296" i="2"/>
  <c r="I296" i="2" s="1"/>
  <c r="I283" i="2"/>
  <c r="I923" i="2"/>
  <c r="I904" i="2" s="1"/>
  <c r="G332" i="2"/>
  <c r="I332" i="2" s="1"/>
  <c r="I319" i="2"/>
  <c r="G809" i="2"/>
  <c r="I809" i="2" s="1"/>
  <c r="I757" i="2" s="1"/>
  <c r="I790" i="2"/>
  <c r="I736" i="2" s="1"/>
  <c r="I610" i="2"/>
  <c r="I131" i="2"/>
  <c r="I133" i="2" s="1"/>
  <c r="I755" i="2"/>
  <c r="G265" i="2"/>
  <c r="I265" i="2" s="1"/>
  <c r="I253" i="2"/>
  <c r="G510" i="2"/>
  <c r="I510" i="2" s="1"/>
  <c r="I475" i="2" s="1"/>
  <c r="I498" i="2"/>
  <c r="I463" i="2" s="1"/>
  <c r="I1008" i="2"/>
  <c r="I1010" i="2" s="1"/>
  <c r="X1010" i="2" s="1"/>
  <c r="I968" i="2"/>
  <c r="G889" i="2"/>
  <c r="I889" i="2" s="1"/>
  <c r="U930" i="2"/>
  <c r="U911" i="2" s="1"/>
  <c r="Q25" i="2"/>
  <c r="Q27" i="2" s="1"/>
  <c r="M1008" i="2"/>
  <c r="M1010" i="2" s="1"/>
  <c r="U1284" i="2"/>
  <c r="M1102" i="2"/>
  <c r="M1104" i="2" s="1"/>
  <c r="Q27" i="1"/>
  <c r="I196" i="2" l="1"/>
  <c r="I181" i="2"/>
  <c r="I476" i="2"/>
  <c r="I464" i="2"/>
  <c r="I622" i="2"/>
  <c r="I615" i="2"/>
  <c r="I474" i="2"/>
  <c r="I738" i="2"/>
  <c r="I448" i="2"/>
  <c r="I450" i="2" s="1"/>
  <c r="I372" i="2"/>
  <c r="I370" i="2"/>
  <c r="I760" i="2"/>
  <c r="I215" i="2"/>
  <c r="I871" i="2"/>
  <c r="I873" i="2" s="1"/>
  <c r="I1057" i="2"/>
  <c r="I230" i="2"/>
  <c r="I970" i="2"/>
  <c r="I972" i="2" s="1"/>
  <c r="I368" i="2"/>
  <c r="I365" i="2"/>
  <c r="I818" i="2"/>
  <c r="I274" i="2"/>
  <c r="I276" i="2" s="1"/>
  <c r="R19" i="5"/>
  <c r="G668" i="2"/>
  <c r="I668" i="2" s="1"/>
  <c r="I655" i="2"/>
  <c r="I413" i="2"/>
  <c r="I351" i="2"/>
  <c r="I29" i="7"/>
  <c r="K29" i="7" s="1"/>
  <c r="I28" i="7"/>
  <c r="K28" i="7" s="1"/>
  <c r="I27" i="7"/>
  <c r="K27" i="7" s="1"/>
  <c r="I17" i="7"/>
  <c r="K17" i="7" s="1"/>
  <c r="I16" i="7"/>
  <c r="K16" i="7" s="1"/>
  <c r="I15" i="7"/>
  <c r="K15" i="7" s="1"/>
  <c r="I25" i="7"/>
  <c r="K25" i="7" s="1"/>
  <c r="T18" i="7"/>
  <c r="I19" i="7"/>
  <c r="K19" i="7" s="1"/>
  <c r="I20" i="7"/>
  <c r="K20" i="7" s="1"/>
  <c r="I21" i="7"/>
  <c r="K21" i="7" s="1"/>
  <c r="I23" i="7"/>
  <c r="K23" i="7" s="1"/>
  <c r="I24" i="7"/>
  <c r="K24" i="7" s="1"/>
  <c r="G541" i="2"/>
  <c r="I541" i="2" s="1"/>
  <c r="I527" i="2"/>
  <c r="U43" i="1"/>
  <c r="V36" i="1"/>
  <c r="I343" i="2"/>
  <c r="I345" i="2" s="1"/>
  <c r="I356" i="2"/>
  <c r="I1054" i="2"/>
  <c r="I1028" i="2"/>
  <c r="I627" i="2"/>
  <c r="I529" i="2"/>
  <c r="G543" i="2"/>
  <c r="I543" i="2" s="1"/>
  <c r="I624" i="2"/>
  <c r="I623" i="2"/>
  <c r="I25" i="8"/>
  <c r="K25" i="8" s="1"/>
  <c r="T18" i="8"/>
  <c r="I23" i="8"/>
  <c r="K23" i="8" s="1"/>
  <c r="I20" i="8"/>
  <c r="K20" i="8" s="1"/>
  <c r="I19" i="8"/>
  <c r="K19" i="8" s="1"/>
  <c r="I21" i="8"/>
  <c r="K21" i="8" s="1"/>
  <c r="I24" i="8"/>
  <c r="K24" i="8" s="1"/>
  <c r="I17" i="8"/>
  <c r="K17" i="8" s="1"/>
  <c r="I28" i="8"/>
  <c r="K28" i="8" s="1"/>
  <c r="I15" i="8"/>
  <c r="K15" i="8" s="1"/>
  <c r="I27" i="8"/>
  <c r="K27" i="8" s="1"/>
  <c r="I29" i="8"/>
  <c r="K29" i="8" s="1"/>
  <c r="I16" i="8"/>
  <c r="K16" i="8" s="1"/>
  <c r="I625" i="2"/>
  <c r="I222" i="2"/>
  <c r="I232" i="2"/>
  <c r="I1083" i="2"/>
  <c r="I1085" i="2" s="1"/>
  <c r="I1048" i="2"/>
  <c r="I229" i="2"/>
  <c r="I360" i="2"/>
  <c r="I358" i="2"/>
  <c r="I739" i="2"/>
  <c r="I227" i="2"/>
  <c r="I604" i="2"/>
  <c r="I953" i="2"/>
  <c r="I934" i="2" s="1"/>
  <c r="I932" i="2"/>
  <c r="I1062" i="2"/>
  <c r="I693" i="2"/>
  <c r="G706" i="2"/>
  <c r="I706" i="2" s="1"/>
  <c r="I352" i="2"/>
  <c r="G508" i="2"/>
  <c r="I508" i="2" s="1"/>
  <c r="I494" i="2"/>
  <c r="I219" i="2"/>
  <c r="I1055" i="2"/>
  <c r="I218" i="2"/>
  <c r="I735" i="2"/>
  <c r="I357" i="2"/>
  <c r="I353" i="2"/>
  <c r="I118" i="2"/>
  <c r="I99" i="2"/>
  <c r="I101" i="2" s="1"/>
  <c r="I462" i="2"/>
  <c r="I759" i="2"/>
  <c r="I478" i="2"/>
  <c r="I493" i="2"/>
  <c r="G507" i="2"/>
  <c r="I507" i="2" s="1"/>
  <c r="Q930" i="2"/>
  <c r="Q911" i="2" s="1"/>
  <c r="I309" i="2"/>
  <c r="I214" i="2"/>
  <c r="R20" i="5"/>
  <c r="U20" i="5" s="1"/>
  <c r="G669" i="2"/>
  <c r="I669" i="2" s="1"/>
  <c r="I656" i="2"/>
  <c r="G591" i="2"/>
  <c r="I591" i="2" s="1"/>
  <c r="I583" i="2"/>
  <c r="G590" i="2"/>
  <c r="I590" i="2" s="1"/>
  <c r="G892" i="2"/>
  <c r="I892" i="2" s="1"/>
  <c r="I886" i="2"/>
  <c r="G891" i="2"/>
  <c r="I891" i="2" s="1"/>
  <c r="I216" i="2"/>
  <c r="I694" i="2"/>
  <c r="G707" i="2"/>
  <c r="I707" i="2" s="1"/>
  <c r="I481" i="2"/>
  <c r="I200" i="2" s="1"/>
  <c r="K30" i="4"/>
  <c r="K26" i="4"/>
  <c r="K19" i="4"/>
  <c r="K32" i="4"/>
  <c r="K24" i="4"/>
  <c r="K22" i="4"/>
  <c r="K18" i="4"/>
  <c r="K27" i="4"/>
  <c r="K23" i="4"/>
  <c r="K20" i="4"/>
  <c r="K15" i="4"/>
  <c r="K16" i="4"/>
  <c r="K14" i="4"/>
  <c r="K31" i="4"/>
  <c r="K28" i="4"/>
  <c r="I1058" i="2"/>
  <c r="S36" i="1"/>
  <c r="U30" i="2"/>
  <c r="W29" i="2"/>
  <c r="I607" i="2"/>
  <c r="I231" i="2"/>
  <c r="I605" i="2"/>
  <c r="I608" i="2"/>
  <c r="G893" i="2"/>
  <c r="I893" i="2" s="1"/>
  <c r="I888" i="2"/>
  <c r="I234" i="2"/>
  <c r="I220" i="2"/>
  <c r="G506" i="2"/>
  <c r="I506" i="2" s="1"/>
  <c r="I492" i="2"/>
  <c r="I756" i="2"/>
  <c r="I369" i="2"/>
  <c r="I363" i="2"/>
  <c r="I185" i="2" s="1"/>
  <c r="I367" i="2"/>
  <c r="I1059" i="2"/>
  <c r="I466" i="2"/>
  <c r="M32" i="4"/>
  <c r="M24" i="4"/>
  <c r="M22" i="4"/>
  <c r="M18" i="4"/>
  <c r="M31" i="4"/>
  <c r="M28" i="4"/>
  <c r="M16" i="4"/>
  <c r="M15" i="4"/>
  <c r="M14" i="4"/>
  <c r="M30" i="4"/>
  <c r="M26" i="4"/>
  <c r="M19" i="4"/>
  <c r="M23" i="4"/>
  <c r="M27" i="4"/>
  <c r="M20" i="4"/>
  <c r="G542" i="2"/>
  <c r="I542" i="2" s="1"/>
  <c r="I528" i="2"/>
  <c r="U1102" i="2"/>
  <c r="U1104" i="2" s="1"/>
  <c r="U1008" i="2"/>
  <c r="U1010" i="2" s="1"/>
  <c r="Q1102" i="2"/>
  <c r="Q1104" i="2" s="1"/>
  <c r="W28" i="1"/>
  <c r="U25" i="2"/>
  <c r="U27" i="2" s="1"/>
  <c r="M25" i="2"/>
  <c r="M27" i="2" s="1"/>
  <c r="Q1008" i="2"/>
  <c r="Q1010" i="2" s="1"/>
  <c r="Q26" i="1"/>
  <c r="I713" i="2" l="1"/>
  <c r="I715" i="2" s="1"/>
  <c r="I180" i="2"/>
  <c r="I174" i="2"/>
  <c r="I195" i="2"/>
  <c r="I193" i="2"/>
  <c r="I459" i="2"/>
  <c r="I171" i="2" s="1"/>
  <c r="I895" i="2"/>
  <c r="I897" i="2" s="1"/>
  <c r="V937" i="2" s="1"/>
  <c r="X937" i="2" s="1"/>
  <c r="I194" i="2"/>
  <c r="I614" i="2"/>
  <c r="I178" i="2"/>
  <c r="I473" i="2"/>
  <c r="I192" i="2" s="1"/>
  <c r="I613" i="2"/>
  <c r="I628" i="2"/>
  <c r="K1023" i="2"/>
  <c r="M1023" i="2" s="1"/>
  <c r="K1041" i="2"/>
  <c r="M1041" i="2" s="1"/>
  <c r="O54" i="2"/>
  <c r="Q54" i="2" s="1"/>
  <c r="Q64" i="2" s="1"/>
  <c r="Q66" i="2" s="1"/>
  <c r="O72" i="2"/>
  <c r="Q72" i="2" s="1"/>
  <c r="Q82" i="2" s="1"/>
  <c r="Q84" i="2" s="1"/>
  <c r="O36" i="2"/>
  <c r="Q36" i="2" s="1"/>
  <c r="Q46" i="2" s="1"/>
  <c r="Q48" i="2" s="1"/>
  <c r="Q27" i="4"/>
  <c r="U27" i="4"/>
  <c r="Q30" i="4"/>
  <c r="U30" i="4"/>
  <c r="U28" i="4"/>
  <c r="Q28" i="4"/>
  <c r="U24" i="4"/>
  <c r="Q24" i="4"/>
  <c r="I457" i="2"/>
  <c r="I169" i="2" s="1"/>
  <c r="I519" i="2"/>
  <c r="S43" i="1"/>
  <c r="X36" i="1"/>
  <c r="O31" i="4"/>
  <c r="S31" i="4"/>
  <c r="O20" i="4"/>
  <c r="S20" i="4"/>
  <c r="S22" i="4"/>
  <c r="O22" i="4"/>
  <c r="S26" i="4"/>
  <c r="O26" i="4"/>
  <c r="I311" i="2"/>
  <c r="I240" i="2"/>
  <c r="O968" i="2"/>
  <c r="O986" i="2"/>
  <c r="Q986" i="2" s="1"/>
  <c r="Q23" i="4"/>
  <c r="U23" i="4"/>
  <c r="U14" i="4"/>
  <c r="Q14" i="4"/>
  <c r="U31" i="4"/>
  <c r="Q31" i="4"/>
  <c r="U32" i="4"/>
  <c r="Q32" i="4"/>
  <c r="I471" i="2"/>
  <c r="O14" i="4"/>
  <c r="S14" i="4"/>
  <c r="O23" i="4"/>
  <c r="S23" i="4"/>
  <c r="S24" i="4"/>
  <c r="O24" i="4"/>
  <c r="S30" i="4"/>
  <c r="O30" i="4"/>
  <c r="I629" i="2"/>
  <c r="I912" i="2"/>
  <c r="I913" i="2"/>
  <c r="I915" i="2" s="1"/>
  <c r="W916" i="2" s="1"/>
  <c r="I190" i="2"/>
  <c r="I182" i="2"/>
  <c r="I1064" i="2"/>
  <c r="I1066" i="2" s="1"/>
  <c r="I1030" i="2"/>
  <c r="V43" i="1"/>
  <c r="I820" i="2"/>
  <c r="I769" i="2" s="1"/>
  <c r="I767" i="2"/>
  <c r="S1044" i="2"/>
  <c r="U1044" i="2" s="1"/>
  <c r="U1081" i="2" s="1"/>
  <c r="S1026" i="2"/>
  <c r="U1026" i="2" s="1"/>
  <c r="S986" i="2"/>
  <c r="U986" i="2" s="1"/>
  <c r="S968" i="2"/>
  <c r="Q17" i="1"/>
  <c r="P20" i="1"/>
  <c r="Q20" i="1" s="1"/>
  <c r="Q19" i="4"/>
  <c r="U19" i="4"/>
  <c r="U15" i="4"/>
  <c r="Q15" i="4"/>
  <c r="U18" i="4"/>
  <c r="Q18" i="4"/>
  <c r="O16" i="4"/>
  <c r="S16" i="4"/>
  <c r="O27" i="4"/>
  <c r="S27" i="4"/>
  <c r="S32" i="4"/>
  <c r="O32" i="4"/>
  <c r="I472" i="2"/>
  <c r="I191" i="2" s="1"/>
  <c r="I179" i="2"/>
  <c r="X934" i="2"/>
  <c r="S28" i="1"/>
  <c r="X28" i="1" s="1"/>
  <c r="W29" i="1"/>
  <c r="V29" i="1"/>
  <c r="U19" i="5"/>
  <c r="I30" i="5"/>
  <c r="I14" i="5"/>
  <c r="I38" i="5"/>
  <c r="I23" i="5"/>
  <c r="I26" i="5"/>
  <c r="I32" i="5"/>
  <c r="I19" i="5"/>
  <c r="I36" i="5"/>
  <c r="I16" i="5"/>
  <c r="I28" i="5"/>
  <c r="I20" i="5"/>
  <c r="I39" i="5"/>
  <c r="I18" i="5"/>
  <c r="I40" i="5"/>
  <c r="I31" i="5"/>
  <c r="I27" i="5"/>
  <c r="I35" i="5"/>
  <c r="I22" i="5"/>
  <c r="I24" i="5"/>
  <c r="I15" i="5"/>
  <c r="I34" i="5"/>
  <c r="G585" i="2"/>
  <c r="I585" i="2" s="1"/>
  <c r="I572" i="2"/>
  <c r="G592" i="2"/>
  <c r="I592" i="2" s="1"/>
  <c r="Q23" i="1"/>
  <c r="O1026" i="2"/>
  <c r="Q1026" i="2" s="1"/>
  <c r="O1044" i="2"/>
  <c r="Q1044" i="2" s="1"/>
  <c r="Q20" i="4"/>
  <c r="U20" i="4"/>
  <c r="Q26" i="4"/>
  <c r="U26" i="4"/>
  <c r="U16" i="4"/>
  <c r="Q16" i="4"/>
  <c r="U22" i="4"/>
  <c r="Q22" i="4"/>
  <c r="I197" i="2"/>
  <c r="O28" i="4"/>
  <c r="S28" i="4"/>
  <c r="O15" i="4"/>
  <c r="S15" i="4"/>
  <c r="S18" i="4"/>
  <c r="O18" i="4"/>
  <c r="S19" i="4"/>
  <c r="O19" i="4"/>
  <c r="I175" i="2"/>
  <c r="I173" i="2"/>
  <c r="I458" i="2"/>
  <c r="I170" i="2" s="1"/>
  <c r="U103" i="2"/>
  <c r="S17" i="1"/>
  <c r="W102" i="2"/>
  <c r="I675" i="2"/>
  <c r="I554" i="2"/>
  <c r="I556" i="2" s="1"/>
  <c r="I415" i="2"/>
  <c r="I378" i="2"/>
  <c r="I380" i="2" s="1"/>
  <c r="W26" i="1"/>
  <c r="Q1081" i="2" l="1"/>
  <c r="S27" i="1"/>
  <c r="X27" i="1" s="1"/>
  <c r="W898" i="2"/>
  <c r="W935" i="2"/>
  <c r="S1023" i="2"/>
  <c r="U1023" i="2" s="1"/>
  <c r="S1041" i="2"/>
  <c r="U1041" i="2" s="1"/>
  <c r="X43" i="1"/>
  <c r="S72" i="2"/>
  <c r="U72" i="2" s="1"/>
  <c r="U82" i="2" s="1"/>
  <c r="U84" i="2" s="1"/>
  <c r="S36" i="2"/>
  <c r="U36" i="2" s="1"/>
  <c r="U46" i="2" s="1"/>
  <c r="U48" i="2" s="1"/>
  <c r="S54" i="2"/>
  <c r="U54" i="2" s="1"/>
  <c r="U64" i="2" s="1"/>
  <c r="U66" i="2" s="1"/>
  <c r="K78" i="2"/>
  <c r="M78" i="2" s="1"/>
  <c r="K60" i="2"/>
  <c r="M60" i="2" s="1"/>
  <c r="K42" i="2"/>
  <c r="M42" i="2" s="1"/>
  <c r="O73" i="2"/>
  <c r="Q73" i="2" s="1"/>
  <c r="O37" i="2"/>
  <c r="Q37" i="2" s="1"/>
  <c r="O55" i="2"/>
  <c r="Q55" i="2" s="1"/>
  <c r="S55" i="2"/>
  <c r="U55" i="2" s="1"/>
  <c r="S73" i="2"/>
  <c r="U73" i="2" s="1"/>
  <c r="S37" i="2"/>
  <c r="U37" i="2" s="1"/>
  <c r="S77" i="2"/>
  <c r="U77" i="2" s="1"/>
  <c r="S41" i="2"/>
  <c r="U41" i="2" s="1"/>
  <c r="S59" i="2"/>
  <c r="U59" i="2" s="1"/>
  <c r="O1041" i="2"/>
  <c r="Q1041" i="2" s="1"/>
  <c r="O1023" i="2"/>
  <c r="Q1023" i="2" s="1"/>
  <c r="K72" i="2"/>
  <c r="M72" i="2" s="1"/>
  <c r="M82" i="2" s="1"/>
  <c r="M84" i="2" s="1"/>
  <c r="K36" i="2"/>
  <c r="M36" i="2" s="1"/>
  <c r="M46" i="2" s="1"/>
  <c r="M48" i="2" s="1"/>
  <c r="K54" i="2"/>
  <c r="M54" i="2" s="1"/>
  <c r="M64" i="2" s="1"/>
  <c r="M66" i="2" s="1"/>
  <c r="K55" i="2"/>
  <c r="M55" i="2" s="1"/>
  <c r="K73" i="2"/>
  <c r="M73" i="2" s="1"/>
  <c r="K37" i="2"/>
  <c r="M37" i="2" s="1"/>
  <c r="K76" i="2"/>
  <c r="M76" i="2" s="1"/>
  <c r="K40" i="2"/>
  <c r="M40" i="2" s="1"/>
  <c r="K58" i="2"/>
  <c r="M58" i="2" s="1"/>
  <c r="O74" i="2"/>
  <c r="Q74" i="2" s="1"/>
  <c r="O38" i="2"/>
  <c r="Q38" i="2" s="1"/>
  <c r="O56" i="2"/>
  <c r="Q56" i="2" s="1"/>
  <c r="O78" i="2"/>
  <c r="Q78" i="2" s="1"/>
  <c r="O42" i="2"/>
  <c r="Q42" i="2" s="1"/>
  <c r="O60" i="2"/>
  <c r="Q60" i="2" s="1"/>
  <c r="O76" i="2"/>
  <c r="Q76" i="2" s="1"/>
  <c r="O58" i="2"/>
  <c r="Q58" i="2" s="1"/>
  <c r="O40" i="2"/>
  <c r="Q40" i="2" s="1"/>
  <c r="S56" i="2"/>
  <c r="U56" i="2" s="1"/>
  <c r="S74" i="2"/>
  <c r="U74" i="2" s="1"/>
  <c r="S38" i="2"/>
  <c r="U38" i="2" s="1"/>
  <c r="S76" i="2"/>
  <c r="U76" i="2" s="1"/>
  <c r="S40" i="2"/>
  <c r="U40" i="2" s="1"/>
  <c r="S58" i="2"/>
  <c r="U58" i="2" s="1"/>
  <c r="V26" i="1"/>
  <c r="T33" i="6" s="1"/>
  <c r="W23" i="1"/>
  <c r="S26" i="1"/>
  <c r="X26" i="1" s="1"/>
  <c r="W770" i="2"/>
  <c r="V17" i="1"/>
  <c r="W22" i="3" s="1"/>
  <c r="U20" i="1"/>
  <c r="I635" i="2"/>
  <c r="I637" i="2" s="1"/>
  <c r="I677" i="2"/>
  <c r="Q968" i="2"/>
  <c r="O889" i="2"/>
  <c r="O890" i="2" s="1"/>
  <c r="M1046" i="2"/>
  <c r="K56" i="2"/>
  <c r="M56" i="2" s="1"/>
  <c r="K74" i="2"/>
  <c r="M74" i="2" s="1"/>
  <c r="K38" i="2"/>
  <c r="M38" i="2" s="1"/>
  <c r="K41" i="2"/>
  <c r="M41" i="2" s="1"/>
  <c r="K77" i="2"/>
  <c r="M77" i="2" s="1"/>
  <c r="K59" i="2"/>
  <c r="M59" i="2" s="1"/>
  <c r="O77" i="2"/>
  <c r="Q77" i="2" s="1"/>
  <c r="O59" i="2"/>
  <c r="Q59" i="2" s="1"/>
  <c r="O41" i="2"/>
  <c r="Q41" i="2" s="1"/>
  <c r="S78" i="2"/>
  <c r="U78" i="2" s="1"/>
  <c r="S60" i="2"/>
  <c r="U60" i="2" s="1"/>
  <c r="S42" i="2"/>
  <c r="U42" i="2" s="1"/>
  <c r="V27" i="1"/>
  <c r="Q1062" i="2"/>
  <c r="I242" i="2"/>
  <c r="I484" i="2"/>
  <c r="I486" i="2" s="1"/>
  <c r="I521" i="2"/>
  <c r="M1028" i="2"/>
  <c r="W17" i="1"/>
  <c r="N20" i="1"/>
  <c r="W20" i="1" s="1"/>
  <c r="S155" i="2"/>
  <c r="U155" i="2" s="1"/>
  <c r="S110" i="2"/>
  <c r="S140" i="2" s="1"/>
  <c r="U140" i="2" s="1"/>
  <c r="S125" i="2"/>
  <c r="U91" i="2"/>
  <c r="S98" i="2"/>
  <c r="S20" i="1"/>
  <c r="X20" i="1" s="1"/>
  <c r="X17" i="1"/>
  <c r="I595" i="2"/>
  <c r="I597" i="2" s="1"/>
  <c r="S24" i="1" s="1"/>
  <c r="S889" i="2"/>
  <c r="S890" i="2" s="1"/>
  <c r="U968" i="2"/>
  <c r="U1062" i="2" s="1"/>
  <c r="S1101" i="2"/>
  <c r="O1101" i="2"/>
  <c r="I203" i="2" l="1"/>
  <c r="I205" i="2" s="1"/>
  <c r="M1048" i="2"/>
  <c r="U1046" i="2"/>
  <c r="U819" i="2"/>
  <c r="U872" i="2"/>
  <c r="V20" i="1"/>
  <c r="Q1028" i="2"/>
  <c r="S97" i="2"/>
  <c r="S124" i="2"/>
  <c r="S154" i="2"/>
  <c r="U154" i="2" s="1"/>
  <c r="U161" i="2" s="1"/>
  <c r="U163" i="2" s="1"/>
  <c r="S139" i="2"/>
  <c r="U139" i="2" s="1"/>
  <c r="U146" i="2" s="1"/>
  <c r="U148" i="2" s="1"/>
  <c r="S109" i="2"/>
  <c r="S23" i="1"/>
  <c r="W206" i="2"/>
  <c r="I1277" i="2"/>
  <c r="Q872" i="2"/>
  <c r="Q819" i="2"/>
  <c r="S1043" i="2"/>
  <c r="U1043" i="2" s="1"/>
  <c r="S1007" i="2"/>
  <c r="S1025" i="2"/>
  <c r="U1025" i="2" s="1"/>
  <c r="Q1046" i="2"/>
  <c r="M1030" i="2"/>
  <c r="M872" i="2"/>
  <c r="M819" i="2"/>
  <c r="S25" i="1"/>
  <c r="X25" i="1" s="1"/>
  <c r="W638" i="2"/>
  <c r="U1028" i="2"/>
  <c r="V28" i="1"/>
  <c r="U131" i="2"/>
  <c r="U133" i="2" s="1"/>
  <c r="U116" i="2"/>
  <c r="U118" i="2" s="1"/>
  <c r="S847" i="2" l="1"/>
  <c r="S796" i="2"/>
  <c r="S763" i="2"/>
  <c r="O1025" i="2"/>
  <c r="Q1025" i="2" s="1"/>
  <c r="O1007" i="2"/>
  <c r="O1043" i="2"/>
  <c r="Q1043" i="2" s="1"/>
  <c r="U33" i="1"/>
  <c r="V23" i="1"/>
  <c r="X34" i="4" s="1"/>
  <c r="U1030" i="2"/>
  <c r="Q1048" i="2"/>
  <c r="U1048" i="2"/>
  <c r="X23" i="1"/>
  <c r="S33" i="1"/>
  <c r="O847" i="2"/>
  <c r="O796" i="2"/>
  <c r="O763" i="2"/>
  <c r="N30" i="9"/>
  <c r="N30" i="7"/>
  <c r="N30" i="8"/>
  <c r="I1280" i="2"/>
  <c r="W1278" i="2"/>
  <c r="Q1030" i="2"/>
  <c r="O815" i="2" l="1"/>
  <c r="Q815" i="2" s="1"/>
  <c r="Q796" i="2"/>
  <c r="X33" i="1"/>
  <c r="S45" i="1"/>
  <c r="U45" i="1"/>
  <c r="S815" i="2"/>
  <c r="U815" i="2" s="1"/>
  <c r="U796" i="2"/>
  <c r="O867" i="2"/>
  <c r="Q867" i="2" s="1"/>
  <c r="Q847" i="2"/>
  <c r="U847" i="2"/>
  <c r="S867" i="2"/>
  <c r="U867" i="2" s="1"/>
  <c r="X45" i="1" l="1"/>
  <c r="S49" i="1"/>
  <c r="X49" i="1" s="1"/>
  <c r="U49" i="1"/>
  <c r="M925" i="2" l="1"/>
  <c r="M906" i="2" s="1"/>
  <c r="M927" i="2"/>
  <c r="M908" i="2" s="1"/>
  <c r="M951" i="2" l="1"/>
  <c r="K965" i="2" l="1"/>
  <c r="K983" i="2"/>
  <c r="M983" i="2" s="1"/>
  <c r="Q927" i="2"/>
  <c r="Q908" i="2" s="1"/>
  <c r="Q951" i="2"/>
  <c r="U927" i="2"/>
  <c r="U908" i="2" s="1"/>
  <c r="U951" i="2"/>
  <c r="M932" i="2"/>
  <c r="M953" i="2"/>
  <c r="M934" i="2" s="1"/>
  <c r="U929" i="2"/>
  <c r="U910" i="2" s="1"/>
  <c r="Q953" i="2" l="1"/>
  <c r="Q934" i="2" s="1"/>
  <c r="Q932" i="2"/>
  <c r="S965" i="2"/>
  <c r="S983" i="2"/>
  <c r="U983" i="2" s="1"/>
  <c r="O983" i="2"/>
  <c r="Q983" i="2" s="1"/>
  <c r="O965" i="2"/>
  <c r="U953" i="2"/>
  <c r="U934" i="2" s="1"/>
  <c r="U932" i="2"/>
  <c r="M988" i="2"/>
  <c r="M1078" i="2"/>
  <c r="M913" i="2"/>
  <c r="M915" i="2" s="1"/>
  <c r="M912" i="2"/>
  <c r="M965" i="2"/>
  <c r="K886" i="2"/>
  <c r="Q929" i="2"/>
  <c r="Q910" i="2" s="1"/>
  <c r="O886" i="2" l="1"/>
  <c r="Q965" i="2"/>
  <c r="S985" i="2"/>
  <c r="U985" i="2" s="1"/>
  <c r="U1080" i="2" s="1"/>
  <c r="S950" i="2"/>
  <c r="S967" i="2"/>
  <c r="U912" i="2"/>
  <c r="U913" i="2"/>
  <c r="U915" i="2" s="1"/>
  <c r="U988" i="2"/>
  <c r="U1078" i="2"/>
  <c r="U965" i="2"/>
  <c r="S886" i="2"/>
  <c r="K891" i="2"/>
  <c r="K892" i="2"/>
  <c r="Q913" i="2"/>
  <c r="Q915" i="2" s="1"/>
  <c r="Q912" i="2"/>
  <c r="M970" i="2"/>
  <c r="M1059" i="2"/>
  <c r="M990" i="2"/>
  <c r="M1083" i="2"/>
  <c r="M1085" i="2" s="1"/>
  <c r="Q988" i="2"/>
  <c r="Q1078" i="2"/>
  <c r="M895" i="2"/>
  <c r="M897" i="2" s="1"/>
  <c r="U895" i="2"/>
  <c r="U897" i="2" s="1"/>
  <c r="Q990" i="2" l="1"/>
  <c r="Q1083" i="2"/>
  <c r="Q1085" i="2" s="1"/>
  <c r="M972" i="2"/>
  <c r="M1064" i="2"/>
  <c r="M1066" i="2" s="1"/>
  <c r="U990" i="2"/>
  <c r="U1083" i="2"/>
  <c r="U1085" i="2" s="1"/>
  <c r="S891" i="2"/>
  <c r="S892" i="2"/>
  <c r="U970" i="2"/>
  <c r="U1059" i="2"/>
  <c r="Q970" i="2"/>
  <c r="Q1059" i="2"/>
  <c r="O967" i="2"/>
  <c r="O950" i="2"/>
  <c r="O985" i="2"/>
  <c r="Q985" i="2" s="1"/>
  <c r="Q1080" i="2" s="1"/>
  <c r="U967" i="2"/>
  <c r="U1061" i="2" s="1"/>
  <c r="S888" i="2"/>
  <c r="S893" i="2" s="1"/>
  <c r="O892" i="2"/>
  <c r="O891" i="2"/>
  <c r="Q895" i="2"/>
  <c r="Q897" i="2" s="1"/>
  <c r="Q972" i="2" l="1"/>
  <c r="Q1064" i="2"/>
  <c r="Q1066" i="2" s="1"/>
  <c r="Q967" i="2"/>
  <c r="Q1061" i="2" s="1"/>
  <c r="O888" i="2"/>
  <c r="O893" i="2" s="1"/>
  <c r="U972" i="2"/>
  <c r="U1064" i="2"/>
  <c r="U1066" i="2" s="1"/>
  <c r="G27" i="5" l="1"/>
  <c r="K27" i="5" s="1"/>
  <c r="G32" i="5"/>
  <c r="K32" i="5" s="1"/>
  <c r="G30" i="5"/>
  <c r="K30" i="5" s="1"/>
  <c r="G15" i="5"/>
  <c r="K15" i="5" s="1"/>
  <c r="G31" i="5"/>
  <c r="K31" i="5" s="1"/>
  <c r="G28" i="5"/>
  <c r="K28" i="5" s="1"/>
  <c r="G19" i="5"/>
  <c r="K19" i="5" s="1"/>
  <c r="G16" i="5"/>
  <c r="K16" i="5" s="1"/>
  <c r="G14" i="5"/>
  <c r="K14" i="5" s="1"/>
  <c r="G22" i="5"/>
  <c r="K22" i="5" s="1"/>
  <c r="G24" i="5"/>
  <c r="K24" i="5" s="1"/>
  <c r="G35" i="5"/>
  <c r="K35" i="5" s="1"/>
  <c r="G38" i="5"/>
  <c r="K38" i="5" s="1"/>
  <c r="G39" i="5"/>
  <c r="K39" i="5" s="1"/>
  <c r="G36" i="5"/>
  <c r="K36" i="5" s="1"/>
  <c r="G20" i="5"/>
  <c r="K20" i="5" s="1"/>
  <c r="G40" i="5"/>
  <c r="K40" i="5" s="1"/>
  <c r="G34" i="5"/>
  <c r="K34" i="5" s="1"/>
  <c r="G18" i="5"/>
  <c r="K18" i="5" s="1"/>
  <c r="G23" i="5"/>
  <c r="K23" i="5" s="1"/>
  <c r="G26" i="5"/>
  <c r="K26" i="5" s="1"/>
  <c r="U18" i="5"/>
  <c r="Q25" i="1" l="1"/>
  <c r="Q24" i="1" s="1"/>
  <c r="P33" i="1" l="1"/>
  <c r="Q33" i="1" l="1"/>
  <c r="P45" i="1"/>
  <c r="W25" i="1" l="1"/>
  <c r="V25" i="1"/>
  <c r="N33" i="1"/>
  <c r="P49" i="1"/>
  <c r="Q49" i="1" s="1"/>
  <c r="Q45" i="1"/>
  <c r="O657" i="2" l="1"/>
  <c r="O695" i="2"/>
  <c r="O630" i="2"/>
  <c r="W33" i="1"/>
  <c r="N45" i="1"/>
  <c r="V33" i="1"/>
  <c r="O32" i="5"/>
  <c r="V24" i="1"/>
  <c r="S630" i="2"/>
  <c r="S695" i="2"/>
  <c r="S657" i="2"/>
  <c r="S586" i="2"/>
  <c r="O586" i="2"/>
  <c r="U695" i="2" l="1"/>
  <c r="S708" i="2"/>
  <c r="U708" i="2" s="1"/>
  <c r="O708" i="2"/>
  <c r="Q708" i="2" s="1"/>
  <c r="Q695" i="2"/>
  <c r="S670" i="2"/>
  <c r="U670" i="2" s="1"/>
  <c r="U657" i="2"/>
  <c r="N49" i="1"/>
  <c r="W45" i="1"/>
  <c r="V45" i="1"/>
  <c r="Q657" i="2"/>
  <c r="O670" i="2"/>
  <c r="Q670" i="2" s="1"/>
  <c r="S587" i="2"/>
  <c r="O587" i="2"/>
  <c r="W49" i="1" l="1"/>
  <c r="V49" i="1"/>
  <c r="K186" i="2" l="1"/>
  <c r="O186" i="2"/>
  <c r="S186" i="2"/>
  <c r="K187" i="2"/>
  <c r="O187" i="2"/>
  <c r="S187" i="2"/>
  <c r="K188" i="2"/>
  <c r="O188" i="2"/>
  <c r="S188" i="2"/>
  <c r="K193" i="2"/>
  <c r="O193" i="2"/>
  <c r="S193" i="2"/>
  <c r="K194" i="2"/>
  <c r="O194" i="2"/>
  <c r="S194" i="2"/>
  <c r="K195" i="2"/>
  <c r="O195" i="2"/>
  <c r="S195" i="2"/>
  <c r="K196" i="2"/>
  <c r="O196" i="2"/>
  <c r="S196" i="2"/>
  <c r="M203" i="2"/>
  <c r="M205" i="2" s="1"/>
  <c r="Q203" i="2"/>
  <c r="Q205" i="2" s="1"/>
  <c r="U203" i="2"/>
  <c r="U205" i="2" s="1"/>
  <c r="K218" i="2"/>
  <c r="O218" i="2"/>
  <c r="S218" i="2"/>
  <c r="S230" i="2" s="1"/>
  <c r="K219" i="2"/>
  <c r="K231" i="2" s="1"/>
  <c r="O219" i="2"/>
  <c r="S219" i="2"/>
  <c r="K220" i="2"/>
  <c r="K232" i="2" s="1"/>
  <c r="O220" i="2"/>
  <c r="S220" i="2"/>
  <c r="K221" i="2"/>
  <c r="K233" i="2" s="1"/>
  <c r="O221" i="2"/>
  <c r="O233" i="2" s="1"/>
  <c r="S221" i="2"/>
  <c r="K230" i="2"/>
  <c r="O230" i="2"/>
  <c r="O231" i="2"/>
  <c r="S231" i="2"/>
  <c r="O232" i="2"/>
  <c r="S232" i="2"/>
  <c r="S233" i="2"/>
  <c r="K252" i="2"/>
  <c r="M252" i="2" s="1"/>
  <c r="M274" i="2" s="1"/>
  <c r="M276" i="2" s="1"/>
  <c r="O252" i="2"/>
  <c r="Q252" i="2"/>
  <c r="S252" i="2"/>
  <c r="U252" i="2" s="1"/>
  <c r="U274" i="2" s="1"/>
  <c r="U276" i="2" s="1"/>
  <c r="K253" i="2"/>
  <c r="M253" i="2"/>
  <c r="O253" i="2"/>
  <c r="Q253" i="2" s="1"/>
  <c r="S253" i="2"/>
  <c r="U253" i="2"/>
  <c r="K254" i="2"/>
  <c r="M254" i="2" s="1"/>
  <c r="O254" i="2"/>
  <c r="Q254" i="2"/>
  <c r="S254" i="2"/>
  <c r="U254" i="2" s="1"/>
  <c r="K255" i="2"/>
  <c r="M255" i="2"/>
  <c r="O255" i="2"/>
  <c r="Q255" i="2" s="1"/>
  <c r="S255" i="2"/>
  <c r="U255" i="2"/>
  <c r="K264" i="2"/>
  <c r="M264" i="2" s="1"/>
  <c r="O264" i="2"/>
  <c r="Q264" i="2"/>
  <c r="S264" i="2"/>
  <c r="U264" i="2" s="1"/>
  <c r="K265" i="2"/>
  <c r="M265" i="2"/>
  <c r="O265" i="2"/>
  <c r="Q265" i="2" s="1"/>
  <c r="S265" i="2"/>
  <c r="U265" i="2"/>
  <c r="K266" i="2"/>
  <c r="M266" i="2" s="1"/>
  <c r="O266" i="2"/>
  <c r="Q266" i="2"/>
  <c r="S266" i="2"/>
  <c r="U266" i="2" s="1"/>
  <c r="K267" i="2"/>
  <c r="M267" i="2"/>
  <c r="O267" i="2"/>
  <c r="Q267" i="2" s="1"/>
  <c r="S267" i="2"/>
  <c r="U267" i="2"/>
  <c r="Q274" i="2"/>
  <c r="Q276" i="2" s="1"/>
  <c r="K287" i="2"/>
  <c r="M287" i="2"/>
  <c r="O287" i="2"/>
  <c r="Q287" i="2" s="1"/>
  <c r="Q309" i="2" s="1"/>
  <c r="S287" i="2"/>
  <c r="U287" i="2"/>
  <c r="K288" i="2"/>
  <c r="M288" i="2" s="1"/>
  <c r="O288" i="2"/>
  <c r="Q288" i="2"/>
  <c r="S288" i="2"/>
  <c r="U288" i="2" s="1"/>
  <c r="K289" i="2"/>
  <c r="M289" i="2"/>
  <c r="O289" i="2"/>
  <c r="Q289" i="2" s="1"/>
  <c r="S289" i="2"/>
  <c r="U289" i="2"/>
  <c r="K290" i="2"/>
  <c r="M290" i="2" s="1"/>
  <c r="O290" i="2"/>
  <c r="Q290" i="2"/>
  <c r="S290" i="2"/>
  <c r="U290" i="2" s="1"/>
  <c r="K299" i="2"/>
  <c r="M299" i="2"/>
  <c r="O299" i="2"/>
  <c r="Q299" i="2" s="1"/>
  <c r="S299" i="2"/>
  <c r="U299" i="2"/>
  <c r="K300" i="2"/>
  <c r="M300" i="2" s="1"/>
  <c r="O300" i="2"/>
  <c r="Q300" i="2"/>
  <c r="S300" i="2"/>
  <c r="U300" i="2" s="1"/>
  <c r="K301" i="2"/>
  <c r="M301" i="2"/>
  <c r="O301" i="2"/>
  <c r="Q301" i="2" s="1"/>
  <c r="S301" i="2"/>
  <c r="U301" i="2"/>
  <c r="K302" i="2"/>
  <c r="M302" i="2" s="1"/>
  <c r="O302" i="2"/>
  <c r="Q302" i="2"/>
  <c r="S302" i="2"/>
  <c r="U302" i="2" s="1"/>
  <c r="K321" i="2"/>
  <c r="M321" i="2"/>
  <c r="M343" i="2" s="1"/>
  <c r="M345" i="2" s="1"/>
  <c r="O321" i="2"/>
  <c r="Q321" i="2" s="1"/>
  <c r="Q343" i="2" s="1"/>
  <c r="Q345" i="2" s="1"/>
  <c r="S321" i="2"/>
  <c r="U321" i="2"/>
  <c r="U343" i="2" s="1"/>
  <c r="U345" i="2" s="1"/>
  <c r="K322" i="2"/>
  <c r="M322" i="2" s="1"/>
  <c r="O322" i="2"/>
  <c r="Q322" i="2"/>
  <c r="S322" i="2"/>
  <c r="U322" i="2" s="1"/>
  <c r="K323" i="2"/>
  <c r="M323" i="2"/>
  <c r="O323" i="2"/>
  <c r="Q323" i="2" s="1"/>
  <c r="S323" i="2"/>
  <c r="U323" i="2"/>
  <c r="K324" i="2"/>
  <c r="M324" i="2" s="1"/>
  <c r="O324" i="2"/>
  <c r="Q324" i="2"/>
  <c r="S324" i="2"/>
  <c r="U324" i="2" s="1"/>
  <c r="K333" i="2"/>
  <c r="M333" i="2"/>
  <c r="O333" i="2"/>
  <c r="Q333" i="2" s="1"/>
  <c r="S333" i="2"/>
  <c r="U333" i="2"/>
  <c r="K334" i="2"/>
  <c r="M334" i="2" s="1"/>
  <c r="O334" i="2"/>
  <c r="Q334" i="2"/>
  <c r="S334" i="2"/>
  <c r="U334" i="2" s="1"/>
  <c r="K335" i="2"/>
  <c r="M335" i="2"/>
  <c r="O335" i="2"/>
  <c r="Q335" i="2" s="1"/>
  <c r="S335" i="2"/>
  <c r="U335" i="2"/>
  <c r="K336" i="2"/>
  <c r="M336" i="2" s="1"/>
  <c r="O336" i="2"/>
  <c r="Q336" i="2"/>
  <c r="S336" i="2"/>
  <c r="U336" i="2" s="1"/>
  <c r="K356" i="2"/>
  <c r="O356" i="2"/>
  <c r="O368" i="2" s="1"/>
  <c r="S356" i="2"/>
  <c r="K357" i="2"/>
  <c r="O357" i="2"/>
  <c r="S357" i="2"/>
  <c r="S369" i="2" s="1"/>
  <c r="K358" i="2"/>
  <c r="O358" i="2"/>
  <c r="S358" i="2"/>
  <c r="K359" i="2"/>
  <c r="O359" i="2"/>
  <c r="S359" i="2"/>
  <c r="K368" i="2"/>
  <c r="S368" i="2"/>
  <c r="K369" i="2"/>
  <c r="O369" i="2"/>
  <c r="K370" i="2"/>
  <c r="O370" i="2"/>
  <c r="S370" i="2"/>
  <c r="K371" i="2"/>
  <c r="O371" i="2"/>
  <c r="S371" i="2"/>
  <c r="K391" i="2"/>
  <c r="M391" i="2" s="1"/>
  <c r="M356" i="2" s="1"/>
  <c r="O391" i="2"/>
  <c r="Q391" i="2" s="1"/>
  <c r="Q413" i="2" s="1"/>
  <c r="S391" i="2"/>
  <c r="U391" i="2" s="1"/>
  <c r="K392" i="2"/>
  <c r="M392" i="2" s="1"/>
  <c r="M357" i="2" s="1"/>
  <c r="O392" i="2"/>
  <c r="Q392" i="2" s="1"/>
  <c r="Q357" i="2" s="1"/>
  <c r="S392" i="2"/>
  <c r="U392" i="2" s="1"/>
  <c r="K393" i="2"/>
  <c r="M393" i="2" s="1"/>
  <c r="O393" i="2"/>
  <c r="Q393" i="2" s="1"/>
  <c r="Q358" i="2" s="1"/>
  <c r="S393" i="2"/>
  <c r="U393" i="2" s="1"/>
  <c r="U358" i="2" s="1"/>
  <c r="K394" i="2"/>
  <c r="M394" i="2" s="1"/>
  <c r="O394" i="2"/>
  <c r="Q394" i="2" s="1"/>
  <c r="S394" i="2"/>
  <c r="U394" i="2" s="1"/>
  <c r="U359" i="2" s="1"/>
  <c r="K403" i="2"/>
  <c r="M403" i="2" s="1"/>
  <c r="M368" i="2" s="1"/>
  <c r="O403" i="2"/>
  <c r="Q403" i="2" s="1"/>
  <c r="S403" i="2"/>
  <c r="U403" i="2" s="1"/>
  <c r="K404" i="2"/>
  <c r="M404" i="2" s="1"/>
  <c r="O404" i="2"/>
  <c r="Q404" i="2" s="1"/>
  <c r="Q369" i="2" s="1"/>
  <c r="S404" i="2"/>
  <c r="U404" i="2" s="1"/>
  <c r="K405" i="2"/>
  <c r="M405" i="2" s="1"/>
  <c r="O405" i="2"/>
  <c r="Q405" i="2" s="1"/>
  <c r="S405" i="2"/>
  <c r="U405" i="2" s="1"/>
  <c r="U370" i="2" s="1"/>
  <c r="K406" i="2"/>
  <c r="M406" i="2" s="1"/>
  <c r="O406" i="2"/>
  <c r="Q406" i="2" s="1"/>
  <c r="S406" i="2"/>
  <c r="U406" i="2" s="1"/>
  <c r="M413" i="2"/>
  <c r="Q415" i="2"/>
  <c r="K426" i="2"/>
  <c r="M426" i="2" s="1"/>
  <c r="O426" i="2"/>
  <c r="Q426" i="2" s="1"/>
  <c r="Q448" i="2" s="1"/>
  <c r="S426" i="2"/>
  <c r="U426" i="2" s="1"/>
  <c r="U448" i="2" s="1"/>
  <c r="U450" i="2" s="1"/>
  <c r="K427" i="2"/>
  <c r="M427" i="2" s="1"/>
  <c r="O427" i="2"/>
  <c r="Q427" i="2" s="1"/>
  <c r="S427" i="2"/>
  <c r="U427" i="2" s="1"/>
  <c r="K428" i="2"/>
  <c r="M428" i="2" s="1"/>
  <c r="O428" i="2"/>
  <c r="Q428" i="2" s="1"/>
  <c r="S428" i="2"/>
  <c r="U428" i="2" s="1"/>
  <c r="K429" i="2"/>
  <c r="M429" i="2" s="1"/>
  <c r="O429" i="2"/>
  <c r="Q429" i="2" s="1"/>
  <c r="S429" i="2"/>
  <c r="U429" i="2" s="1"/>
  <c r="K438" i="2"/>
  <c r="M438" i="2" s="1"/>
  <c r="O438" i="2"/>
  <c r="Q438" i="2" s="1"/>
  <c r="S438" i="2"/>
  <c r="U438" i="2" s="1"/>
  <c r="K439" i="2"/>
  <c r="M439" i="2" s="1"/>
  <c r="O439" i="2"/>
  <c r="Q439" i="2" s="1"/>
  <c r="S439" i="2"/>
  <c r="U439" i="2" s="1"/>
  <c r="K440" i="2"/>
  <c r="M440" i="2" s="1"/>
  <c r="O440" i="2"/>
  <c r="Q440" i="2" s="1"/>
  <c r="S440" i="2"/>
  <c r="U440" i="2" s="1"/>
  <c r="K441" i="2"/>
  <c r="M441" i="2" s="1"/>
  <c r="O441" i="2"/>
  <c r="Q441" i="2" s="1"/>
  <c r="S441" i="2"/>
  <c r="U441" i="2" s="1"/>
  <c r="M448" i="2"/>
  <c r="M450" i="2" s="1"/>
  <c r="Q450" i="2"/>
  <c r="K462" i="2"/>
  <c r="O462" i="2"/>
  <c r="S462" i="2"/>
  <c r="K463" i="2"/>
  <c r="O463" i="2"/>
  <c r="S463" i="2"/>
  <c r="K464" i="2"/>
  <c r="O464" i="2"/>
  <c r="S464" i="2"/>
  <c r="K465" i="2"/>
  <c r="O465" i="2"/>
  <c r="S465" i="2"/>
  <c r="K474" i="2"/>
  <c r="O474" i="2"/>
  <c r="S474" i="2"/>
  <c r="K475" i="2"/>
  <c r="O475" i="2"/>
  <c r="S475" i="2"/>
  <c r="K476" i="2"/>
  <c r="O476" i="2"/>
  <c r="S476" i="2"/>
  <c r="K477" i="2"/>
  <c r="O477" i="2"/>
  <c r="S477" i="2"/>
  <c r="K497" i="2"/>
  <c r="M497" i="2" s="1"/>
  <c r="M462" i="2" s="1"/>
  <c r="O497" i="2"/>
  <c r="Q497" i="2" s="1"/>
  <c r="S497" i="2"/>
  <c r="U497" i="2" s="1"/>
  <c r="K498" i="2"/>
  <c r="M498" i="2" s="1"/>
  <c r="O498" i="2"/>
  <c r="Q498" i="2" s="1"/>
  <c r="Q463" i="2" s="1"/>
  <c r="S498" i="2"/>
  <c r="U498" i="2" s="1"/>
  <c r="K499" i="2"/>
  <c r="M499" i="2" s="1"/>
  <c r="O499" i="2"/>
  <c r="Q499" i="2" s="1"/>
  <c r="S499" i="2"/>
  <c r="U499" i="2" s="1"/>
  <c r="U464" i="2" s="1"/>
  <c r="K500" i="2"/>
  <c r="M500" i="2" s="1"/>
  <c r="O500" i="2"/>
  <c r="Q500" i="2" s="1"/>
  <c r="S500" i="2"/>
  <c r="U500" i="2" s="1"/>
  <c r="K509" i="2"/>
  <c r="M509" i="2" s="1"/>
  <c r="M474" i="2" s="1"/>
  <c r="O509" i="2"/>
  <c r="Q509" i="2" s="1"/>
  <c r="S509" i="2"/>
  <c r="U509" i="2" s="1"/>
  <c r="K510" i="2"/>
  <c r="M510" i="2" s="1"/>
  <c r="O510" i="2"/>
  <c r="Q510" i="2" s="1"/>
  <c r="Q475" i="2" s="1"/>
  <c r="S510" i="2"/>
  <c r="U510" i="2" s="1"/>
  <c r="K511" i="2"/>
  <c r="M511" i="2" s="1"/>
  <c r="O511" i="2"/>
  <c r="Q511" i="2" s="1"/>
  <c r="S511" i="2"/>
  <c r="U511" i="2" s="1"/>
  <c r="U476" i="2" s="1"/>
  <c r="K512" i="2"/>
  <c r="M512" i="2" s="1"/>
  <c r="O512" i="2"/>
  <c r="Q512" i="2" s="1"/>
  <c r="S512" i="2"/>
  <c r="U512" i="2" s="1"/>
  <c r="M519" i="2"/>
  <c r="U519" i="2"/>
  <c r="U521" i="2" s="1"/>
  <c r="K532" i="2"/>
  <c r="M532" i="2" s="1"/>
  <c r="O532" i="2"/>
  <c r="Q532" i="2" s="1"/>
  <c r="Q554" i="2" s="1"/>
  <c r="Q556" i="2" s="1"/>
  <c r="S532" i="2"/>
  <c r="U532" i="2" s="1"/>
  <c r="U554" i="2" s="1"/>
  <c r="U556" i="2" s="1"/>
  <c r="K533" i="2"/>
  <c r="M533" i="2" s="1"/>
  <c r="O533" i="2"/>
  <c r="Q533" i="2" s="1"/>
  <c r="S533" i="2"/>
  <c r="U533" i="2" s="1"/>
  <c r="K534" i="2"/>
  <c r="M534" i="2" s="1"/>
  <c r="O534" i="2"/>
  <c r="Q534" i="2" s="1"/>
  <c r="S534" i="2"/>
  <c r="U534" i="2" s="1"/>
  <c r="K535" i="2"/>
  <c r="M535" i="2" s="1"/>
  <c r="O535" i="2"/>
  <c r="Q535" i="2" s="1"/>
  <c r="S535" i="2"/>
  <c r="U535" i="2" s="1"/>
  <c r="K544" i="2"/>
  <c r="M544" i="2" s="1"/>
  <c r="O544" i="2"/>
  <c r="Q544" i="2" s="1"/>
  <c r="S544" i="2"/>
  <c r="U544" i="2" s="1"/>
  <c r="K545" i="2"/>
  <c r="M545" i="2" s="1"/>
  <c r="O545" i="2"/>
  <c r="Q545" i="2" s="1"/>
  <c r="S545" i="2"/>
  <c r="U545" i="2" s="1"/>
  <c r="K546" i="2"/>
  <c r="M546" i="2" s="1"/>
  <c r="O546" i="2"/>
  <c r="Q546" i="2" s="1"/>
  <c r="S546" i="2"/>
  <c r="U546" i="2" s="1"/>
  <c r="K547" i="2"/>
  <c r="M547" i="2" s="1"/>
  <c r="O547" i="2"/>
  <c r="Q547" i="2" s="1"/>
  <c r="S547" i="2"/>
  <c r="U547" i="2" s="1"/>
  <c r="M554" i="2"/>
  <c r="M556" i="2" s="1"/>
  <c r="K583" i="2"/>
  <c r="K590" i="2" s="1"/>
  <c r="O585" i="2"/>
  <c r="S585" i="2"/>
  <c r="O592" i="2"/>
  <c r="S592" i="2"/>
  <c r="M595" i="2"/>
  <c r="Q595" i="2"/>
  <c r="Q597" i="2" s="1"/>
  <c r="U595" i="2"/>
  <c r="U597" i="2" s="1"/>
  <c r="M597" i="2"/>
  <c r="K611" i="2"/>
  <c r="K627" i="2" s="1"/>
  <c r="O618" i="2"/>
  <c r="S618" i="2"/>
  <c r="O619" i="2"/>
  <c r="S619" i="2"/>
  <c r="K626" i="2"/>
  <c r="O628" i="2"/>
  <c r="S628" i="2"/>
  <c r="O629" i="2"/>
  <c r="S629" i="2"/>
  <c r="M635" i="2"/>
  <c r="M637" i="2" s="1"/>
  <c r="Q635" i="2"/>
  <c r="Q637" i="2" s="1"/>
  <c r="U635" i="2"/>
  <c r="U637" i="2" s="1"/>
  <c r="K652" i="2"/>
  <c r="O655" i="2"/>
  <c r="Q655" i="2" s="1"/>
  <c r="Q675" i="2" s="1"/>
  <c r="S655" i="2"/>
  <c r="U655" i="2" s="1"/>
  <c r="U675" i="2" s="1"/>
  <c r="U677" i="2" s="1"/>
  <c r="O656" i="2"/>
  <c r="S656" i="2"/>
  <c r="U656" i="2" s="1"/>
  <c r="K666" i="2"/>
  <c r="M666" i="2" s="1"/>
  <c r="O668" i="2"/>
  <c r="Q668" i="2" s="1"/>
  <c r="S669" i="2"/>
  <c r="U669" i="2" s="1"/>
  <c r="Q677" i="2"/>
  <c r="K690" i="2"/>
  <c r="M690" i="2" s="1"/>
  <c r="M713" i="2" s="1"/>
  <c r="M715" i="2" s="1"/>
  <c r="O693" i="2"/>
  <c r="Q693" i="2" s="1"/>
  <c r="Q713" i="2" s="1"/>
  <c r="Q715" i="2" s="1"/>
  <c r="S693" i="2"/>
  <c r="O694" i="2"/>
  <c r="Q694" i="2" s="1"/>
  <c r="S694" i="2"/>
  <c r="U694" i="2" s="1"/>
  <c r="O706" i="2"/>
  <c r="Q706" i="2" s="1"/>
  <c r="S707" i="2"/>
  <c r="U707" i="2" s="1"/>
  <c r="K744" i="2"/>
  <c r="O744" i="2"/>
  <c r="S744" i="2"/>
  <c r="K762" i="2"/>
  <c r="O762" i="2"/>
  <c r="S762" i="2"/>
  <c r="M767" i="2"/>
  <c r="M769" i="2" s="1"/>
  <c r="M1277" i="2" s="1"/>
  <c r="M1280" i="2" s="1"/>
  <c r="Q767" i="2"/>
  <c r="U767" i="2"/>
  <c r="U769" i="2" s="1"/>
  <c r="Q769" i="2"/>
  <c r="K795" i="2"/>
  <c r="O795" i="2"/>
  <c r="Q795" i="2" s="1"/>
  <c r="Q818" i="2" s="1"/>
  <c r="Q820" i="2" s="1"/>
  <c r="S795" i="2"/>
  <c r="O814" i="2"/>
  <c r="Q814" i="2" s="1"/>
  <c r="K846" i="2"/>
  <c r="M846" i="2" s="1"/>
  <c r="M871" i="2" s="1"/>
  <c r="M873" i="2" s="1"/>
  <c r="O846" i="2"/>
  <c r="S846" i="2"/>
  <c r="U846" i="2" s="1"/>
  <c r="U871" i="2" s="1"/>
  <c r="U873" i="2" s="1"/>
  <c r="U233" i="2" l="1"/>
  <c r="Q220" i="2"/>
  <c r="M221" i="2"/>
  <c r="Q232" i="2"/>
  <c r="U221" i="2"/>
  <c r="M219" i="2"/>
  <c r="M231" i="2"/>
  <c r="U231" i="2"/>
  <c r="M233" i="2"/>
  <c r="Q230" i="2"/>
  <c r="U219" i="2"/>
  <c r="K591" i="2"/>
  <c r="Q1277" i="2"/>
  <c r="Q1280" i="2" s="1"/>
  <c r="S866" i="2"/>
  <c r="U866" i="2" s="1"/>
  <c r="K704" i="2"/>
  <c r="M704" i="2" s="1"/>
  <c r="K866" i="2"/>
  <c r="M866" i="2" s="1"/>
  <c r="O707" i="2"/>
  <c r="Q707" i="2" s="1"/>
  <c r="K691" i="2"/>
  <c r="S668" i="2"/>
  <c r="U668" i="2" s="1"/>
  <c r="M371" i="2"/>
  <c r="Q368" i="2"/>
  <c r="M359" i="2"/>
  <c r="U357" i="2"/>
  <c r="Q378" i="2"/>
  <c r="Q380" i="2" s="1"/>
  <c r="K814" i="2"/>
  <c r="M814" i="2" s="1"/>
  <c r="M795" i="2"/>
  <c r="M818" i="2" s="1"/>
  <c r="M820" i="2" s="1"/>
  <c r="Q656" i="2"/>
  <c r="O669" i="2"/>
  <c r="Q669" i="2" s="1"/>
  <c r="U693" i="2"/>
  <c r="U713" i="2" s="1"/>
  <c r="U715" i="2" s="1"/>
  <c r="S706" i="2"/>
  <c r="U706" i="2" s="1"/>
  <c r="K653" i="2"/>
  <c r="M652" i="2"/>
  <c r="M675" i="2" s="1"/>
  <c r="M677" i="2" s="1"/>
  <c r="U1277" i="2"/>
  <c r="U1280" i="2" s="1"/>
  <c r="O866" i="2"/>
  <c r="Q866" i="2" s="1"/>
  <c r="Q846" i="2"/>
  <c r="Q871" i="2" s="1"/>
  <c r="Q873" i="2" s="1"/>
  <c r="M521" i="2"/>
  <c r="M484" i="2"/>
  <c r="M486" i="2" s="1"/>
  <c r="M378" i="2"/>
  <c r="M380" i="2" s="1"/>
  <c r="M415" i="2"/>
  <c r="S814" i="2"/>
  <c r="U814" i="2" s="1"/>
  <c r="U795" i="2"/>
  <c r="U818" i="2" s="1"/>
  <c r="U820" i="2" s="1"/>
  <c r="M477" i="2"/>
  <c r="U475" i="2"/>
  <c r="Q474" i="2"/>
  <c r="M465" i="2"/>
  <c r="U463" i="2"/>
  <c r="Q462" i="2"/>
  <c r="Q519" i="2"/>
  <c r="U363" i="2"/>
  <c r="U369" i="2"/>
  <c r="Q240" i="2"/>
  <c r="Q242" i="2" s="1"/>
  <c r="Q311" i="2"/>
  <c r="Q218" i="2"/>
  <c r="U477" i="2"/>
  <c r="Q476" i="2"/>
  <c r="M475" i="2"/>
  <c r="U465" i="2"/>
  <c r="Q464" i="2"/>
  <c r="M463" i="2"/>
  <c r="U371" i="2"/>
  <c r="Q370" i="2"/>
  <c r="M369" i="2"/>
  <c r="Q356" i="2"/>
  <c r="Q233" i="2"/>
  <c r="U232" i="2"/>
  <c r="M232" i="2"/>
  <c r="Q231" i="2"/>
  <c r="U230" i="2"/>
  <c r="M230" i="2"/>
  <c r="Q221" i="2"/>
  <c r="U220" i="2"/>
  <c r="M220" i="2"/>
  <c r="Q219" i="2"/>
  <c r="U218" i="2"/>
  <c r="M218" i="2"/>
  <c r="Q477" i="2"/>
  <c r="M476" i="2"/>
  <c r="U474" i="2"/>
  <c r="Q465" i="2"/>
  <c r="M464" i="2"/>
  <c r="U462" i="2"/>
  <c r="U484" i="2"/>
  <c r="U486" i="2" s="1"/>
  <c r="Q371" i="2"/>
  <c r="M370" i="2"/>
  <c r="U368" i="2"/>
  <c r="Q359" i="2"/>
  <c r="M358" i="2"/>
  <c r="U356" i="2"/>
  <c r="U413" i="2"/>
  <c r="M309" i="2"/>
  <c r="U309" i="2"/>
  <c r="M691" i="2" l="1"/>
  <c r="K705" i="2"/>
  <c r="M705" i="2" s="1"/>
  <c r="U311" i="2"/>
  <c r="U240" i="2"/>
  <c r="U242" i="2" s="1"/>
  <c r="Q484" i="2"/>
  <c r="Q486" i="2" s="1"/>
  <c r="Q521" i="2"/>
  <c r="K667" i="2"/>
  <c r="M667" i="2" s="1"/>
  <c r="M653" i="2"/>
  <c r="M240" i="2"/>
  <c r="M242" i="2" s="1"/>
  <c r="M311" i="2"/>
  <c r="U415" i="2"/>
  <c r="U378" i="2"/>
  <c r="U380" i="2" s="1"/>
</calcChain>
</file>

<file path=xl/sharedStrings.xml><?xml version="1.0" encoding="utf-8"?>
<sst xmlns="http://schemas.openxmlformats.org/spreadsheetml/2006/main" count="3974" uniqueCount="408">
  <si>
    <t xml:space="preserve"> </t>
  </si>
  <si>
    <t>TABLE A. PRESENT AND PROPOSED RATES</t>
  </si>
  <si>
    <t>PACIFIC POWER &amp; LIGHT COMPANY</t>
  </si>
  <si>
    <t>ESTIMATED EFFECT OF PROPOSED BASE RATE INCREASE</t>
  </si>
  <si>
    <t>ON REVENUES FROM ELECTRIC SALES TO ULTIMATE CONSUMERS</t>
  </si>
  <si>
    <t>IN WASHINGTON</t>
  </si>
  <si>
    <t>12 MONTHS ENDED JUNE 2015</t>
  </si>
  <si>
    <t>Effective September 15, 2017</t>
  </si>
  <si>
    <t>9/15/17</t>
  </si>
  <si>
    <t>Present</t>
  </si>
  <si>
    <t>Proposed</t>
  </si>
  <si>
    <t>Curr.</t>
  </si>
  <si>
    <t>Base</t>
  </si>
  <si>
    <t>Current</t>
  </si>
  <si>
    <t>Change</t>
  </si>
  <si>
    <t>Line</t>
  </si>
  <si>
    <t>Sch.</t>
  </si>
  <si>
    <t>Avg.</t>
  </si>
  <si>
    <t>Revenues</t>
  </si>
  <si>
    <t>Increase</t>
  </si>
  <si>
    <t>Rates</t>
  </si>
  <si>
    <t>No.</t>
  </si>
  <si>
    <t>Description</t>
  </si>
  <si>
    <t>Cust.</t>
  </si>
  <si>
    <t>MWH</t>
  </si>
  <si>
    <t>($000)</t>
  </si>
  <si>
    <t>%</t>
  </si>
  <si>
    <t>(cents/kWh)</t>
  </si>
  <si>
    <t>(1)</t>
  </si>
  <si>
    <t>(2)</t>
  </si>
  <si>
    <t>(3)</t>
  </si>
  <si>
    <t>(4)</t>
  </si>
  <si>
    <t>(5)</t>
  </si>
  <si>
    <t>(7)</t>
  </si>
  <si>
    <t>(8)</t>
  </si>
  <si>
    <t>(6)</t>
  </si>
  <si>
    <t>(12)</t>
  </si>
  <si>
    <t>(13)</t>
  </si>
  <si>
    <t>(7)/(5)</t>
  </si>
  <si>
    <t>(6/4)</t>
  </si>
  <si>
    <t>Residential</t>
  </si>
  <si>
    <t>Residential Service</t>
  </si>
  <si>
    <t>16/17/18</t>
  </si>
  <si>
    <t xml:space="preserve">  Total Residential</t>
  </si>
  <si>
    <t>Commercial &amp; Industrial</t>
  </si>
  <si>
    <t>Small General Service</t>
  </si>
  <si>
    <t>Partial Requirements Service</t>
  </si>
  <si>
    <t>Large General Service &lt;1,000 kW</t>
  </si>
  <si>
    <t>Agricultural Pumping Service</t>
  </si>
  <si>
    <t>40</t>
  </si>
  <si>
    <t>Partial Requirements Service =&gt; 1,000 kW</t>
  </si>
  <si>
    <t>Large General Service =&gt; 1,000 kW</t>
  </si>
  <si>
    <t>Large General Service =&gt; 30,000 kW</t>
  </si>
  <si>
    <t>48</t>
  </si>
  <si>
    <t>Recreational Field Lighting</t>
  </si>
  <si>
    <t>54</t>
  </si>
  <si>
    <t xml:space="preserve">  Total Commercial &amp; Industrial</t>
  </si>
  <si>
    <t>Public Street Lighting</t>
  </si>
  <si>
    <t>Outdoor Area Lighting Service</t>
  </si>
  <si>
    <t>15</t>
  </si>
  <si>
    <t>Street Lighting Service</t>
  </si>
  <si>
    <t>51</t>
  </si>
  <si>
    <t xml:space="preserve">  Total Public Street Lighting</t>
  </si>
  <si>
    <t>Total Sales to Standard Tariff Customers</t>
  </si>
  <si>
    <t>Total AGA</t>
  </si>
  <si>
    <t>Total Sales to Ultimate Consumers</t>
  </si>
  <si>
    <t>STATE OF WASHINGTON</t>
  </si>
  <si>
    <t>(Including Effects of Unbilled Revenue, Unbilled MWh and Weather Normalization)</t>
  </si>
  <si>
    <t>Units</t>
  </si>
  <si>
    <t>Proposed Effective 09/15/17</t>
  </si>
  <si>
    <t xml:space="preserve">Distribution </t>
  </si>
  <si>
    <t>Distribution</t>
  </si>
  <si>
    <t>Transmission</t>
  </si>
  <si>
    <t>Generation</t>
  </si>
  <si>
    <t>Actual</t>
  </si>
  <si>
    <t>Price</t>
  </si>
  <si>
    <t>Dollars</t>
  </si>
  <si>
    <t>SCHEDULE 15</t>
  </si>
  <si>
    <t>Outdoor Area Lighting Service-Grand Combined</t>
  </si>
  <si>
    <t>Mercury Vapor Lamp Charges</t>
  </si>
  <si>
    <t xml:space="preserve">     7,000 Lumens</t>
  </si>
  <si>
    <t xml:space="preserve">    21,000 Lumens</t>
  </si>
  <si>
    <t xml:space="preserve">    55,000 Lumens</t>
  </si>
  <si>
    <t>High Pressure Sodium Vapor Lamp Charges</t>
  </si>
  <si>
    <t xml:space="preserve">     5,800 Lumens</t>
  </si>
  <si>
    <t xml:space="preserve">    22,000 Lumens</t>
  </si>
  <si>
    <t xml:space="preserve">    50,000 Lumens</t>
  </si>
  <si>
    <t>Pole Charges</t>
  </si>
  <si>
    <t>NPC-Base - NPC per kWh *</t>
  </si>
  <si>
    <t>¢</t>
  </si>
  <si>
    <t>Total Bills</t>
  </si>
  <si>
    <t>Subtotal</t>
  </si>
  <si>
    <t xml:space="preserve">  Unbilled</t>
  </si>
  <si>
    <t>Total</t>
  </si>
  <si>
    <t>Target Dollars</t>
  </si>
  <si>
    <t>*Included in Generation Price</t>
  </si>
  <si>
    <t>Difference</t>
  </si>
  <si>
    <t>Outdoor Area Lighting Service-Residential</t>
  </si>
  <si>
    <t>NPC-Base - NPC per kWh</t>
  </si>
  <si>
    <t>Outdoor Area Lighting Service-Commercial</t>
  </si>
  <si>
    <t>Outdoor Area Lighting Service-Industrial</t>
  </si>
  <si>
    <t>SCHEDULE 16/18</t>
  </si>
  <si>
    <t>Residential Service-Combined</t>
  </si>
  <si>
    <t>% Increase</t>
  </si>
  <si>
    <t xml:space="preserve">  Basic Charge</t>
  </si>
  <si>
    <t xml:space="preserve">  1st 600 kWh</t>
  </si>
  <si>
    <t xml:space="preserve">  All addt'l kWh</t>
  </si>
  <si>
    <t xml:space="preserve">  kW demand </t>
  </si>
  <si>
    <t>Minimum kW Charge</t>
  </si>
  <si>
    <t xml:space="preserve">  kW demand in minimum</t>
  </si>
  <si>
    <t>NPC-Base - 1st 600 kWh</t>
  </si>
  <si>
    <t>NPC-Base - All Addt'l kWh</t>
  </si>
  <si>
    <t>Total Rate - 1st 600 kWh</t>
  </si>
  <si>
    <t>Total Rate - All Addt'l kWh</t>
  </si>
  <si>
    <t xml:space="preserve">  Subtotal</t>
  </si>
  <si>
    <t xml:space="preserve">  Total</t>
  </si>
  <si>
    <t>SCHEDULE 16</t>
  </si>
  <si>
    <t>Includes Schedule 16 Net Metering</t>
  </si>
  <si>
    <t>SCHEDULE 17</t>
  </si>
  <si>
    <t>SCHEDULE 18</t>
  </si>
  <si>
    <t>SCHEDULE 18X</t>
  </si>
  <si>
    <t>SCHEDULE 24</t>
  </si>
  <si>
    <t>Small General Service-Grand Combined</t>
  </si>
  <si>
    <t xml:space="preserve">Seasonal </t>
  </si>
  <si>
    <t xml:space="preserve">  Single Phase</t>
  </si>
  <si>
    <t xml:space="preserve">  Three Phase</t>
  </si>
  <si>
    <t xml:space="preserve">  Load Size &gt; 15 kW</t>
  </si>
  <si>
    <t>Basic Charge</t>
  </si>
  <si>
    <t>Total Basic Charges</t>
  </si>
  <si>
    <t xml:space="preserve">  All kW &gt;15</t>
  </si>
  <si>
    <t xml:space="preserve">  1st  1,000 kWh</t>
  </si>
  <si>
    <t xml:space="preserve">  Next 8,000 kWh</t>
  </si>
  <si>
    <t xml:space="preserve">  All additional kWh</t>
  </si>
  <si>
    <t xml:space="preserve">  Excess Kvar</t>
  </si>
  <si>
    <t>NPC-Base - 1st 1,000 kWh</t>
  </si>
  <si>
    <t>NPC-Base -Next 8,000 kWh</t>
  </si>
  <si>
    <t>NPC-Base - All Additional kWh</t>
  </si>
  <si>
    <t>Total Rate - 1st 1,000 kWh</t>
  </si>
  <si>
    <t>Total Rate - Next 8,000 kWh</t>
  </si>
  <si>
    <t>Total Rate - All Additional kWh</t>
  </si>
  <si>
    <t>Discounts</t>
  </si>
  <si>
    <t xml:space="preserve">   Load Size &gt; 15 kW</t>
  </si>
  <si>
    <t xml:space="preserve">  All kW</t>
  </si>
  <si>
    <t xml:space="preserve">  1st 1,000 kWh</t>
  </si>
  <si>
    <t xml:space="preserve">  High Voltage Charge</t>
  </si>
  <si>
    <t xml:space="preserve">  Load Size Discount</t>
  </si>
  <si>
    <t>Target</t>
  </si>
  <si>
    <t>Small General Service-Combined</t>
  </si>
  <si>
    <t>Small General Service-Residential</t>
  </si>
  <si>
    <t xml:space="preserve">  All kW&gt;15</t>
  </si>
  <si>
    <t>Small General Service-Commercial</t>
  </si>
  <si>
    <t>Includes Schedule 24 Net Metering</t>
  </si>
  <si>
    <t>Small General Service-Industrial</t>
  </si>
  <si>
    <t>SCHEDULE 24F</t>
  </si>
  <si>
    <t xml:space="preserve">  Single Phase (units)</t>
  </si>
  <si>
    <t>SCHEDULE 24FP</t>
  </si>
  <si>
    <t>Seasonal</t>
  </si>
  <si>
    <t>Total Monthly Bills</t>
  </si>
  <si>
    <t>SCHEDULE 33</t>
  </si>
  <si>
    <t xml:space="preserve">  &lt;=100 kW</t>
  </si>
  <si>
    <t xml:space="preserve">  101 - 300 kW</t>
  </si>
  <si>
    <t xml:space="preserve">  &gt;300 kW</t>
  </si>
  <si>
    <t>Demand Charges</t>
  </si>
  <si>
    <t xml:space="preserve"> All kW</t>
  </si>
  <si>
    <t>Energy Charges</t>
  </si>
  <si>
    <t xml:space="preserve">  1st 40,000 kWh</t>
  </si>
  <si>
    <t xml:space="preserve">  Excess Kvarh</t>
  </si>
  <si>
    <t>NPC-Base - 1st 40,000 kWh</t>
  </si>
  <si>
    <t>NPC-Base - All additional kWh</t>
  </si>
  <si>
    <t xml:space="preserve">  Excess kVar</t>
  </si>
  <si>
    <t xml:space="preserve">  Excess kVarh</t>
  </si>
  <si>
    <t>High Voltage Charge--Primary</t>
  </si>
  <si>
    <t>Load Size Discount - Primary</t>
  </si>
  <si>
    <t>Standby kW</t>
  </si>
  <si>
    <t>Overrun kW</t>
  </si>
  <si>
    <t>Overrun kWh</t>
  </si>
  <si>
    <t xml:space="preserve">  </t>
  </si>
  <si>
    <t>SCHEDULE 36</t>
  </si>
  <si>
    <t>Large General Service &lt; 1,000 kW-Grand Combined</t>
  </si>
  <si>
    <t xml:space="preserve"> Minimum kW</t>
  </si>
  <si>
    <t>Total Rate - 1st 40,000 kWh</t>
  </si>
  <si>
    <t>Total Rate - All additional kWh</t>
  </si>
  <si>
    <t>High Voltage Charge</t>
  </si>
  <si>
    <t>Load Size Discount</t>
  </si>
  <si>
    <t>Large General Service &lt; 1,000 kW-Commercial</t>
  </si>
  <si>
    <t>Large General Service &lt; 1,000 kW-Industrial</t>
  </si>
  <si>
    <t>SCHEDULE 40</t>
  </si>
  <si>
    <t>Agricultural Pumping Service-Grand Combined</t>
  </si>
  <si>
    <t>Annual Load Size Charge</t>
  </si>
  <si>
    <t xml:space="preserve">  Single Phase Bills</t>
  </si>
  <si>
    <t xml:space="preserve">  Three Phase Bills</t>
  </si>
  <si>
    <t xml:space="preserve">      &lt; 51 kW</t>
  </si>
  <si>
    <t xml:space="preserve">     &lt; 301 kW</t>
  </si>
  <si>
    <t xml:space="preserve">     &gt; 300 kW</t>
  </si>
  <si>
    <t>Monthly Bills</t>
  </si>
  <si>
    <t>Customer Count</t>
  </si>
  <si>
    <t>Annual Load Size kW Charge</t>
  </si>
  <si>
    <t xml:space="preserve">  Single Phase kW</t>
  </si>
  <si>
    <t xml:space="preserve">  Three Phase kW</t>
  </si>
  <si>
    <t>Single Phase Minimum Bills</t>
  </si>
  <si>
    <t>Three Phase &lt;51kW Minimum Bills</t>
  </si>
  <si>
    <t>KW in Minimum</t>
  </si>
  <si>
    <t xml:space="preserve">  Three Phase &lt;51kW, kW</t>
  </si>
  <si>
    <t xml:space="preserve">  All kWh</t>
  </si>
  <si>
    <t>NPC-Base - All kWh</t>
  </si>
  <si>
    <t>NPC</t>
  </si>
  <si>
    <t>Total Rate - All kWh</t>
  </si>
  <si>
    <t>Single Phase Min</t>
  </si>
  <si>
    <t>Three Phase &lt;51kW Min</t>
  </si>
  <si>
    <t>SCHEDULE 40X</t>
  </si>
  <si>
    <t>Agricultural Pumping Service-Industrial</t>
  </si>
  <si>
    <t>SCHEDULE 47T</t>
  </si>
  <si>
    <t>Large Partial Requirements Service - Secondary</t>
  </si>
  <si>
    <t xml:space="preserve">  &lt;=3000 kW</t>
  </si>
  <si>
    <t xml:space="preserve">  &gt;3000 kW</t>
  </si>
  <si>
    <t xml:space="preserve">  &lt;=3000 kW variable</t>
  </si>
  <si>
    <t xml:space="preserve">  &gt;3000 kW variable</t>
  </si>
  <si>
    <t>SCHEDULE 48T</t>
  </si>
  <si>
    <t>Large General Service 1,000 kW and over-Grand Combined</t>
  </si>
  <si>
    <t>Large General Service 1,000 kW and over-Combined</t>
  </si>
  <si>
    <t>Large General Service 1,000 kW and over-Secondary Combined</t>
  </si>
  <si>
    <t>Includes 47T</t>
  </si>
  <si>
    <t>Large General Service 1,000 kW and over-Secondary-Commercial</t>
  </si>
  <si>
    <t>Large General Service 1,000 kW and over-Secondary-Industrial</t>
  </si>
  <si>
    <t>Large General Service 1,000 kW and over-Primary-Combined</t>
  </si>
  <si>
    <t>Large General Service 1,000 kW and over-Primary-Commercial</t>
  </si>
  <si>
    <t>Large General Service 1,000 kW and over-Primary-Industrial</t>
  </si>
  <si>
    <t>Large General Service 1,000 kW and over-Commercial-Combined</t>
  </si>
  <si>
    <t>Large General Service 1,000 kW and over-Industrial-Combined</t>
  </si>
  <si>
    <t>Large General Service 30,000 kW and over-Primary Dedicated Facilities</t>
  </si>
  <si>
    <t xml:space="preserve">  &lt;=30000 kW</t>
  </si>
  <si>
    <t xml:space="preserve">  &gt;30000 kW</t>
  </si>
  <si>
    <t xml:space="preserve">  &gt;30000 kW variable</t>
  </si>
  <si>
    <t>SCHEDULE 51</t>
  </si>
  <si>
    <t xml:space="preserve">Street Lighting Service Company-Owned </t>
  </si>
  <si>
    <t>High Pressure Sodium Vapor</t>
  </si>
  <si>
    <t>Per Lamp Charges</t>
  </si>
  <si>
    <t xml:space="preserve">     9,500 Lumens</t>
  </si>
  <si>
    <t xml:space="preserve">     9,500 Lumens-Decorative Series 1</t>
  </si>
  <si>
    <t xml:space="preserve">     9,500 Lumens-Decorative Series 2</t>
  </si>
  <si>
    <t xml:space="preserve">     16,000 Lumens</t>
  </si>
  <si>
    <t xml:space="preserve">     16,000-Lumens Decorative Series 1</t>
  </si>
  <si>
    <t xml:space="preserve">    16,000-Lumens Decorative Series 2</t>
  </si>
  <si>
    <t xml:space="preserve">    27,500 Lumens</t>
  </si>
  <si>
    <t xml:space="preserve">LED </t>
  </si>
  <si>
    <t>Metal Halide</t>
  </si>
  <si>
    <t xml:space="preserve">    9,000 Lumens-Decorative Series 1</t>
  </si>
  <si>
    <t xml:space="preserve">    9,000 Lumens-Decorative Series 2</t>
  </si>
  <si>
    <t xml:space="preserve">   12,000 Lumens</t>
  </si>
  <si>
    <t xml:space="preserve">    12,000 Lumens-Decorative Series 1</t>
  </si>
  <si>
    <t xml:space="preserve">    12,000 Lumens-Decorative Series 2</t>
  </si>
  <si>
    <t xml:space="preserve">   19,500 Lumens</t>
  </si>
  <si>
    <t xml:space="preserve">   32,000 Lumens</t>
  </si>
  <si>
    <t>NPC-Base - All kWh *</t>
  </si>
  <si>
    <t>SCHEDULE 52</t>
  </si>
  <si>
    <t>Company-Owned Street Lighting Service</t>
  </si>
  <si>
    <t>Operation, Maintenance, Depreciation &amp; Fixed Costs</t>
  </si>
  <si>
    <t>Dusk to Dawn kWh</t>
  </si>
  <si>
    <t>Dusk to Midnight kWh</t>
  </si>
  <si>
    <t>Total Energy Rate per kWh</t>
  </si>
  <si>
    <t xml:space="preserve">    Subtotal</t>
  </si>
  <si>
    <t xml:space="preserve">    Unbilled</t>
  </si>
  <si>
    <t>SCHEDULE 53</t>
  </si>
  <si>
    <t>Customer-Owned Street Lighting Service - Grand Combined</t>
  </si>
  <si>
    <t>Non-Listed Lumen-Energy Only</t>
  </si>
  <si>
    <t>Listed Lumen-Energy Only</t>
  </si>
  <si>
    <t>SCHEDULE 53F</t>
  </si>
  <si>
    <t xml:space="preserve">Customer-Owned Street Lighting Service </t>
  </si>
  <si>
    <t xml:space="preserve">     5,800 Lumens-Energy Only</t>
  </si>
  <si>
    <t xml:space="preserve">     9,500 Lumens-Energy Only</t>
  </si>
  <si>
    <t xml:space="preserve">     16,000 Lumens-Energy Only</t>
  </si>
  <si>
    <t xml:space="preserve">     22,000 Lumens-Energy Only</t>
  </si>
  <si>
    <t xml:space="preserve">     27,500 Lumens-Energy Only</t>
  </si>
  <si>
    <t xml:space="preserve">     50,000 Lumens-Energy Only</t>
  </si>
  <si>
    <t xml:space="preserve">     9,000 Lumens-Energy Only</t>
  </si>
  <si>
    <t xml:space="preserve">    12,000 Lumens-Energy Only</t>
  </si>
  <si>
    <t xml:space="preserve">     19,500 Lumens-Energy Only</t>
  </si>
  <si>
    <t xml:space="preserve">     32,000 Lumens-Energy Only</t>
  </si>
  <si>
    <t xml:space="preserve">     107,800 Lumens-Energy Only</t>
  </si>
  <si>
    <t>Listed Lumen-Energy Only-above</t>
  </si>
  <si>
    <t>Total Energy Rate</t>
  </si>
  <si>
    <t>SCHEDULE 53M</t>
  </si>
  <si>
    <t>Customer-Owned Street Lighting Service</t>
  </si>
  <si>
    <t>Option A (Co. O&amp;M) kWh</t>
  </si>
  <si>
    <t>Option B (Cust. O&amp;M) kWh</t>
  </si>
  <si>
    <t>SCHEDULE 54</t>
  </si>
  <si>
    <t xml:space="preserve">  Basic Charge 1 Phase</t>
  </si>
  <si>
    <t xml:space="preserve">  Basic Charge 3 Phase</t>
  </si>
  <si>
    <t xml:space="preserve">  Total Bills</t>
  </si>
  <si>
    <t>SCHEDULE 57</t>
  </si>
  <si>
    <t>Mercury Vapor Street Lighting Service</t>
  </si>
  <si>
    <t>Overhead System on Wood Poles</t>
  </si>
  <si>
    <t>Horizontal Lamp Charges</t>
  </si>
  <si>
    <t>Vertical Lamp Charges</t>
  </si>
  <si>
    <t>Overhead System on Metal Poles</t>
  </si>
  <si>
    <t>Underground System</t>
  </si>
  <si>
    <t>Post 1977 System</t>
  </si>
  <si>
    <t>Contract</t>
  </si>
  <si>
    <t xml:space="preserve">     21,000 Lumens</t>
  </si>
  <si>
    <t>Washington TOTALS</t>
  </si>
  <si>
    <t>AGA</t>
  </si>
  <si>
    <t>Washington TOTALS with AGA</t>
  </si>
  <si>
    <t>Pacific Power &amp; Light Company</t>
  </si>
  <si>
    <t>Monthly Billing Comparison</t>
  </si>
  <si>
    <t>Schedule 16 - Residential Service</t>
  </si>
  <si>
    <t>Year 2</t>
  </si>
  <si>
    <r>
      <t xml:space="preserve">Monthly Energy Charge </t>
    </r>
    <r>
      <rPr>
        <vertAlign val="superscript"/>
        <sz val="11"/>
        <rFont val="Times New Roman"/>
        <family val="1"/>
      </rPr>
      <t>1</t>
    </r>
  </si>
  <si>
    <t>Monthly Basic Charge</t>
  </si>
  <si>
    <t>Total Change</t>
  </si>
  <si>
    <t>kWh</t>
  </si>
  <si>
    <t>$</t>
  </si>
  <si>
    <t>Basic</t>
  </si>
  <si>
    <t>Energy - 1st 600</t>
  </si>
  <si>
    <t>Energy</t>
  </si>
  <si>
    <t>SBC</t>
  </si>
  <si>
    <t>BPA Credit</t>
  </si>
  <si>
    <t>Low Income-Current</t>
  </si>
  <si>
    <t>Low Income-Proposed</t>
  </si>
  <si>
    <t>Renewable</t>
  </si>
  <si>
    <t>Residential Overall:</t>
  </si>
  <si>
    <t>*</t>
  </si>
  <si>
    <t>Notes:</t>
  </si>
  <si>
    <t>* Average Washington Customer</t>
  </si>
  <si>
    <r>
      <t xml:space="preserve">       </t>
    </r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Includes SBC Charge, Low Income Charge, Deferral Surcharge and BPA Credit.</t>
    </r>
  </si>
  <si>
    <t>Schedule 24 - Small General Service</t>
  </si>
  <si>
    <t>kW</t>
  </si>
  <si>
    <t>Monthly Billing *</t>
  </si>
  <si>
    <t>Dollar</t>
  </si>
  <si>
    <t>Percent</t>
  </si>
  <si>
    <t>Load Size/</t>
  </si>
  <si>
    <t>kWh per kW</t>
  </si>
  <si>
    <t>Demand</t>
  </si>
  <si>
    <t>(Equiv Hours)</t>
  </si>
  <si>
    <t>Single Phase</t>
  </si>
  <si>
    <t>Three Phase</t>
  </si>
  <si>
    <t>Load Size</t>
  </si>
  <si>
    <t>Single</t>
  </si>
  <si>
    <t>Three P</t>
  </si>
  <si>
    <t>&lt;=15</t>
  </si>
  <si>
    <t>&gt;15</t>
  </si>
  <si>
    <t>1st 1,000 kWh</t>
  </si>
  <si>
    <t>Next 8,000 kWh</t>
  </si>
  <si>
    <t>Add'l kWh</t>
  </si>
  <si>
    <t>Low Income-proposed</t>
  </si>
  <si>
    <t>Renewal</t>
  </si>
  <si>
    <t>Overall:</t>
  </si>
  <si>
    <t xml:space="preserve">       * Includes SBC Charge, Deferral Surcharge and Low Income Charge.</t>
  </si>
  <si>
    <t>Schedule 36 - Large General Service &lt; 1,000 kW</t>
  </si>
  <si>
    <t>Schedule 36</t>
  </si>
  <si>
    <t xml:space="preserve">Schedule 36 </t>
  </si>
  <si>
    <t>Plus</t>
  </si>
  <si>
    <t>&lt;100</t>
  </si>
  <si>
    <t>101 - 300</t>
  </si>
  <si>
    <t>&gt;300</t>
  </si>
  <si>
    <t>1st 40,000</t>
  </si>
  <si>
    <t>Add'l</t>
  </si>
  <si>
    <t>Low Income-current</t>
  </si>
  <si>
    <t>Renewables</t>
  </si>
  <si>
    <t>Billing Comparison</t>
  </si>
  <si>
    <t>Schedule 40 - Agricultural Pumping Service</t>
  </si>
  <si>
    <t>Price Schedule 40 *</t>
  </si>
  <si>
    <t>Percent Difference</t>
  </si>
  <si>
    <t>Annual</t>
  </si>
  <si>
    <t>Schedule 40 **</t>
  </si>
  <si>
    <t>Monthly **</t>
  </si>
  <si>
    <t>All kWh</t>
  </si>
  <si>
    <t>Monthly Bill</t>
  </si>
  <si>
    <t>Charge</t>
  </si>
  <si>
    <t>Bill</t>
  </si>
  <si>
    <t>0-50 kW</t>
  </si>
  <si>
    <t>51-300 kW</t>
  </si>
  <si>
    <t>&gt;300 kW</t>
  </si>
  <si>
    <t xml:space="preserve">       * Includes SBC Charge BPA Credit, Deferral Surcharge and Low Income charge.</t>
  </si>
  <si>
    <t xml:space="preserve">      ** Does not include November Load Size Charge.</t>
  </si>
  <si>
    <t>Schedule 48T - Large General Service - Secondary</t>
  </si>
  <si>
    <t>1,000 kW and Over</t>
  </si>
  <si>
    <t>Price Schedule 48T</t>
  </si>
  <si>
    <t xml:space="preserve">Price Schedule 48T </t>
  </si>
  <si>
    <t>&lt;=3000</t>
  </si>
  <si>
    <t>&gt;3000</t>
  </si>
  <si>
    <t>Schedule 48 Overall:</t>
  </si>
  <si>
    <t>Schedule 48T - Large General Service - Primary</t>
  </si>
  <si>
    <t>30,000 kW and Over</t>
  </si>
  <si>
    <t>Served by Dedicated Facilities</t>
  </si>
  <si>
    <t>Currernt</t>
  </si>
  <si>
    <t>&gt;30000</t>
  </si>
  <si>
    <t xml:space="preserve">Washington Low Income </t>
  </si>
  <si>
    <t>Energy Rate Credit Proposal</t>
  </si>
  <si>
    <t>% of Federal</t>
  </si>
  <si>
    <t>Estimated</t>
  </si>
  <si>
    <t xml:space="preserve">Total </t>
  </si>
  <si>
    <t>Discount/</t>
  </si>
  <si>
    <t>Rate</t>
  </si>
  <si>
    <t>Poverty Level (FPL)</t>
  </si>
  <si>
    <t>Customers</t>
  </si>
  <si>
    <t>Credit</t>
  </si>
  <si>
    <t>Customer</t>
  </si>
  <si>
    <t>¢/kWh</t>
  </si>
  <si>
    <t xml:space="preserve">kWh </t>
  </si>
  <si>
    <t>0-75%</t>
  </si>
  <si>
    <t>76-100%</t>
  </si>
  <si>
    <t>101-150%</t>
  </si>
  <si>
    <t xml:space="preserve">    4,600 Lumens</t>
  </si>
  <si>
    <t xml:space="preserve">    5,600 Lumens</t>
  </si>
  <si>
    <t xml:space="preserve">    8,400 Lumens</t>
  </si>
  <si>
    <t xml:space="preserve">    9,800 Lumens</t>
  </si>
  <si>
    <t xml:space="preserve">    17,100 Lumens</t>
  </si>
  <si>
    <t xml:space="preserve">    22,100 Lumens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</si>
</sst>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4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_);\(#,##0.000\)"/>
    <numFmt numFmtId="165" formatCode="0.000_)"/>
    <numFmt numFmtId="166" formatCode="0.0%"/>
    <numFmt numFmtId="167" formatCode="_(&quot;$&quot;* #,##0_);_(&quot;$&quot;* \(#,##0\);_(&quot;$&quot;* &quot;-&quot;??_);_(@_)"/>
    <numFmt numFmtId="168" formatCode="0.00000000000000%"/>
    <numFmt numFmtId="169" formatCode="_(* #,##0_);_(* \(#,##0\);_(* &quot;-&quot;??_);_(@_)"/>
    <numFmt numFmtId="170" formatCode="_(* #,##0.00000_);_(* \(#,##0.00000\);_(* &quot;-&quot;??_);_(@_)"/>
    <numFmt numFmtId="171" formatCode="0.000000%"/>
    <numFmt numFmtId="172" formatCode="&quot;$&quot;#,##0.000000_);\(&quot;$&quot;#,##0.000000\)"/>
    <numFmt numFmtId="173" formatCode="0.000"/>
    <numFmt numFmtId="174" formatCode="0.000000_)"/>
    <numFmt numFmtId="175" formatCode="0.0000%"/>
    <numFmt numFmtId="176" formatCode="0.00_)"/>
    <numFmt numFmtId="177" formatCode="_(* #,##0.000_);_(* \(#,##0.000\);_(* &quot;-&quot;??_);_(@_)"/>
    <numFmt numFmtId="178" formatCode="0.000%"/>
    <numFmt numFmtId="179" formatCode="0.0000000%"/>
    <numFmt numFmtId="180" formatCode="#,##0.0_);\(#,##0.0\)"/>
    <numFmt numFmtId="181" formatCode="0.000000000_)"/>
    <numFmt numFmtId="182" formatCode="#,##0.00000"/>
    <numFmt numFmtId="183" formatCode="_(* #,##0.00000000_);_(* \(#,##0.00000000\);_(* &quot;-&quot;??_);_(@_)"/>
    <numFmt numFmtId="184" formatCode="0.00000000_)"/>
    <numFmt numFmtId="185" formatCode="&quot;$&quot;#,##0.000_);\(&quot;$&quot;#,##0.000\)"/>
    <numFmt numFmtId="186" formatCode="#,##0.000"/>
    <numFmt numFmtId="187" formatCode="&quot;$&quot;#,##0.00000_);\(&quot;$&quot;#,##0.00000\)"/>
    <numFmt numFmtId="188" formatCode="0.0000_)"/>
    <numFmt numFmtId="189" formatCode="_(&quot;$&quot;* #,##0.000000_);_(&quot;$&quot;* \(#,##0.000000\);_(&quot;$&quot;* &quot;-&quot;??_);_(@_)"/>
    <numFmt numFmtId="190" formatCode="_(&quot;$&quot;* #,##0.00000_);_(&quot;$&quot;* \(#,##0.00000\);_(&quot;$&quot;* &quot;-&quot;??_);_(@_)"/>
    <numFmt numFmtId="191" formatCode="_(* #,##0.0000_);_(* \(#,##0.0000\);_(* &quot;-&quot;??_);_(@_)"/>
    <numFmt numFmtId="192" formatCode="0.00000E+0;\-0.00000E+0"/>
  </numFmts>
  <fonts count="37" x14ac:knownFonts="1">
    <font>
      <sz val="12"/>
      <name val="Times New Roman"/>
    </font>
    <font>
      <sz val="12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sz val="12"/>
      <color indexed="8"/>
      <name val="Times New Roman"/>
      <family val="1"/>
    </font>
    <font>
      <b/>
      <sz val="11"/>
      <name val="TimesNewRomanPS"/>
    </font>
    <font>
      <sz val="11"/>
      <name val="TimesNewRomanPS"/>
    </font>
    <font>
      <b/>
      <sz val="11"/>
      <color indexed="8"/>
      <name val="TimesNewRomanPS"/>
    </font>
    <font>
      <sz val="10"/>
      <name val="Arial"/>
      <family val="2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2"/>
      <name val="Times New Roman"/>
      <family val="1"/>
    </font>
    <font>
      <b/>
      <sz val="14"/>
      <name val="Arial"/>
      <family val="2"/>
    </font>
    <font>
      <b/>
      <sz val="11"/>
      <name val="Arial"/>
      <family val="2"/>
    </font>
    <font>
      <sz val="12"/>
      <color indexed="10"/>
      <name val="Times New Roman"/>
      <family val="1"/>
    </font>
    <font>
      <sz val="12"/>
      <name val="Arial"/>
      <family val="2"/>
    </font>
    <font>
      <sz val="12"/>
      <color indexed="12"/>
      <name val="Arial"/>
      <family val="2"/>
    </font>
    <font>
      <sz val="12"/>
      <color indexed="56"/>
      <name val="Arial"/>
      <family val="2"/>
    </font>
    <font>
      <sz val="12"/>
      <color indexed="48"/>
      <name val="Times New Roman"/>
      <family val="1"/>
    </font>
    <font>
      <b/>
      <sz val="12"/>
      <name val="Times New Roman"/>
      <family val="1"/>
    </font>
    <font>
      <b/>
      <sz val="12"/>
      <color indexed="12"/>
      <name val="Times New Roman"/>
      <family val="1"/>
    </font>
    <font>
      <sz val="10"/>
      <color indexed="8"/>
      <name val="Times New Roman"/>
      <family val="1"/>
    </font>
    <font>
      <vertAlign val="superscript"/>
      <sz val="11"/>
      <name val="Times New Roman"/>
      <family val="1"/>
    </font>
    <font>
      <sz val="11"/>
      <color indexed="8"/>
      <name val="Times New Roman"/>
      <family val="1"/>
    </font>
    <font>
      <sz val="11"/>
      <color indexed="12"/>
      <name val="Times New Roman"/>
      <family val="1"/>
    </font>
    <font>
      <u/>
      <sz val="11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  <font>
      <b/>
      <sz val="16"/>
      <name val="Times New Roman"/>
      <family val="1"/>
    </font>
    <font>
      <sz val="14"/>
      <name val="Times New Roman"/>
      <family val="1"/>
    </font>
    <font>
      <u/>
      <sz val="12"/>
      <name val="Times New Roman"/>
      <family val="1"/>
    </font>
    <font>
      <b/>
      <sz val="12"/>
      <name val="Arial"/>
      <family val="2"/>
    </font>
    <font>
      <u/>
      <sz val="10"/>
      <name val="Arial"/>
      <family val="2"/>
    </font>
    <font>
      <u/>
      <sz val="12"/>
      <color indexed="8"/>
      <name val="Times New Roman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12"/>
      </bottom>
      <diagonal/>
    </border>
    <border>
      <left/>
      <right/>
      <top style="double">
        <color indexed="12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1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0" fontId="1" fillId="0" borderId="0"/>
    <xf numFmtId="0" fontId="8" fillId="0" borderId="0"/>
    <xf numFmtId="0" fontId="9" fillId="0" borderId="0"/>
    <xf numFmtId="0" fontId="8" fillId="0" borderId="0"/>
  </cellStyleXfs>
  <cellXfs count="586">
    <xf numFmtId="0" fontId="0" fillId="0" borderId="0" xfId="0"/>
    <xf numFmtId="0" fontId="1" fillId="0" borderId="0" xfId="4" applyFill="1"/>
    <xf numFmtId="0" fontId="2" fillId="0" borderId="0" xfId="4" applyFont="1" applyFill="1"/>
    <xf numFmtId="0" fontId="3" fillId="0" borderId="0" xfId="4" applyFont="1" applyFill="1"/>
    <xf numFmtId="0" fontId="4" fillId="0" borderId="0" xfId="4" applyFont="1" applyFill="1"/>
    <xf numFmtId="0" fontId="1" fillId="0" borderId="0" xfId="4" applyFont="1" applyFill="1"/>
    <xf numFmtId="0" fontId="5" fillId="0" borderId="0" xfId="4" quotePrefix="1" applyFont="1" applyFill="1" applyAlignment="1"/>
    <xf numFmtId="0" fontId="5" fillId="0" borderId="0" xfId="4" applyFont="1" applyFill="1" applyAlignment="1"/>
    <xf numFmtId="0" fontId="5" fillId="0" borderId="0" xfId="4" quotePrefix="1" applyFont="1" applyFill="1" applyAlignment="1">
      <alignment horizontal="center"/>
    </xf>
    <xf numFmtId="0" fontId="1" fillId="0" borderId="0" xfId="4" applyFill="1" applyBorder="1"/>
    <xf numFmtId="0" fontId="5" fillId="0" borderId="0" xfId="4" applyFont="1" applyFill="1" applyBorder="1" applyAlignment="1">
      <alignment horizontal="center"/>
    </xf>
    <xf numFmtId="0" fontId="6" fillId="0" borderId="0" xfId="4" applyFont="1" applyFill="1" applyBorder="1" applyAlignment="1">
      <alignment horizontal="center"/>
    </xf>
    <xf numFmtId="0" fontId="6" fillId="0" borderId="0" xfId="4" quotePrefix="1" applyFont="1" applyFill="1" applyBorder="1" applyAlignment="1">
      <alignment horizontal="center"/>
    </xf>
    <xf numFmtId="0" fontId="1" fillId="0" borderId="0" xfId="4" applyFont="1" applyFill="1" applyAlignment="1">
      <alignment horizontal="center"/>
    </xf>
    <xf numFmtId="0" fontId="1" fillId="0" borderId="0" xfId="4" applyFont="1" applyFill="1" applyBorder="1" applyAlignment="1">
      <alignment horizontal="left"/>
    </xf>
    <xf numFmtId="0" fontId="1" fillId="0" borderId="0" xfId="4" applyFont="1" applyFill="1" applyBorder="1" applyAlignment="1"/>
    <xf numFmtId="0" fontId="1" fillId="0" borderId="0" xfId="4" applyFont="1" applyFill="1" applyBorder="1" applyAlignment="1">
      <alignment horizontal="center"/>
    </xf>
    <xf numFmtId="0" fontId="4" fillId="0" borderId="0" xfId="4" applyFont="1" applyFill="1" applyAlignment="1">
      <alignment horizontal="center"/>
    </xf>
    <xf numFmtId="0" fontId="1" fillId="0" borderId="0" xfId="4" quotePrefix="1" applyFont="1" applyFill="1" applyBorder="1" applyAlignment="1">
      <alignment horizontal="center"/>
    </xf>
    <xf numFmtId="0" fontId="1" fillId="0" borderId="0" xfId="4" applyFill="1" applyAlignment="1">
      <alignment horizontal="center"/>
    </xf>
    <xf numFmtId="5" fontId="1" fillId="0" borderId="0" xfId="5" applyNumberFormat="1" applyBorder="1" applyAlignment="1">
      <alignment horizontal="center"/>
    </xf>
    <xf numFmtId="0" fontId="1" fillId="0" borderId="0" xfId="4" quotePrefix="1" applyFont="1" applyFill="1" applyAlignment="1">
      <alignment horizontal="center"/>
    </xf>
    <xf numFmtId="0" fontId="1" fillId="0" borderId="0" xfId="4" applyFill="1" applyBorder="1" applyAlignment="1">
      <alignment horizontal="center"/>
    </xf>
    <xf numFmtId="0" fontId="1" fillId="0" borderId="7" xfId="4" applyFill="1" applyBorder="1" applyAlignment="1">
      <alignment horizontal="center"/>
    </xf>
    <xf numFmtId="0" fontId="4" fillId="0" borderId="7" xfId="4" applyFont="1" applyFill="1" applyBorder="1" applyAlignment="1">
      <alignment horizontal="center"/>
    </xf>
    <xf numFmtId="0" fontId="4" fillId="0" borderId="0" xfId="4" applyFont="1" applyFill="1" applyBorder="1" applyAlignment="1">
      <alignment horizontal="center"/>
    </xf>
    <xf numFmtId="0" fontId="1" fillId="0" borderId="5" xfId="4" applyFont="1" applyFill="1" applyBorder="1" applyAlignment="1">
      <alignment horizontal="center"/>
    </xf>
    <xf numFmtId="6" fontId="1" fillId="0" borderId="7" xfId="4" quotePrefix="1" applyNumberFormat="1" applyFont="1" applyFill="1" applyBorder="1" applyAlignment="1">
      <alignment horizontal="center"/>
    </xf>
    <xf numFmtId="5" fontId="1" fillId="0" borderId="5" xfId="5" quotePrefix="1" applyNumberFormat="1" applyBorder="1" applyAlignment="1">
      <alignment horizontal="center"/>
    </xf>
    <xf numFmtId="6" fontId="1" fillId="0" borderId="0" xfId="4" quotePrefix="1" applyNumberFormat="1" applyFont="1" applyFill="1" applyBorder="1" applyAlignment="1">
      <alignment horizontal="center"/>
    </xf>
    <xf numFmtId="0" fontId="1" fillId="0" borderId="5" xfId="4" quotePrefix="1" applyFont="1" applyFill="1" applyBorder="1" applyAlignment="1">
      <alignment horizontal="center"/>
    </xf>
    <xf numFmtId="0" fontId="1" fillId="0" borderId="0" xfId="4" quotePrefix="1" applyFont="1" applyFill="1"/>
    <xf numFmtId="0" fontId="7" fillId="0" borderId="0" xfId="4" applyFont="1" applyFill="1"/>
    <xf numFmtId="0" fontId="4" fillId="0" borderId="0" xfId="4" quotePrefix="1" applyFont="1" applyFill="1" applyAlignment="1">
      <alignment horizontal="center"/>
    </xf>
    <xf numFmtId="37" fontId="1" fillId="0" borderId="0" xfId="4" applyNumberFormat="1" applyFont="1" applyFill="1" applyProtection="1"/>
    <xf numFmtId="5" fontId="4" fillId="0" borderId="0" xfId="4" applyNumberFormat="1" applyFont="1" applyFill="1" applyProtection="1">
      <protection locked="0"/>
    </xf>
    <xf numFmtId="10" fontId="4" fillId="0" borderId="0" xfId="3" applyNumberFormat="1" applyFont="1" applyFill="1" applyProtection="1">
      <protection locked="0"/>
    </xf>
    <xf numFmtId="164" fontId="1" fillId="0" borderId="0" xfId="4" applyNumberFormat="1" applyFont="1" applyFill="1" applyProtection="1"/>
    <xf numFmtId="0" fontId="1" fillId="0" borderId="0" xfId="4" applyFont="1" applyFill="1" applyBorder="1"/>
    <xf numFmtId="10" fontId="4" fillId="0" borderId="0" xfId="3" applyNumberFormat="1" applyFont="1" applyFill="1" applyBorder="1" applyProtection="1">
      <protection locked="0"/>
    </xf>
    <xf numFmtId="2" fontId="1" fillId="0" borderId="0" xfId="4" applyNumberFormat="1" applyFont="1" applyFill="1"/>
    <xf numFmtId="0" fontId="1" fillId="0" borderId="7" xfId="4" applyFill="1" applyBorder="1"/>
    <xf numFmtId="10" fontId="1" fillId="0" borderId="5" xfId="3" applyNumberFormat="1" applyFont="1" applyFill="1" applyBorder="1"/>
    <xf numFmtId="0" fontId="1" fillId="0" borderId="5" xfId="4" applyFill="1" applyBorder="1"/>
    <xf numFmtId="0" fontId="0" fillId="0" borderId="0" xfId="0" applyFill="1" applyBorder="1"/>
    <xf numFmtId="10" fontId="1" fillId="0" borderId="0" xfId="4" applyNumberFormat="1" applyFill="1"/>
    <xf numFmtId="0" fontId="9" fillId="0" borderId="0" xfId="6" applyFont="1" applyFill="1" applyAlignment="1">
      <alignment horizontal="center"/>
    </xf>
    <xf numFmtId="37" fontId="1" fillId="0" borderId="0" xfId="4" applyNumberFormat="1" applyFill="1" applyProtection="1"/>
    <xf numFmtId="5" fontId="1" fillId="0" borderId="0" xfId="4" applyNumberFormat="1" applyFill="1" applyProtection="1"/>
    <xf numFmtId="165" fontId="0" fillId="0" borderId="0" xfId="0" applyNumberFormat="1" applyFill="1" applyBorder="1" applyProtection="1"/>
    <xf numFmtId="37" fontId="1" fillId="0" borderId="0" xfId="4" applyNumberFormat="1" applyFill="1"/>
    <xf numFmtId="5" fontId="1" fillId="0" borderId="0" xfId="4" applyNumberFormat="1" applyFill="1"/>
    <xf numFmtId="166" fontId="1" fillId="0" borderId="0" xfId="3" applyNumberFormat="1" applyFont="1" applyFill="1"/>
    <xf numFmtId="0" fontId="9" fillId="0" borderId="0" xfId="6" applyFont="1" applyFill="1"/>
    <xf numFmtId="10" fontId="1" fillId="0" borderId="5" xfId="4" applyNumberFormat="1" applyFill="1" applyBorder="1"/>
    <xf numFmtId="37" fontId="1" fillId="0" borderId="7" xfId="4" applyNumberFormat="1" applyFill="1" applyBorder="1" applyProtection="1"/>
    <xf numFmtId="5" fontId="1" fillId="0" borderId="7" xfId="4" applyNumberFormat="1" applyFill="1" applyBorder="1" applyProtection="1"/>
    <xf numFmtId="5" fontId="1" fillId="0" borderId="0" xfId="4" applyNumberFormat="1" applyFill="1" applyBorder="1" applyProtection="1"/>
    <xf numFmtId="10" fontId="4" fillId="0" borderId="5" xfId="3" applyNumberFormat="1" applyFont="1" applyFill="1" applyBorder="1" applyProtection="1">
      <protection locked="0"/>
    </xf>
    <xf numFmtId="164" fontId="1" fillId="0" borderId="5" xfId="4" applyNumberFormat="1" applyFont="1" applyFill="1" applyBorder="1" applyProtection="1"/>
    <xf numFmtId="165" fontId="1" fillId="0" borderId="0" xfId="0" applyNumberFormat="1" applyFont="1" applyFill="1" applyBorder="1" applyProtection="1"/>
    <xf numFmtId="37" fontId="1" fillId="0" borderId="0" xfId="4" applyNumberFormat="1" applyFill="1" applyBorder="1" applyProtection="1"/>
    <xf numFmtId="10" fontId="1" fillId="0" borderId="0" xfId="4" applyNumberFormat="1" applyFill="1" applyBorder="1" applyProtection="1"/>
    <xf numFmtId="0" fontId="10" fillId="0" borderId="0" xfId="4" applyFont="1" applyFill="1"/>
    <xf numFmtId="37" fontId="1" fillId="0" borderId="8" xfId="4" applyNumberFormat="1" applyFill="1" applyBorder="1"/>
    <xf numFmtId="5" fontId="1" fillId="0" borderId="8" xfId="4" applyNumberFormat="1" applyFill="1" applyBorder="1"/>
    <xf numFmtId="5" fontId="1" fillId="0" borderId="0" xfId="4" applyNumberFormat="1" applyFill="1" applyBorder="1"/>
    <xf numFmtId="10" fontId="4" fillId="0" borderId="8" xfId="3" applyNumberFormat="1" applyFont="1" applyFill="1" applyBorder="1" applyProtection="1">
      <protection locked="0"/>
    </xf>
    <xf numFmtId="165" fontId="0" fillId="0" borderId="8" xfId="0" applyNumberFormat="1" applyFill="1" applyBorder="1" applyProtection="1"/>
    <xf numFmtId="37" fontId="1" fillId="0" borderId="0" xfId="4" applyNumberFormat="1" applyFill="1" applyBorder="1"/>
    <xf numFmtId="5" fontId="4" fillId="0" borderId="0" xfId="3" applyNumberFormat="1" applyFont="1" applyFill="1" applyProtection="1">
      <protection locked="0"/>
    </xf>
    <xf numFmtId="10" fontId="4" fillId="0" borderId="0" xfId="3" quotePrefix="1" applyNumberFormat="1" applyFont="1" applyFill="1" applyBorder="1" applyProtection="1">
      <protection locked="0"/>
    </xf>
    <xf numFmtId="0" fontId="11" fillId="0" borderId="0" xfId="6" applyFont="1" applyFill="1"/>
    <xf numFmtId="37" fontId="1" fillId="0" borderId="8" xfId="4" applyNumberFormat="1" applyFont="1" applyFill="1" applyBorder="1" applyProtection="1"/>
    <xf numFmtId="5" fontId="4" fillId="0" borderId="8" xfId="3" applyNumberFormat="1" applyFont="1" applyFill="1" applyBorder="1" applyProtection="1">
      <protection locked="0"/>
    </xf>
    <xf numFmtId="10" fontId="1" fillId="0" borderId="0" xfId="4" applyNumberFormat="1" applyFont="1" applyFill="1"/>
    <xf numFmtId="5" fontId="1" fillId="0" borderId="0" xfId="4" applyNumberFormat="1" applyFont="1" applyFill="1" applyBorder="1"/>
    <xf numFmtId="166" fontId="4" fillId="0" borderId="0" xfId="3" applyNumberFormat="1" applyFont="1" applyFill="1" applyBorder="1" applyProtection="1">
      <protection locked="0"/>
    </xf>
    <xf numFmtId="0" fontId="1" fillId="0" borderId="0" xfId="4" applyFont="1" applyFill="1" applyAlignment="1">
      <alignment horizontal="right"/>
    </xf>
    <xf numFmtId="43" fontId="1" fillId="0" borderId="0" xfId="1" applyFont="1" applyFill="1"/>
    <xf numFmtId="10" fontId="1" fillId="0" borderId="0" xfId="3" applyNumberFormat="1" applyFont="1" applyFill="1"/>
    <xf numFmtId="167" fontId="12" fillId="0" borderId="0" xfId="2" applyNumberFormat="1" applyFont="1" applyFill="1"/>
    <xf numFmtId="166" fontId="12" fillId="0" borderId="0" xfId="3" applyNumberFormat="1" applyFont="1" applyFill="1" applyBorder="1" applyProtection="1">
      <protection locked="0"/>
    </xf>
    <xf numFmtId="1" fontId="1" fillId="0" borderId="0" xfId="4" applyNumberFormat="1" applyFill="1"/>
    <xf numFmtId="166" fontId="1" fillId="0" borderId="0" xfId="3" applyNumberFormat="1" applyFont="1" applyFill="1" applyBorder="1"/>
    <xf numFmtId="1" fontId="12" fillId="0" borderId="0" xfId="4" applyNumberFormat="1" applyFont="1" applyFill="1"/>
    <xf numFmtId="166" fontId="12" fillId="0" borderId="0" xfId="3" applyNumberFormat="1" applyFont="1" applyFill="1"/>
    <xf numFmtId="168" fontId="1" fillId="0" borderId="0" xfId="4" applyNumberFormat="1" applyFill="1"/>
    <xf numFmtId="166" fontId="1" fillId="0" borderId="0" xfId="4" applyNumberFormat="1" applyFill="1"/>
    <xf numFmtId="166" fontId="13" fillId="0" borderId="0" xfId="3" applyNumberFormat="1" applyFont="1" applyFill="1"/>
    <xf numFmtId="0" fontId="14" fillId="0" borderId="0" xfId="0" applyFont="1" applyFill="1" applyAlignment="1"/>
    <xf numFmtId="3" fontId="0" fillId="0" borderId="0" xfId="0" applyNumberFormat="1" applyFill="1" applyBorder="1"/>
    <xf numFmtId="0" fontId="0" fillId="0" borderId="0" xfId="0" applyFill="1"/>
    <xf numFmtId="0" fontId="15" fillId="0" borderId="0" xfId="0" quotePrefix="1" applyNumberFormat="1" applyFont="1" applyFill="1" applyAlignment="1"/>
    <xf numFmtId="0" fontId="11" fillId="0" borderId="0" xfId="0" quotePrefix="1" applyFont="1" applyFill="1" applyAlignment="1" applyProtection="1"/>
    <xf numFmtId="0" fontId="11" fillId="0" borderId="0" xfId="0" quotePrefix="1" applyFont="1" applyFill="1" applyAlignment="1" applyProtection="1">
      <alignment horizontal="centerContinuous"/>
    </xf>
    <xf numFmtId="0" fontId="15" fillId="0" borderId="0" xfId="0" applyFont="1" applyFill="1" applyAlignment="1" applyProtection="1">
      <alignment horizontal="centerContinuous"/>
    </xf>
    <xf numFmtId="37" fontId="15" fillId="0" borderId="0" xfId="0" applyNumberFormat="1" applyFont="1" applyFill="1" applyAlignment="1" applyProtection="1">
      <alignment horizontal="centerContinuous"/>
    </xf>
    <xf numFmtId="3" fontId="0" fillId="0" borderId="0" xfId="0" applyNumberFormat="1" applyFill="1"/>
    <xf numFmtId="0" fontId="15" fillId="0" borderId="0" xfId="0" applyFont="1" applyFill="1" applyProtection="1"/>
    <xf numFmtId="37" fontId="11" fillId="0" borderId="0" xfId="0" applyNumberFormat="1" applyFont="1" applyFill="1" applyAlignment="1" applyProtection="1">
      <alignment horizontal="center"/>
    </xf>
    <xf numFmtId="0" fontId="11" fillId="0" borderId="0" xfId="0" applyFont="1" applyFill="1" applyProtection="1"/>
    <xf numFmtId="0" fontId="10" fillId="0" borderId="0" xfId="0" applyFont="1" applyFill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37" fontId="11" fillId="0" borderId="7" xfId="0" applyNumberFormat="1" applyFont="1" applyFill="1" applyBorder="1" applyAlignment="1" applyProtection="1">
      <alignment horizontal="center"/>
    </xf>
    <xf numFmtId="0" fontId="11" fillId="0" borderId="7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/>
    </xf>
    <xf numFmtId="0" fontId="16" fillId="0" borderId="0" xfId="0" applyFont="1" applyFill="1"/>
    <xf numFmtId="5" fontId="0" fillId="0" borderId="0" xfId="0" applyNumberFormat="1" applyFill="1" applyProtection="1"/>
    <xf numFmtId="37" fontId="0" fillId="0" borderId="0" xfId="0" applyNumberFormat="1" applyFill="1"/>
    <xf numFmtId="7" fontId="13" fillId="0" borderId="0" xfId="2" applyNumberFormat="1" applyFont="1" applyFill="1"/>
    <xf numFmtId="5" fontId="4" fillId="0" borderId="0" xfId="0" applyNumberFormat="1" applyFont="1" applyFill="1" applyProtection="1"/>
    <xf numFmtId="169" fontId="1" fillId="0" borderId="0" xfId="1" applyNumberFormat="1" applyFont="1" applyFill="1"/>
    <xf numFmtId="43" fontId="0" fillId="0" borderId="0" xfId="0" applyNumberFormat="1" applyFill="1"/>
    <xf numFmtId="7" fontId="13" fillId="0" borderId="0" xfId="0" applyNumberFormat="1" applyFont="1" applyFill="1"/>
    <xf numFmtId="5" fontId="0" fillId="0" borderId="0" xfId="0" applyNumberFormat="1" applyFill="1"/>
    <xf numFmtId="0" fontId="13" fillId="0" borderId="0" xfId="2" applyNumberFormat="1" applyFont="1" applyFill="1"/>
    <xf numFmtId="0" fontId="13" fillId="0" borderId="0" xfId="0" applyFont="1" applyFill="1"/>
    <xf numFmtId="0" fontId="1" fillId="0" borderId="0" xfId="0" applyFont="1" applyFill="1"/>
    <xf numFmtId="0" fontId="1" fillId="0" borderId="0" xfId="7" applyFont="1" applyFill="1"/>
    <xf numFmtId="0" fontId="1" fillId="0" borderId="0" xfId="7" applyFill="1"/>
    <xf numFmtId="37" fontId="1" fillId="0" borderId="0" xfId="7" applyNumberFormat="1" applyFill="1"/>
    <xf numFmtId="0" fontId="1" fillId="0" borderId="0" xfId="7" applyFill="1" applyBorder="1"/>
    <xf numFmtId="5" fontId="4" fillId="0" borderId="0" xfId="7" applyNumberFormat="1" applyFont="1" applyFill="1" applyProtection="1"/>
    <xf numFmtId="165" fontId="13" fillId="0" borderId="0" xfId="7" applyNumberFormat="1" applyFont="1" applyFill="1" applyProtection="1">
      <protection locked="0"/>
    </xf>
    <xf numFmtId="0" fontId="4" fillId="0" borderId="0" xfId="7" applyFont="1" applyFill="1" applyProtection="1"/>
    <xf numFmtId="5" fontId="1" fillId="0" borderId="0" xfId="7" applyNumberFormat="1" applyFill="1"/>
    <xf numFmtId="43" fontId="1" fillId="0" borderId="0" xfId="7" applyNumberFormat="1" applyFill="1"/>
    <xf numFmtId="7" fontId="13" fillId="0" borderId="0" xfId="2" applyNumberFormat="1" applyFont="1" applyFill="1" applyBorder="1"/>
    <xf numFmtId="37" fontId="0" fillId="0" borderId="0" xfId="0" applyNumberFormat="1" applyFill="1" applyBorder="1"/>
    <xf numFmtId="170" fontId="1" fillId="0" borderId="0" xfId="1" applyNumberFormat="1" applyFont="1" applyFill="1"/>
    <xf numFmtId="5" fontId="0" fillId="0" borderId="0" xfId="0" applyNumberFormat="1" applyFill="1" applyBorder="1" applyProtection="1"/>
    <xf numFmtId="5" fontId="4" fillId="0" borderId="7" xfId="0" applyNumberFormat="1" applyFont="1" applyFill="1" applyBorder="1" applyProtection="1"/>
    <xf numFmtId="5" fontId="4" fillId="0" borderId="0" xfId="0" applyNumberFormat="1" applyFont="1" applyFill="1" applyBorder="1" applyProtection="1"/>
    <xf numFmtId="0" fontId="0" fillId="0" borderId="0" xfId="0" applyFill="1" applyProtection="1"/>
    <xf numFmtId="3" fontId="1" fillId="0" borderId="0" xfId="0" applyNumberFormat="1" applyFont="1" applyFill="1" applyAlignment="1">
      <alignment horizontal="center"/>
    </xf>
    <xf numFmtId="37" fontId="0" fillId="0" borderId="12" xfId="0" applyNumberFormat="1" applyFont="1" applyFill="1" applyBorder="1" applyProtection="1"/>
    <xf numFmtId="5" fontId="4" fillId="0" borderId="13" xfId="0" applyNumberFormat="1" applyFont="1" applyFill="1" applyBorder="1" applyProtection="1"/>
    <xf numFmtId="5" fontId="4" fillId="0" borderId="12" xfId="0" applyNumberFormat="1" applyFont="1" applyFill="1" applyBorder="1" applyProtection="1"/>
    <xf numFmtId="0" fontId="0" fillId="0" borderId="1" xfId="0" applyFill="1" applyBorder="1"/>
    <xf numFmtId="37" fontId="0" fillId="0" borderId="2" xfId="0" applyNumberFormat="1" applyFill="1" applyBorder="1"/>
    <xf numFmtId="166" fontId="0" fillId="0" borderId="3" xfId="3" applyNumberFormat="1" applyFont="1" applyFill="1" applyBorder="1"/>
    <xf numFmtId="10" fontId="0" fillId="0" borderId="0" xfId="3" applyNumberFormat="1" applyFont="1" applyFill="1" applyBorder="1"/>
    <xf numFmtId="0" fontId="0" fillId="0" borderId="0" xfId="0" quotePrefix="1" applyFont="1" applyFill="1"/>
    <xf numFmtId="37" fontId="0" fillId="0" borderId="0" xfId="0" applyNumberFormat="1" applyFont="1" applyFill="1" applyBorder="1" applyProtection="1"/>
    <xf numFmtId="0" fontId="0" fillId="0" borderId="14" xfId="0" applyFill="1" applyBorder="1"/>
    <xf numFmtId="5" fontId="0" fillId="0" borderId="0" xfId="0" applyNumberFormat="1" applyFill="1" applyBorder="1"/>
    <xf numFmtId="166" fontId="0" fillId="0" borderId="15" xfId="3" applyNumberFormat="1" applyFont="1" applyFill="1" applyBorder="1"/>
    <xf numFmtId="37" fontId="0" fillId="0" borderId="0" xfId="0" applyNumberFormat="1" applyFill="1" applyProtection="1"/>
    <xf numFmtId="0" fontId="4" fillId="0" borderId="0" xfId="0" applyFont="1" applyFill="1" applyProtection="1"/>
    <xf numFmtId="0" fontId="0" fillId="0" borderId="4" xfId="0" applyFill="1" applyBorder="1"/>
    <xf numFmtId="5" fontId="0" fillId="0" borderId="5" xfId="0" applyNumberFormat="1" applyFill="1" applyBorder="1"/>
    <xf numFmtId="0" fontId="0" fillId="0" borderId="6" xfId="0" applyFill="1" applyBorder="1"/>
    <xf numFmtId="10" fontId="0" fillId="0" borderId="0" xfId="0" applyNumberFormat="1" applyFill="1" applyBorder="1"/>
    <xf numFmtId="171" fontId="1" fillId="0" borderId="0" xfId="3" applyNumberFormat="1" applyFont="1" applyFill="1"/>
    <xf numFmtId="0" fontId="17" fillId="0" borderId="0" xfId="8" applyFont="1" applyFill="1" applyBorder="1"/>
    <xf numFmtId="172" fontId="17" fillId="0" borderId="0" xfId="8" applyNumberFormat="1" applyFont="1" applyFill="1" applyBorder="1"/>
    <xf numFmtId="0" fontId="17" fillId="0" borderId="0" xfId="8" applyFont="1" applyFill="1" applyBorder="1" applyAlignment="1">
      <alignment horizontal="right"/>
    </xf>
    <xf numFmtId="169" fontId="17" fillId="0" borderId="0" xfId="1" applyNumberFormat="1" applyFont="1" applyFill="1" applyBorder="1"/>
    <xf numFmtId="0" fontId="17" fillId="0" borderId="0" xfId="8" applyFont="1" applyFill="1" applyBorder="1" applyAlignment="1">
      <alignment horizontal="left"/>
    </xf>
    <xf numFmtId="7" fontId="17" fillId="0" borderId="0" xfId="8" applyNumberFormat="1" applyFont="1" applyFill="1" applyBorder="1" applyAlignment="1">
      <alignment horizontal="right"/>
    </xf>
    <xf numFmtId="170" fontId="17" fillId="0" borderId="0" xfId="1" applyNumberFormat="1" applyFont="1" applyFill="1" applyBorder="1"/>
    <xf numFmtId="169" fontId="18" fillId="0" borderId="0" xfId="1" applyNumberFormat="1" applyFont="1" applyFill="1" applyBorder="1"/>
    <xf numFmtId="7" fontId="17" fillId="0" borderId="0" xfId="8" applyNumberFormat="1" applyFont="1" applyFill="1" applyBorder="1"/>
    <xf numFmtId="0" fontId="17" fillId="0" borderId="0" xfId="8" applyFont="1" applyFill="1" applyBorder="1" applyAlignment="1">
      <alignment horizontal="center"/>
    </xf>
    <xf numFmtId="10" fontId="19" fillId="0" borderId="0" xfId="8" applyNumberFormat="1" applyFont="1" applyFill="1" applyBorder="1"/>
    <xf numFmtId="5" fontId="17" fillId="0" borderId="0" xfId="8" applyNumberFormat="1" applyFont="1" applyFill="1" applyBorder="1"/>
    <xf numFmtId="10" fontId="17" fillId="0" borderId="0" xfId="3" applyNumberFormat="1" applyFont="1" applyFill="1" applyBorder="1"/>
    <xf numFmtId="0" fontId="16" fillId="0" borderId="0" xfId="0" applyFont="1" applyFill="1" applyProtection="1"/>
    <xf numFmtId="37" fontId="4" fillId="0" borderId="0" xfId="0" applyNumberFormat="1" applyFont="1" applyFill="1" applyProtection="1"/>
    <xf numFmtId="0" fontId="0" fillId="0" borderId="0" xfId="0" applyFill="1" applyBorder="1" applyAlignment="1">
      <alignment horizontal="right"/>
    </xf>
    <xf numFmtId="0" fontId="4" fillId="0" borderId="0" xfId="0" applyFont="1" applyFill="1" applyProtection="1">
      <protection locked="0"/>
    </xf>
    <xf numFmtId="3" fontId="1" fillId="0" borderId="0" xfId="0" applyNumberFormat="1" applyFont="1" applyFill="1" applyBorder="1" applyAlignment="1">
      <alignment horizontal="center"/>
    </xf>
    <xf numFmtId="7" fontId="13" fillId="0" borderId="0" xfId="0" applyNumberFormat="1" applyFont="1" applyFill="1" applyProtection="1">
      <protection locked="0"/>
    </xf>
    <xf numFmtId="9" fontId="0" fillId="0" borderId="0" xfId="3" applyFont="1" applyFill="1"/>
    <xf numFmtId="165" fontId="13" fillId="0" borderId="0" xfId="0" applyNumberFormat="1" applyFont="1" applyFill="1" applyProtection="1">
      <protection locked="0"/>
    </xf>
    <xf numFmtId="3" fontId="1" fillId="0" borderId="0" xfId="0" applyNumberFormat="1" applyFont="1" applyFill="1"/>
    <xf numFmtId="173" fontId="0" fillId="0" borderId="0" xfId="0" applyNumberFormat="1" applyFill="1"/>
    <xf numFmtId="167" fontId="1" fillId="0" borderId="0" xfId="2" applyNumberFormat="1" applyFont="1" applyFill="1"/>
    <xf numFmtId="0" fontId="4" fillId="0" borderId="0" xfId="0" applyFont="1" applyFill="1"/>
    <xf numFmtId="7" fontId="4" fillId="0" borderId="0" xfId="0" applyNumberFormat="1" applyFont="1" applyFill="1" applyProtection="1">
      <protection locked="0"/>
    </xf>
    <xf numFmtId="37" fontId="4" fillId="0" borderId="0" xfId="7" applyNumberFormat="1" applyFont="1" applyFill="1" applyProtection="1"/>
    <xf numFmtId="0" fontId="1" fillId="2" borderId="0" xfId="7" applyFont="1" applyFill="1"/>
    <xf numFmtId="0" fontId="1" fillId="2" borderId="0" xfId="7" applyFill="1"/>
    <xf numFmtId="37" fontId="4" fillId="2" borderId="0" xfId="7" applyNumberFormat="1" applyFont="1" applyFill="1" applyProtection="1"/>
    <xf numFmtId="165" fontId="13" fillId="2" borderId="0" xfId="7" applyNumberFormat="1" applyFont="1" applyFill="1" applyProtection="1">
      <protection locked="0"/>
    </xf>
    <xf numFmtId="0" fontId="4" fillId="2" borderId="0" xfId="7" applyFont="1" applyFill="1" applyProtection="1"/>
    <xf numFmtId="5" fontId="4" fillId="2" borderId="0" xfId="7" applyNumberFormat="1" applyFont="1" applyFill="1" applyProtection="1"/>
    <xf numFmtId="169" fontId="4" fillId="0" borderId="0" xfId="0" applyNumberFormat="1" applyFont="1" applyFill="1" applyProtection="1"/>
    <xf numFmtId="5" fontId="4" fillId="0" borderId="0" xfId="0" applyNumberFormat="1" applyFont="1" applyFill="1" applyProtection="1">
      <protection locked="0"/>
    </xf>
    <xf numFmtId="169" fontId="4" fillId="0" borderId="0" xfId="1" applyNumberFormat="1" applyFont="1" applyFill="1" applyProtection="1"/>
    <xf numFmtId="37" fontId="4" fillId="0" borderId="5" xfId="0" applyNumberFormat="1" applyFont="1" applyFill="1" applyBorder="1" applyProtection="1"/>
    <xf numFmtId="37" fontId="0" fillId="0" borderId="13" xfId="0" applyNumberFormat="1" applyFont="1" applyFill="1" applyBorder="1" applyProtection="1"/>
    <xf numFmtId="10" fontId="0" fillId="0" borderId="2" xfId="0" applyNumberFormat="1" applyFill="1" applyBorder="1"/>
    <xf numFmtId="166" fontId="0" fillId="0" borderId="2" xfId="3" applyNumberFormat="1" applyFont="1" applyFill="1" applyBorder="1"/>
    <xf numFmtId="174" fontId="4" fillId="0" borderId="0" xfId="0" applyNumberFormat="1" applyFont="1" applyFill="1" applyProtection="1"/>
    <xf numFmtId="175" fontId="1" fillId="0" borderId="0" xfId="3" applyNumberFormat="1" applyFont="1" applyFill="1" applyBorder="1"/>
    <xf numFmtId="166" fontId="4" fillId="0" borderId="0" xfId="3" applyNumberFormat="1" applyFont="1" applyFill="1" applyProtection="1"/>
    <xf numFmtId="0" fontId="20" fillId="0" borderId="0" xfId="0" applyFont="1" applyFill="1" applyProtection="1"/>
    <xf numFmtId="0" fontId="1" fillId="0" borderId="0" xfId="0" applyFont="1" applyFill="1" applyBorder="1"/>
    <xf numFmtId="37" fontId="4" fillId="0" borderId="7" xfId="0" applyNumberFormat="1" applyFont="1" applyFill="1" applyBorder="1" applyProtection="1"/>
    <xf numFmtId="167" fontId="4" fillId="0" borderId="0" xfId="2" applyNumberFormat="1" applyFont="1" applyFill="1" applyProtection="1"/>
    <xf numFmtId="0" fontId="0" fillId="0" borderId="0" xfId="0" applyFill="1" applyAlignment="1">
      <alignment horizontal="right"/>
    </xf>
    <xf numFmtId="9" fontId="1" fillId="0" borderId="0" xfId="3" applyNumberFormat="1" applyFont="1" applyFill="1"/>
    <xf numFmtId="37" fontId="0" fillId="0" borderId="0" xfId="0" applyNumberFormat="1" applyFont="1" applyFill="1" applyProtection="1"/>
    <xf numFmtId="10" fontId="0" fillId="0" borderId="0" xfId="0" applyNumberFormat="1" applyFill="1"/>
    <xf numFmtId="0" fontId="0" fillId="0" borderId="0" xfId="0" applyFont="1" applyFill="1" applyProtection="1"/>
    <xf numFmtId="5" fontId="0" fillId="0" borderId="0" xfId="0" applyNumberFormat="1" applyFont="1" applyFill="1" applyBorder="1" applyProtection="1"/>
    <xf numFmtId="0" fontId="13" fillId="0" borderId="0" xfId="0" applyFont="1" applyFill="1" applyProtection="1">
      <protection locked="0"/>
    </xf>
    <xf numFmtId="9" fontId="0" fillId="0" borderId="0" xfId="0" applyNumberFormat="1" applyFill="1"/>
    <xf numFmtId="169" fontId="0" fillId="0" borderId="0" xfId="0" applyNumberFormat="1" applyFill="1"/>
    <xf numFmtId="7" fontId="0" fillId="0" borderId="0" xfId="0" applyNumberFormat="1" applyFill="1"/>
    <xf numFmtId="176" fontId="13" fillId="0" borderId="0" xfId="0" applyNumberFormat="1" applyFont="1" applyFill="1" applyProtection="1">
      <protection locked="0"/>
    </xf>
    <xf numFmtId="5" fontId="1" fillId="0" borderId="0" xfId="7" applyNumberFormat="1" applyFont="1" applyFill="1" applyBorder="1" applyProtection="1"/>
    <xf numFmtId="37" fontId="1" fillId="0" borderId="0" xfId="7" applyNumberFormat="1" applyFont="1" applyFill="1" applyProtection="1"/>
    <xf numFmtId="0" fontId="1" fillId="0" borderId="0" xfId="7" applyFont="1" applyFill="1" applyProtection="1"/>
    <xf numFmtId="37" fontId="1" fillId="2" borderId="0" xfId="7" applyNumberFormat="1" applyFont="1" applyFill="1" applyProtection="1"/>
    <xf numFmtId="0" fontId="1" fillId="2" borderId="0" xfId="7" applyFont="1" applyFill="1" applyProtection="1"/>
    <xf numFmtId="5" fontId="1" fillId="2" borderId="0" xfId="7" applyNumberFormat="1" applyFont="1" applyFill="1" applyBorder="1" applyProtection="1"/>
    <xf numFmtId="0" fontId="10" fillId="0" borderId="0" xfId="0" applyFont="1" applyFill="1" applyProtection="1"/>
    <xf numFmtId="166" fontId="13" fillId="0" borderId="0" xfId="0" applyNumberFormat="1" applyFont="1" applyFill="1" applyProtection="1"/>
    <xf numFmtId="177" fontId="1" fillId="0" borderId="0" xfId="1" applyNumberFormat="1" applyFont="1" applyFill="1"/>
    <xf numFmtId="7" fontId="0" fillId="0" borderId="0" xfId="0" applyNumberFormat="1" applyFont="1" applyFill="1" applyProtection="1"/>
    <xf numFmtId="5" fontId="0" fillId="0" borderId="0" xfId="0" applyNumberFormat="1" applyFont="1" applyFill="1" applyProtection="1"/>
    <xf numFmtId="164" fontId="0" fillId="0" borderId="0" xfId="0" applyNumberFormat="1" applyFont="1" applyFill="1" applyProtection="1"/>
    <xf numFmtId="39" fontId="0" fillId="0" borderId="0" xfId="0" applyNumberFormat="1" applyFont="1" applyFill="1" applyProtection="1"/>
    <xf numFmtId="7" fontId="13" fillId="0" borderId="0" xfId="0" applyNumberFormat="1" applyFont="1" applyFill="1" applyProtection="1"/>
    <xf numFmtId="39" fontId="13" fillId="0" borderId="0" xfId="0" applyNumberFormat="1" applyFont="1" applyFill="1" applyProtection="1">
      <protection locked="0"/>
    </xf>
    <xf numFmtId="178" fontId="1" fillId="0" borderId="0" xfId="3" applyNumberFormat="1" applyFont="1" applyFill="1"/>
    <xf numFmtId="37" fontId="0" fillId="0" borderId="5" xfId="0" applyNumberFormat="1" applyFont="1" applyFill="1" applyBorder="1" applyProtection="1"/>
    <xf numFmtId="5" fontId="0" fillId="0" borderId="7" xfId="0" applyNumberFormat="1" applyFont="1" applyFill="1" applyBorder="1" applyProtection="1"/>
    <xf numFmtId="169" fontId="0" fillId="0" borderId="13" xfId="0" applyNumberFormat="1" applyFont="1" applyFill="1" applyBorder="1" applyProtection="1"/>
    <xf numFmtId="0" fontId="4" fillId="0" borderId="13" xfId="0" applyFont="1" applyFill="1" applyBorder="1" applyProtection="1"/>
    <xf numFmtId="5" fontId="0" fillId="0" borderId="13" xfId="0" applyNumberFormat="1" applyFont="1" applyFill="1" applyBorder="1" applyProtection="1"/>
    <xf numFmtId="169" fontId="1" fillId="0" borderId="13" xfId="1" applyNumberFormat="1" applyFont="1" applyFill="1" applyBorder="1" applyProtection="1"/>
    <xf numFmtId="166" fontId="1" fillId="0" borderId="3" xfId="3" applyNumberFormat="1" applyFont="1" applyFill="1" applyBorder="1"/>
    <xf numFmtId="10" fontId="1" fillId="0" borderId="0" xfId="3" applyNumberFormat="1" applyFont="1" applyFill="1" applyBorder="1"/>
    <xf numFmtId="169" fontId="0" fillId="0" borderId="0" xfId="0" applyNumberFormat="1" applyFont="1" applyFill="1" applyBorder="1" applyProtection="1"/>
    <xf numFmtId="0" fontId="4" fillId="0" borderId="0" xfId="0" applyFont="1" applyFill="1" applyBorder="1" applyProtection="1"/>
    <xf numFmtId="169" fontId="1" fillId="0" borderId="0" xfId="1" applyNumberFormat="1" applyFont="1" applyFill="1" applyBorder="1" applyProtection="1"/>
    <xf numFmtId="166" fontId="1" fillId="0" borderId="6" xfId="3" applyNumberFormat="1" applyFont="1" applyFill="1" applyBorder="1"/>
    <xf numFmtId="171" fontId="1" fillId="0" borderId="0" xfId="3" applyNumberFormat="1" applyFont="1" applyFill="1" applyBorder="1"/>
    <xf numFmtId="179" fontId="1" fillId="0" borderId="0" xfId="3" applyNumberFormat="1" applyFont="1" applyFill="1"/>
    <xf numFmtId="3" fontId="1" fillId="0" borderId="0" xfId="0" applyNumberFormat="1" applyFont="1" applyFill="1" applyBorder="1"/>
    <xf numFmtId="10" fontId="4" fillId="0" borderId="0" xfId="3" applyNumberFormat="1" applyFont="1" applyFill="1" applyProtection="1"/>
    <xf numFmtId="166" fontId="0" fillId="0" borderId="13" xfId="0" applyNumberFormat="1" applyFont="1" applyFill="1" applyBorder="1" applyProtection="1"/>
    <xf numFmtId="7" fontId="4" fillId="0" borderId="0" xfId="0" applyNumberFormat="1" applyFont="1" applyFill="1" applyProtection="1"/>
    <xf numFmtId="169" fontId="1" fillId="0" borderId="0" xfId="1" applyNumberFormat="1" applyFont="1" applyFill="1" applyBorder="1"/>
    <xf numFmtId="37" fontId="0" fillId="0" borderId="7" xfId="0" applyNumberFormat="1" applyFont="1" applyFill="1" applyBorder="1" applyProtection="1"/>
    <xf numFmtId="166" fontId="0" fillId="0" borderId="0" xfId="0" applyNumberFormat="1" applyFont="1" applyFill="1" applyBorder="1" applyProtection="1"/>
    <xf numFmtId="7" fontId="1" fillId="0" borderId="0" xfId="0" applyNumberFormat="1" applyFont="1" applyFill="1" applyProtection="1"/>
    <xf numFmtId="5" fontId="13" fillId="0" borderId="0" xfId="0" applyNumberFormat="1" applyFont="1" applyFill="1" applyProtection="1">
      <protection locked="0"/>
    </xf>
    <xf numFmtId="37" fontId="13" fillId="0" borderId="0" xfId="0" applyNumberFormat="1" applyFont="1" applyFill="1" applyProtection="1"/>
    <xf numFmtId="7" fontId="16" fillId="0" borderId="0" xfId="0" applyNumberFormat="1" applyFont="1" applyFill="1" applyProtection="1"/>
    <xf numFmtId="180" fontId="0" fillId="0" borderId="0" xfId="0" applyNumberFormat="1" applyFont="1" applyFill="1" applyProtection="1"/>
    <xf numFmtId="43" fontId="13" fillId="0" borderId="0" xfId="1" applyFont="1" applyFill="1" applyProtection="1">
      <protection locked="0"/>
    </xf>
    <xf numFmtId="5" fontId="1" fillId="0" borderId="0" xfId="7" applyNumberFormat="1" applyFont="1" applyFill="1" applyProtection="1"/>
    <xf numFmtId="0" fontId="21" fillId="0" borderId="0" xfId="0" applyFont="1" applyFill="1" applyProtection="1"/>
    <xf numFmtId="5" fontId="13" fillId="0" borderId="0" xfId="0" applyNumberFormat="1" applyFont="1" applyFill="1" applyProtection="1"/>
    <xf numFmtId="165" fontId="0" fillId="0" borderId="0" xfId="0" applyNumberFormat="1" applyFont="1" applyFill="1" applyProtection="1"/>
    <xf numFmtId="165" fontId="4" fillId="0" borderId="0" xfId="0" applyNumberFormat="1" applyFont="1" applyFill="1" applyProtection="1">
      <protection locked="0"/>
    </xf>
    <xf numFmtId="176" fontId="0" fillId="0" borderId="0" xfId="0" applyNumberFormat="1" applyFont="1" applyFill="1" applyProtection="1"/>
    <xf numFmtId="176" fontId="4" fillId="0" borderId="0" xfId="0" applyNumberFormat="1" applyFont="1" applyFill="1" applyProtection="1">
      <protection locked="0"/>
    </xf>
    <xf numFmtId="43" fontId="1" fillId="0" borderId="0" xfId="0" applyNumberFormat="1" applyFont="1" applyFill="1" applyProtection="1"/>
    <xf numFmtId="5" fontId="16" fillId="0" borderId="0" xfId="0" applyNumberFormat="1" applyFont="1" applyFill="1" applyProtection="1"/>
    <xf numFmtId="37" fontId="4" fillId="0" borderId="13" xfId="0" applyNumberFormat="1" applyFont="1" applyFill="1" applyBorder="1" applyProtection="1"/>
    <xf numFmtId="181" fontId="0" fillId="0" borderId="0" xfId="0" applyNumberFormat="1" applyFont="1" applyFill="1" applyProtection="1"/>
    <xf numFmtId="0" fontId="1" fillId="0" borderId="0" xfId="0" applyFont="1" applyFill="1" applyBorder="1" applyAlignment="1">
      <alignment horizontal="center"/>
    </xf>
    <xf numFmtId="7" fontId="1" fillId="0" borderId="0" xfId="0" applyNumberFormat="1" applyFont="1" applyFill="1" applyProtection="1">
      <protection locked="0"/>
    </xf>
    <xf numFmtId="177" fontId="13" fillId="0" borderId="0" xfId="1" applyNumberFormat="1" applyFont="1" applyFill="1" applyProtection="1">
      <protection locked="0"/>
    </xf>
    <xf numFmtId="7" fontId="13" fillId="0" borderId="0" xfId="1" applyNumberFormat="1" applyFont="1" applyFill="1" applyProtection="1">
      <protection locked="0"/>
    </xf>
    <xf numFmtId="177" fontId="13" fillId="2" borderId="0" xfId="1" applyNumberFormat="1" applyFont="1" applyFill="1" applyProtection="1">
      <protection locked="0"/>
    </xf>
    <xf numFmtId="5" fontId="1" fillId="2" borderId="0" xfId="7" applyNumberFormat="1" applyFont="1" applyFill="1" applyProtection="1"/>
    <xf numFmtId="182" fontId="0" fillId="0" borderId="0" xfId="0" applyNumberFormat="1" applyFill="1"/>
    <xf numFmtId="0" fontId="16" fillId="0" borderId="0" xfId="0" applyFont="1" applyFill="1" applyProtection="1">
      <protection locked="0"/>
    </xf>
    <xf numFmtId="182" fontId="1" fillId="0" borderId="0" xfId="0" applyNumberFormat="1" applyFont="1" applyFill="1"/>
    <xf numFmtId="167" fontId="4" fillId="0" borderId="0" xfId="0" applyNumberFormat="1" applyFont="1" applyFill="1" applyProtection="1"/>
    <xf numFmtId="183" fontId="1" fillId="0" borderId="0" xfId="1" applyNumberFormat="1" applyFont="1" applyFill="1"/>
    <xf numFmtId="10" fontId="19" fillId="0" borderId="0" xfId="8" applyNumberFormat="1" applyFont="1" applyFill="1"/>
    <xf numFmtId="7" fontId="17" fillId="0" borderId="0" xfId="8" applyNumberFormat="1" applyFont="1" applyFill="1"/>
    <xf numFmtId="37" fontId="4" fillId="0" borderId="0" xfId="0" applyNumberFormat="1" applyFont="1" applyFill="1" applyBorder="1" applyProtection="1"/>
    <xf numFmtId="5" fontId="1" fillId="0" borderId="0" xfId="0" applyNumberFormat="1" applyFont="1" applyFill="1" applyBorder="1" applyProtection="1"/>
    <xf numFmtId="171" fontId="1" fillId="0" borderId="6" xfId="3" applyNumberFormat="1" applyFont="1" applyFill="1" applyBorder="1"/>
    <xf numFmtId="177" fontId="13" fillId="0" borderId="0" xfId="0" applyNumberFormat="1" applyFont="1" applyFill="1" applyProtection="1">
      <protection locked="0"/>
    </xf>
    <xf numFmtId="43" fontId="13" fillId="0" borderId="0" xfId="0" applyNumberFormat="1" applyFont="1" applyFill="1" applyProtection="1">
      <protection locked="0"/>
    </xf>
    <xf numFmtId="43" fontId="13" fillId="0" borderId="0" xfId="1" applyNumberFormat="1" applyFont="1" applyFill="1" applyProtection="1">
      <protection locked="0"/>
    </xf>
    <xf numFmtId="3" fontId="1" fillId="0" borderId="0" xfId="7" applyNumberFormat="1" applyFill="1"/>
    <xf numFmtId="5" fontId="1" fillId="0" borderId="0" xfId="7" applyNumberFormat="1" applyFill="1" applyBorder="1"/>
    <xf numFmtId="3" fontId="1" fillId="0" borderId="0" xfId="7" applyNumberFormat="1" applyFill="1" applyBorder="1"/>
    <xf numFmtId="184" fontId="4" fillId="0" borderId="0" xfId="0" applyNumberFormat="1" applyFont="1" applyFill="1" applyProtection="1"/>
    <xf numFmtId="5" fontId="4" fillId="0" borderId="0" xfId="0" applyNumberFormat="1" applyFont="1" applyFill="1"/>
    <xf numFmtId="185" fontId="4" fillId="0" borderId="0" xfId="0" applyNumberFormat="1" applyFont="1" applyFill="1" applyProtection="1"/>
    <xf numFmtId="10" fontId="0" fillId="0" borderId="0" xfId="3" applyNumberFormat="1" applyFont="1" applyFill="1"/>
    <xf numFmtId="7" fontId="0" fillId="0" borderId="0" xfId="0" applyNumberFormat="1" applyFill="1" applyProtection="1"/>
    <xf numFmtId="4" fontId="0" fillId="0" borderId="0" xfId="0" applyNumberFormat="1" applyFill="1"/>
    <xf numFmtId="5" fontId="1" fillId="0" borderId="0" xfId="0" applyNumberFormat="1" applyFont="1" applyFill="1" applyProtection="1"/>
    <xf numFmtId="177" fontId="13" fillId="0" borderId="0" xfId="1" applyNumberFormat="1" applyFont="1" applyFill="1" applyProtection="1"/>
    <xf numFmtId="186" fontId="0" fillId="0" borderId="0" xfId="0" applyNumberFormat="1" applyFill="1"/>
    <xf numFmtId="43" fontId="13" fillId="0" borderId="0" xfId="1" applyFont="1" applyFill="1" applyProtection="1"/>
    <xf numFmtId="0" fontId="1" fillId="0" borderId="0" xfId="0" applyFont="1" applyFill="1" applyProtection="1"/>
    <xf numFmtId="177" fontId="13" fillId="2" borderId="0" xfId="1" applyNumberFormat="1" applyFont="1" applyFill="1" applyProtection="1"/>
    <xf numFmtId="173" fontId="4" fillId="0" borderId="0" xfId="0" applyNumberFormat="1" applyFont="1" applyFill="1" applyProtection="1"/>
    <xf numFmtId="43" fontId="13" fillId="0" borderId="0" xfId="1" applyNumberFormat="1" applyFont="1" applyFill="1" applyProtection="1"/>
    <xf numFmtId="5" fontId="1" fillId="0" borderId="5" xfId="7" applyNumberFormat="1" applyFont="1" applyFill="1" applyBorder="1" applyProtection="1"/>
    <xf numFmtId="166" fontId="0" fillId="0" borderId="0" xfId="0" applyNumberFormat="1" applyFill="1" applyBorder="1" applyProtection="1"/>
    <xf numFmtId="175" fontId="1" fillId="0" borderId="6" xfId="3" applyNumberFormat="1" applyFont="1" applyFill="1" applyBorder="1"/>
    <xf numFmtId="37" fontId="1" fillId="0" borderId="0" xfId="0" applyNumberFormat="1" applyFont="1" applyFill="1" applyProtection="1"/>
    <xf numFmtId="173" fontId="13" fillId="0" borderId="0" xfId="0" applyNumberFormat="1" applyFont="1" applyFill="1" applyProtection="1"/>
    <xf numFmtId="173" fontId="13" fillId="0" borderId="0" xfId="7" applyNumberFormat="1" applyFont="1" applyFill="1" applyProtection="1"/>
    <xf numFmtId="10" fontId="17" fillId="0" borderId="0" xfId="8" applyNumberFormat="1" applyFont="1" applyFill="1" applyBorder="1"/>
    <xf numFmtId="165" fontId="4" fillId="0" borderId="0" xfId="0" applyNumberFormat="1" applyFont="1" applyFill="1" applyProtection="1"/>
    <xf numFmtId="187" fontId="4" fillId="0" borderId="0" xfId="0" applyNumberFormat="1" applyFont="1" applyFill="1" applyProtection="1"/>
    <xf numFmtId="173" fontId="0" fillId="0" borderId="0" xfId="0" applyNumberFormat="1" applyFont="1" applyFill="1"/>
    <xf numFmtId="165" fontId="4" fillId="0" borderId="0" xfId="7" applyNumberFormat="1" applyFont="1" applyFill="1" applyProtection="1"/>
    <xf numFmtId="5" fontId="4" fillId="0" borderId="5" xfId="0" applyNumberFormat="1" applyFont="1" applyFill="1" applyBorder="1" applyProtection="1"/>
    <xf numFmtId="37" fontId="4" fillId="0" borderId="12" xfId="0" applyNumberFormat="1" applyFont="1" applyFill="1" applyBorder="1" applyProtection="1"/>
    <xf numFmtId="5" fontId="0" fillId="0" borderId="2" xfId="0" applyNumberFormat="1" applyFill="1" applyBorder="1"/>
    <xf numFmtId="165" fontId="13" fillId="0" borderId="0" xfId="1" applyNumberFormat="1" applyFont="1" applyFill="1" applyProtection="1"/>
    <xf numFmtId="165" fontId="13" fillId="0" borderId="0" xfId="0" applyNumberFormat="1" applyFont="1" applyFill="1" applyProtection="1"/>
    <xf numFmtId="37" fontId="0" fillId="0" borderId="16" xfId="0" applyNumberFormat="1" applyFont="1" applyFill="1" applyBorder="1" applyProtection="1"/>
    <xf numFmtId="5" fontId="4" fillId="0" borderId="16" xfId="0" applyNumberFormat="1" applyFont="1" applyFill="1" applyBorder="1" applyProtection="1"/>
    <xf numFmtId="0" fontId="0" fillId="0" borderId="0" xfId="0" applyFill="1" applyAlignment="1">
      <alignment horizontal="center"/>
    </xf>
    <xf numFmtId="0" fontId="13" fillId="0" borderId="0" xfId="0" applyFont="1" applyFill="1" applyProtection="1"/>
    <xf numFmtId="9" fontId="1" fillId="0" borderId="0" xfId="3" applyFont="1" applyFill="1"/>
    <xf numFmtId="167" fontId="0" fillId="0" borderId="0" xfId="0" applyNumberFormat="1" applyFill="1" applyBorder="1"/>
    <xf numFmtId="37" fontId="4" fillId="0" borderId="8" xfId="0" applyNumberFormat="1" applyFont="1" applyFill="1" applyBorder="1" applyProtection="1"/>
    <xf numFmtId="5" fontId="4" fillId="0" borderId="8" xfId="0" applyNumberFormat="1" applyFont="1" applyFill="1" applyBorder="1" applyProtection="1"/>
    <xf numFmtId="10" fontId="0" fillId="0" borderId="3" xfId="3" applyNumberFormat="1" applyFont="1" applyFill="1" applyBorder="1"/>
    <xf numFmtId="10" fontId="0" fillId="0" borderId="4" xfId="3" applyNumberFormat="1" applyFont="1" applyFill="1" applyBorder="1"/>
    <xf numFmtId="3" fontId="0" fillId="0" borderId="6" xfId="0" applyNumberFormat="1" applyFill="1" applyBorder="1"/>
    <xf numFmtId="166" fontId="0" fillId="0" borderId="0" xfId="3" applyNumberFormat="1" applyFont="1" applyFill="1" applyBorder="1"/>
    <xf numFmtId="5" fontId="1" fillId="0" borderId="0" xfId="0" applyNumberFormat="1" applyFont="1" applyFill="1" applyBorder="1"/>
    <xf numFmtId="166" fontId="0" fillId="0" borderId="0" xfId="0" applyNumberFormat="1" applyFill="1" applyBorder="1"/>
    <xf numFmtId="165" fontId="13" fillId="2" borderId="0" xfId="7" applyNumberFormat="1" applyFont="1" applyFill="1" applyProtection="1"/>
    <xf numFmtId="173" fontId="13" fillId="2" borderId="0" xfId="7" applyNumberFormat="1" applyFont="1" applyFill="1" applyProtection="1"/>
    <xf numFmtId="5" fontId="1" fillId="2" borderId="0" xfId="7" applyNumberFormat="1" applyFill="1"/>
    <xf numFmtId="169" fontId="1" fillId="2" borderId="0" xfId="1" applyNumberFormat="1" applyFont="1" applyFill="1"/>
    <xf numFmtId="166" fontId="0" fillId="2" borderId="0" xfId="3" applyNumberFormat="1" applyFont="1" applyFill="1" applyBorder="1"/>
    <xf numFmtId="43" fontId="1" fillId="2" borderId="0" xfId="7" applyNumberFormat="1" applyFill="1"/>
    <xf numFmtId="0" fontId="1" fillId="2" borderId="0" xfId="7" applyFill="1" applyBorder="1"/>
    <xf numFmtId="10" fontId="4" fillId="0" borderId="0" xfId="0" applyNumberFormat="1" applyFont="1" applyFill="1" applyProtection="1"/>
    <xf numFmtId="37" fontId="1" fillId="2" borderId="0" xfId="7" applyNumberFormat="1" applyFill="1"/>
    <xf numFmtId="166" fontId="0" fillId="0" borderId="0" xfId="3" applyNumberFormat="1" applyFont="1" applyFill="1"/>
    <xf numFmtId="37" fontId="0" fillId="0" borderId="8" xfId="0" applyNumberFormat="1" applyFont="1" applyFill="1" applyBorder="1" applyProtection="1"/>
    <xf numFmtId="0" fontId="1" fillId="0" borderId="0" xfId="3" applyNumberFormat="1" applyFont="1" applyFill="1"/>
    <xf numFmtId="166" fontId="0" fillId="0" borderId="0" xfId="0" applyNumberFormat="1" applyFill="1"/>
    <xf numFmtId="5" fontId="17" fillId="0" borderId="5" xfId="8" applyNumberFormat="1" applyFont="1" applyFill="1" applyBorder="1"/>
    <xf numFmtId="44" fontId="17" fillId="0" borderId="0" xfId="8" applyNumberFormat="1" applyFont="1" applyFill="1" applyBorder="1"/>
    <xf numFmtId="0" fontId="0" fillId="0" borderId="0" xfId="0" applyFont="1" applyFill="1"/>
    <xf numFmtId="5" fontId="1" fillId="0" borderId="0" xfId="2" applyNumberFormat="1" applyFont="1" applyFill="1" applyBorder="1"/>
    <xf numFmtId="0" fontId="17" fillId="0" borderId="1" xfId="8" applyFont="1" applyFill="1" applyBorder="1"/>
    <xf numFmtId="0" fontId="17" fillId="0" borderId="14" xfId="8" applyFont="1" applyFill="1" applyBorder="1"/>
    <xf numFmtId="5" fontId="17" fillId="0" borderId="0" xfId="8" applyNumberFormat="1" applyFont="1" applyFill="1" applyBorder="1" applyAlignment="1">
      <alignment horizontal="right"/>
    </xf>
    <xf numFmtId="166" fontId="1" fillId="0" borderId="15" xfId="3" applyNumberFormat="1" applyFont="1" applyFill="1" applyBorder="1"/>
    <xf numFmtId="0" fontId="17" fillId="0" borderId="4" xfId="8" applyFont="1" applyFill="1" applyBorder="1"/>
    <xf numFmtId="166" fontId="0" fillId="0" borderId="6" xfId="3" applyNumberFormat="1" applyFont="1" applyFill="1" applyBorder="1"/>
    <xf numFmtId="0" fontId="17" fillId="0" borderId="0" xfId="8" applyFont="1" applyFill="1"/>
    <xf numFmtId="5" fontId="4" fillId="0" borderId="0" xfId="0" applyNumberFormat="1" applyFont="1" applyFill="1" applyAlignment="1" applyProtection="1">
      <alignment horizontal="right"/>
    </xf>
    <xf numFmtId="188" fontId="4" fillId="0" borderId="0" xfId="0" applyNumberFormat="1" applyFont="1" applyFill="1" applyProtection="1"/>
    <xf numFmtId="165" fontId="4" fillId="0" borderId="13" xfId="0" applyNumberFormat="1" applyFont="1" applyFill="1" applyBorder="1" applyProtection="1"/>
    <xf numFmtId="173" fontId="1" fillId="0" borderId="0" xfId="0" applyNumberFormat="1" applyFont="1" applyFill="1" applyProtection="1"/>
    <xf numFmtId="3" fontId="1" fillId="0" borderId="0" xfId="7" applyNumberFormat="1" applyFont="1" applyFill="1" applyBorder="1"/>
    <xf numFmtId="0" fontId="4" fillId="0" borderId="0" xfId="0" quotePrefix="1" applyFont="1" applyFill="1" applyProtection="1"/>
    <xf numFmtId="165" fontId="4" fillId="0" borderId="0" xfId="0" applyNumberFormat="1" applyFont="1" applyFill="1" applyBorder="1" applyProtection="1"/>
    <xf numFmtId="182" fontId="1" fillId="0" borderId="0" xfId="0" applyNumberFormat="1" applyFont="1" applyFill="1" applyBorder="1"/>
    <xf numFmtId="5" fontId="1" fillId="0" borderId="0" xfId="0" applyNumberFormat="1" applyFont="1" applyFill="1"/>
    <xf numFmtId="9" fontId="1" fillId="0" borderId="0" xfId="3" applyFont="1" applyFill="1" applyBorder="1"/>
    <xf numFmtId="0" fontId="0" fillId="0" borderId="0" xfId="0" applyFill="1" applyBorder="1" applyProtection="1"/>
    <xf numFmtId="5" fontId="4" fillId="0" borderId="7" xfId="0" applyNumberFormat="1" applyFont="1" applyFill="1" applyBorder="1" applyAlignment="1" applyProtection="1">
      <alignment horizontal="right"/>
    </xf>
    <xf numFmtId="5" fontId="4" fillId="0" borderId="0" xfId="0" applyNumberFormat="1" applyFont="1" applyFill="1" applyBorder="1" applyAlignment="1" applyProtection="1">
      <alignment horizontal="right"/>
    </xf>
    <xf numFmtId="0" fontId="10" fillId="0" borderId="0" xfId="0" applyFont="1" applyFill="1"/>
    <xf numFmtId="43" fontId="17" fillId="0" borderId="0" xfId="1" applyNumberFormat="1" applyFont="1" applyFill="1" applyBorder="1"/>
    <xf numFmtId="0" fontId="12" fillId="0" borderId="0" xfId="0" applyFont="1" applyFill="1" applyBorder="1"/>
    <xf numFmtId="7" fontId="0" fillId="0" borderId="0" xfId="0" applyNumberFormat="1" applyFill="1" applyBorder="1"/>
    <xf numFmtId="43" fontId="0" fillId="0" borderId="0" xfId="0" applyNumberFormat="1" applyFill="1" applyBorder="1"/>
    <xf numFmtId="7" fontId="13" fillId="0" borderId="0" xfId="0" applyNumberFormat="1" applyFont="1" applyFill="1" applyBorder="1"/>
    <xf numFmtId="0" fontId="21" fillId="0" borderId="0" xfId="0" applyFont="1" applyFill="1"/>
    <xf numFmtId="5" fontId="13" fillId="0" borderId="0" xfId="0" applyNumberFormat="1" applyFont="1" applyFill="1" applyBorder="1"/>
    <xf numFmtId="7" fontId="1" fillId="0" borderId="0" xfId="2" applyNumberFormat="1" applyFont="1" applyFill="1"/>
    <xf numFmtId="44" fontId="1" fillId="0" borderId="0" xfId="2" applyFont="1" applyFill="1" applyBorder="1"/>
    <xf numFmtId="189" fontId="1" fillId="0" borderId="0" xfId="2" applyNumberFormat="1" applyFont="1" applyFill="1" applyBorder="1"/>
    <xf numFmtId="37" fontId="4" fillId="0" borderId="17" xfId="0" applyNumberFormat="1" applyFont="1" applyFill="1" applyBorder="1" applyProtection="1"/>
    <xf numFmtId="7" fontId="20" fillId="0" borderId="0" xfId="0" applyNumberFormat="1" applyFont="1" applyFill="1" applyProtection="1"/>
    <xf numFmtId="37" fontId="4" fillId="0" borderId="18" xfId="0" applyNumberFormat="1" applyFont="1" applyFill="1" applyBorder="1" applyProtection="1"/>
    <xf numFmtId="5" fontId="13" fillId="0" borderId="18" xfId="0" applyNumberFormat="1" applyFont="1" applyFill="1" applyBorder="1" applyProtection="1"/>
    <xf numFmtId="5" fontId="4" fillId="0" borderId="18" xfId="0" applyNumberFormat="1" applyFont="1" applyFill="1" applyBorder="1" applyProtection="1"/>
    <xf numFmtId="0" fontId="1" fillId="0" borderId="1" xfId="0" applyFont="1" applyFill="1" applyBorder="1"/>
    <xf numFmtId="5" fontId="1" fillId="0" borderId="3" xfId="0" applyNumberFormat="1" applyFont="1" applyFill="1" applyBorder="1"/>
    <xf numFmtId="5" fontId="4" fillId="0" borderId="19" xfId="0" applyNumberFormat="1" applyFont="1" applyFill="1" applyBorder="1" applyProtection="1"/>
    <xf numFmtId="5" fontId="0" fillId="0" borderId="6" xfId="0" applyNumberFormat="1" applyFill="1" applyBorder="1"/>
    <xf numFmtId="175" fontId="1" fillId="0" borderId="0" xfId="3" applyNumberFormat="1" applyFont="1" applyFill="1"/>
    <xf numFmtId="37" fontId="4" fillId="0" borderId="2" xfId="0" applyNumberFormat="1" applyFont="1" applyFill="1" applyBorder="1" applyProtection="1"/>
    <xf numFmtId="7" fontId="13" fillId="0" borderId="2" xfId="0" applyNumberFormat="1" applyFont="1" applyFill="1" applyBorder="1" applyProtection="1"/>
    <xf numFmtId="0" fontId="4" fillId="0" borderId="2" xfId="0" applyFont="1" applyFill="1" applyBorder="1" applyProtection="1"/>
    <xf numFmtId="5" fontId="4" fillId="0" borderId="10" xfId="0" applyNumberFormat="1" applyFont="1" applyFill="1" applyBorder="1" applyProtection="1"/>
    <xf numFmtId="7" fontId="1" fillId="0" borderId="2" xfId="0" applyNumberFormat="1" applyFont="1" applyFill="1" applyBorder="1" applyProtection="1"/>
    <xf numFmtId="5" fontId="4" fillId="0" borderId="2" xfId="0" applyNumberFormat="1" applyFont="1" applyFill="1" applyBorder="1" applyProtection="1"/>
    <xf numFmtId="0" fontId="10" fillId="0" borderId="0" xfId="0" applyFont="1" applyFill="1" applyBorder="1" applyProtection="1"/>
    <xf numFmtId="174" fontId="10" fillId="0" borderId="0" xfId="0" applyNumberFormat="1" applyFont="1" applyFill="1" applyProtection="1"/>
    <xf numFmtId="37" fontId="10" fillId="0" borderId="18" xfId="0" applyNumberFormat="1" applyFont="1" applyFill="1" applyBorder="1" applyProtection="1"/>
    <xf numFmtId="7" fontId="22" fillId="0" borderId="18" xfId="1" applyNumberFormat="1" applyFont="1" applyFill="1" applyBorder="1" applyProtection="1"/>
    <xf numFmtId="5" fontId="10" fillId="0" borderId="18" xfId="0" applyNumberFormat="1" applyFont="1" applyFill="1" applyBorder="1" applyProtection="1"/>
    <xf numFmtId="167" fontId="10" fillId="0" borderId="18" xfId="2" applyNumberFormat="1" applyFont="1" applyFill="1" applyBorder="1" applyProtection="1"/>
    <xf numFmtId="7" fontId="22" fillId="0" borderId="18" xfId="0" applyNumberFormat="1" applyFont="1" applyFill="1" applyBorder="1" applyProtection="1"/>
    <xf numFmtId="167" fontId="10" fillId="0" borderId="0" xfId="2" applyNumberFormat="1" applyFont="1" applyFill="1" applyBorder="1" applyProtection="1"/>
    <xf numFmtId="167" fontId="13" fillId="0" borderId="0" xfId="0" applyNumberFormat="1" applyFont="1" applyFill="1" applyProtection="1"/>
    <xf numFmtId="190" fontId="1" fillId="0" borderId="0" xfId="2" applyNumberFormat="1" applyFont="1" applyFill="1"/>
    <xf numFmtId="0" fontId="23" fillId="0" borderId="0" xfId="0" applyFont="1" applyFill="1" applyProtection="1"/>
    <xf numFmtId="0" fontId="9" fillId="0" borderId="0" xfId="9" applyFont="1" applyFill="1"/>
    <xf numFmtId="0" fontId="9" fillId="0" borderId="0" xfId="9" applyFont="1" applyFill="1" applyAlignment="1">
      <alignment horizontal="centerContinuous"/>
    </xf>
    <xf numFmtId="0" fontId="2" fillId="0" borderId="0" xfId="9" applyFont="1" applyFill="1" applyAlignment="1">
      <alignment horizontal="centerContinuous"/>
    </xf>
    <xf numFmtId="0" fontId="9" fillId="0" borderId="0" xfId="9" applyFont="1" applyFill="1" applyBorder="1" applyAlignment="1">
      <alignment horizontal="center"/>
    </xf>
    <xf numFmtId="0" fontId="9" fillId="0" borderId="0" xfId="9" applyFill="1"/>
    <xf numFmtId="0" fontId="9" fillId="0" borderId="0" xfId="9" applyFont="1" applyFill="1" applyBorder="1" applyAlignment="1">
      <alignment horizontal="centerContinuous"/>
    </xf>
    <xf numFmtId="0" fontId="9" fillId="0" borderId="5" xfId="9" applyFont="1" applyFill="1" applyBorder="1" applyAlignment="1">
      <alignment horizontal="center"/>
    </xf>
    <xf numFmtId="0" fontId="9" fillId="0" borderId="7" xfId="9" applyFont="1" applyFill="1" applyBorder="1" applyAlignment="1">
      <alignment horizontal="centerContinuous"/>
    </xf>
    <xf numFmtId="0" fontId="24" fillId="0" borderId="0" xfId="9" applyFont="1" applyFill="1"/>
    <xf numFmtId="0" fontId="9" fillId="0" borderId="7" xfId="9" applyFont="1" applyFill="1" applyBorder="1" applyAlignment="1">
      <alignment horizontal="center"/>
    </xf>
    <xf numFmtId="0" fontId="9" fillId="0" borderId="10" xfId="9" applyFont="1" applyFill="1" applyBorder="1" applyAlignment="1">
      <alignment horizontal="center"/>
    </xf>
    <xf numFmtId="0" fontId="25" fillId="0" borderId="22" xfId="9" applyFont="1" applyFill="1" applyBorder="1"/>
    <xf numFmtId="7" fontId="26" fillId="0" borderId="23" xfId="9" applyNumberFormat="1" applyFont="1" applyFill="1" applyBorder="1"/>
    <xf numFmtId="0" fontId="27" fillId="0" borderId="0" xfId="9" applyFont="1" applyFill="1"/>
    <xf numFmtId="173" fontId="26" fillId="0" borderId="23" xfId="9" applyNumberFormat="1" applyFont="1" applyFill="1" applyBorder="1"/>
    <xf numFmtId="177" fontId="26" fillId="0" borderId="23" xfId="1" applyNumberFormat="1" applyFont="1" applyFill="1" applyBorder="1" applyAlignment="1">
      <alignment horizontal="right"/>
    </xf>
    <xf numFmtId="43" fontId="9" fillId="0" borderId="0" xfId="9" applyNumberFormat="1" applyFont="1" applyFill="1"/>
    <xf numFmtId="166" fontId="9" fillId="0" borderId="0" xfId="3" applyNumberFormat="1" applyFont="1" applyFill="1"/>
    <xf numFmtId="37" fontId="9" fillId="0" borderId="0" xfId="9" applyNumberFormat="1" applyFont="1" applyFill="1" applyProtection="1"/>
    <xf numFmtId="7" fontId="9" fillId="0" borderId="0" xfId="9" applyNumberFormat="1" applyFill="1"/>
    <xf numFmtId="7" fontId="9" fillId="0" borderId="0" xfId="9" applyNumberFormat="1" applyFont="1" applyFill="1"/>
    <xf numFmtId="10" fontId="9" fillId="0" borderId="0" xfId="9" applyNumberFormat="1" applyFont="1" applyFill="1" applyProtection="1"/>
    <xf numFmtId="7" fontId="9" fillId="0" borderId="0" xfId="9" applyNumberFormat="1" applyFont="1" applyFill="1" applyProtection="1"/>
    <xf numFmtId="0" fontId="25" fillId="0" borderId="24" xfId="9" applyFont="1" applyFill="1" applyBorder="1"/>
    <xf numFmtId="173" fontId="26" fillId="0" borderId="25" xfId="9" applyNumberFormat="1" applyFont="1" applyFill="1" applyBorder="1"/>
    <xf numFmtId="0" fontId="25" fillId="0" borderId="0" xfId="9" applyFont="1" applyFill="1"/>
    <xf numFmtId="173" fontId="25" fillId="0" borderId="0" xfId="9" applyNumberFormat="1" applyFont="1" applyFill="1"/>
    <xf numFmtId="0" fontId="9" fillId="0" borderId="0" xfId="9" applyFont="1" applyFill="1" applyBorder="1"/>
    <xf numFmtId="166" fontId="25" fillId="0" borderId="0" xfId="9" applyNumberFormat="1" applyFont="1" applyFill="1"/>
    <xf numFmtId="173" fontId="9" fillId="0" borderId="0" xfId="9" applyNumberFormat="1" applyFont="1" applyFill="1"/>
    <xf numFmtId="0" fontId="9" fillId="0" borderId="0" xfId="9" applyFont="1" applyFill="1" applyAlignment="1">
      <alignment horizontal="right"/>
    </xf>
    <xf numFmtId="10" fontId="9" fillId="0" borderId="0" xfId="3" applyNumberFormat="1" applyFont="1" applyFill="1" applyAlignment="1">
      <alignment horizontal="right"/>
    </xf>
    <xf numFmtId="5" fontId="9" fillId="0" borderId="0" xfId="9" applyNumberFormat="1" applyFont="1" applyFill="1"/>
    <xf numFmtId="176" fontId="9" fillId="0" borderId="0" xfId="9" applyNumberFormat="1" applyFont="1" applyFill="1" applyProtection="1"/>
    <xf numFmtId="37" fontId="9" fillId="0" borderId="5" xfId="9" applyNumberFormat="1" applyFont="1" applyFill="1" applyBorder="1" applyProtection="1"/>
    <xf numFmtId="0" fontId="9" fillId="0" borderId="5" xfId="9" applyFont="1" applyFill="1" applyBorder="1"/>
    <xf numFmtId="7" fontId="9" fillId="0" borderId="5" xfId="9" applyNumberFormat="1" applyFont="1" applyFill="1" applyBorder="1" applyProtection="1"/>
    <xf numFmtId="176" fontId="9" fillId="0" borderId="5" xfId="9" applyNumberFormat="1" applyFont="1" applyFill="1" applyBorder="1" applyProtection="1"/>
    <xf numFmtId="0" fontId="28" fillId="0" borderId="0" xfId="9" applyFont="1" applyFill="1"/>
    <xf numFmtId="0" fontId="28" fillId="0" borderId="0" xfId="9" quotePrefix="1" applyFont="1" applyFill="1" applyBorder="1" applyAlignment="1">
      <alignment horizontal="left"/>
    </xf>
    <xf numFmtId="0" fontId="9" fillId="0" borderId="0" xfId="9" applyFont="1" applyFill="1" applyAlignment="1" applyProtection="1">
      <alignment horizontal="left"/>
    </xf>
    <xf numFmtId="44" fontId="9" fillId="0" borderId="0" xfId="2" applyFont="1" applyFill="1"/>
    <xf numFmtId="0" fontId="9" fillId="0" borderId="0" xfId="9" applyFont="1" applyFill="1" applyProtection="1"/>
    <xf numFmtId="0" fontId="11" fillId="0" borderId="0" xfId="9" applyFont="1" applyFill="1"/>
    <xf numFmtId="0" fontId="11" fillId="0" borderId="0" xfId="9" applyFont="1" applyFill="1" applyAlignment="1" applyProtection="1">
      <alignment horizontal="centerContinuous"/>
    </xf>
    <xf numFmtId="0" fontId="11" fillId="0" borderId="0" xfId="9" applyFont="1" applyFill="1" applyAlignment="1">
      <alignment horizontal="centerContinuous"/>
    </xf>
    <xf numFmtId="0" fontId="2" fillId="0" borderId="0" xfId="9" applyFont="1" applyFill="1" applyBorder="1" applyAlignment="1" applyProtection="1">
      <alignment horizontal="center"/>
    </xf>
    <xf numFmtId="0" fontId="2" fillId="0" borderId="0" xfId="9" applyFont="1" applyFill="1" applyBorder="1" applyAlignment="1">
      <alignment horizontal="centerContinuous"/>
    </xf>
    <xf numFmtId="0" fontId="30" fillId="0" borderId="0" xfId="9" applyFont="1" applyFill="1" applyAlignment="1" applyProtection="1">
      <alignment horizontal="centerContinuous"/>
    </xf>
    <xf numFmtId="0" fontId="30" fillId="0" borderId="0" xfId="9" applyFont="1" applyFill="1" applyAlignment="1">
      <alignment horizontal="centerContinuous"/>
    </xf>
    <xf numFmtId="0" fontId="31" fillId="0" borderId="0" xfId="9" applyFont="1" applyFill="1" applyAlignment="1" applyProtection="1">
      <alignment horizontal="centerContinuous"/>
    </xf>
    <xf numFmtId="0" fontId="9" fillId="0" borderId="0" xfId="9" applyFont="1" applyFill="1" applyAlignment="1" applyProtection="1">
      <alignment horizontal="centerContinuous"/>
    </xf>
    <xf numFmtId="0" fontId="9" fillId="0" borderId="0" xfId="9" applyFont="1" applyFill="1" applyAlignment="1" applyProtection="1"/>
    <xf numFmtId="0" fontId="1" fillId="0" borderId="0" xfId="9" applyFont="1" applyFill="1" applyAlignment="1" applyProtection="1">
      <alignment horizontal="center"/>
    </xf>
    <xf numFmtId="0" fontId="1" fillId="0" borderId="0" xfId="9" applyFont="1" applyFill="1" applyProtection="1"/>
    <xf numFmtId="0" fontId="1" fillId="0" borderId="7" xfId="9" applyFont="1" applyFill="1" applyBorder="1" applyAlignment="1" applyProtection="1">
      <alignment horizontal="centerContinuous"/>
    </xf>
    <xf numFmtId="0" fontId="1" fillId="0" borderId="0" xfId="9" applyFont="1" applyFill="1" applyAlignment="1" applyProtection="1">
      <alignment horizontal="centerContinuous"/>
    </xf>
    <xf numFmtId="0" fontId="1" fillId="0" borderId="0" xfId="9" applyFont="1" applyFill="1"/>
    <xf numFmtId="0" fontId="1" fillId="0" borderId="0" xfId="9" applyFont="1" applyFill="1" applyBorder="1" applyAlignment="1" applyProtection="1">
      <alignment horizontal="center"/>
    </xf>
    <xf numFmtId="0" fontId="1" fillId="0" borderId="5" xfId="9" applyFont="1" applyFill="1" applyBorder="1" applyAlignment="1" applyProtection="1">
      <alignment horizontal="centerContinuous"/>
    </xf>
    <xf numFmtId="0" fontId="1" fillId="0" borderId="0" xfId="9" applyFont="1" applyFill="1" applyAlignment="1" applyProtection="1"/>
    <xf numFmtId="0" fontId="1" fillId="0" borderId="5" xfId="9" applyFont="1" applyFill="1" applyBorder="1" applyAlignment="1" applyProtection="1">
      <alignment horizontal="center"/>
    </xf>
    <xf numFmtId="0" fontId="32" fillId="0" borderId="0" xfId="9" applyFont="1" applyFill="1" applyProtection="1"/>
    <xf numFmtId="0" fontId="32" fillId="0" borderId="0" xfId="9" applyFont="1" applyFill="1" applyAlignment="1" applyProtection="1">
      <alignment horizontal="center"/>
    </xf>
    <xf numFmtId="0" fontId="1" fillId="0" borderId="7" xfId="9" applyFont="1" applyFill="1" applyBorder="1" applyAlignment="1" applyProtection="1">
      <alignment horizontal="center"/>
    </xf>
    <xf numFmtId="0" fontId="1" fillId="0" borderId="0" xfId="9" applyFont="1" applyFill="1" applyBorder="1" applyProtection="1"/>
    <xf numFmtId="0" fontId="9" fillId="0" borderId="20" xfId="9" applyFont="1" applyFill="1" applyBorder="1"/>
    <xf numFmtId="0" fontId="9" fillId="0" borderId="26" xfId="9" applyFont="1" applyFill="1" applyBorder="1"/>
    <xf numFmtId="0" fontId="9" fillId="0" borderId="21" xfId="9" applyFont="1" applyFill="1" applyBorder="1"/>
    <xf numFmtId="0" fontId="9" fillId="0" borderId="22" xfId="9" applyFont="1" applyFill="1" applyBorder="1"/>
    <xf numFmtId="0" fontId="9" fillId="0" borderId="23" xfId="9" applyFont="1" applyFill="1" applyBorder="1"/>
    <xf numFmtId="37" fontId="1" fillId="0" borderId="0" xfId="9" applyNumberFormat="1" applyFont="1" applyFill="1" applyProtection="1"/>
    <xf numFmtId="166" fontId="1" fillId="0" borderId="0" xfId="3" applyNumberFormat="1" applyFont="1" applyFill="1" applyProtection="1"/>
    <xf numFmtId="5" fontId="1" fillId="0" borderId="0" xfId="9" applyNumberFormat="1" applyFont="1" applyFill="1" applyProtection="1"/>
    <xf numFmtId="10" fontId="1" fillId="0" borderId="0" xfId="9" applyNumberFormat="1" applyFont="1" applyFill="1" applyProtection="1"/>
    <xf numFmtId="7" fontId="26" fillId="0" borderId="0" xfId="9" applyNumberFormat="1" applyFont="1" applyFill="1" applyBorder="1"/>
    <xf numFmtId="0" fontId="26" fillId="0" borderId="0" xfId="9" applyFont="1" applyFill="1" applyBorder="1"/>
    <xf numFmtId="7" fontId="9" fillId="0" borderId="0" xfId="2" applyNumberFormat="1" applyFont="1" applyFill="1"/>
    <xf numFmtId="7" fontId="25" fillId="0" borderId="0" xfId="9" applyNumberFormat="1" applyFont="1" applyFill="1" applyBorder="1"/>
    <xf numFmtId="0" fontId="9" fillId="0" borderId="22" xfId="9" applyFont="1" applyFill="1" applyBorder="1" applyAlignment="1">
      <alignment horizontal="right"/>
    </xf>
    <xf numFmtId="169" fontId="25" fillId="0" borderId="0" xfId="1" applyNumberFormat="1" applyFont="1" applyFill="1" applyBorder="1" applyAlignment="1">
      <alignment horizontal="right"/>
    </xf>
    <xf numFmtId="0" fontId="26" fillId="0" borderId="23" xfId="9" applyFont="1" applyFill="1" applyBorder="1"/>
    <xf numFmtId="0" fontId="9" fillId="0" borderId="0" xfId="9" applyFont="1" applyFill="1" applyBorder="1" applyAlignment="1">
      <alignment horizontal="right"/>
    </xf>
    <xf numFmtId="5" fontId="1" fillId="0" borderId="0" xfId="9" applyNumberFormat="1" applyFont="1" applyFill="1"/>
    <xf numFmtId="177" fontId="26" fillId="0" borderId="0" xfId="1" applyNumberFormat="1" applyFont="1" applyFill="1" applyBorder="1"/>
    <xf numFmtId="177" fontId="26" fillId="0" borderId="23" xfId="1" applyNumberFormat="1" applyFont="1" applyFill="1" applyBorder="1"/>
    <xf numFmtId="0" fontId="25" fillId="0" borderId="27" xfId="9" applyFont="1" applyFill="1" applyBorder="1"/>
    <xf numFmtId="0" fontId="25" fillId="0" borderId="25" xfId="9" applyFont="1" applyFill="1" applyBorder="1"/>
    <xf numFmtId="191" fontId="1" fillId="0" borderId="0" xfId="1" applyNumberFormat="1" applyFont="1" applyFill="1" applyProtection="1"/>
    <xf numFmtId="177" fontId="1" fillId="0" borderId="0" xfId="1" applyNumberFormat="1" applyFont="1" applyFill="1" applyProtection="1"/>
    <xf numFmtId="0" fontId="1" fillId="0" borderId="0" xfId="9" applyFont="1" applyFill="1" applyBorder="1"/>
    <xf numFmtId="166" fontId="1" fillId="0" borderId="0" xfId="3" applyNumberFormat="1" applyFont="1" applyFill="1" applyBorder="1" applyProtection="1"/>
    <xf numFmtId="0" fontId="28" fillId="0" borderId="0" xfId="9" quotePrefix="1" applyFont="1" applyFill="1"/>
    <xf numFmtId="0" fontId="2" fillId="0" borderId="0" xfId="9" applyFont="1" applyFill="1" applyBorder="1" applyAlignment="1" applyProtection="1">
      <alignment horizontal="centerContinuous"/>
    </xf>
    <xf numFmtId="0" fontId="1" fillId="0" borderId="0" xfId="9" applyFont="1" applyFill="1" applyAlignment="1">
      <alignment horizontal="center"/>
    </xf>
    <xf numFmtId="0" fontId="9" fillId="0" borderId="27" xfId="9" applyFont="1" applyFill="1" applyBorder="1"/>
    <xf numFmtId="0" fontId="1" fillId="0" borderId="0" xfId="9" applyFont="1" applyFill="1" applyAlignment="1" applyProtection="1">
      <alignment horizontal="left"/>
    </xf>
    <xf numFmtId="0" fontId="9" fillId="0" borderId="23" xfId="9" applyFont="1" applyFill="1" applyBorder="1" applyAlignment="1">
      <alignment horizontal="center"/>
    </xf>
    <xf numFmtId="5" fontId="26" fillId="0" borderId="0" xfId="9" applyNumberFormat="1" applyFont="1" applyFill="1" applyBorder="1"/>
    <xf numFmtId="173" fontId="26" fillId="0" borderId="0" xfId="9" applyNumberFormat="1" applyFont="1" applyFill="1" applyBorder="1"/>
    <xf numFmtId="173" fontId="9" fillId="0" borderId="23" xfId="9" applyNumberFormat="1" applyFont="1" applyFill="1" applyBorder="1"/>
    <xf numFmtId="0" fontId="9" fillId="0" borderId="24" xfId="9" applyFont="1" applyFill="1" applyBorder="1"/>
    <xf numFmtId="177" fontId="25" fillId="0" borderId="27" xfId="1" applyNumberFormat="1" applyFont="1" applyFill="1" applyBorder="1"/>
    <xf numFmtId="0" fontId="9" fillId="0" borderId="25" xfId="9" applyFont="1" applyFill="1" applyBorder="1"/>
    <xf numFmtId="10" fontId="9" fillId="0" borderId="0" xfId="3" applyNumberFormat="1" applyFont="1" applyFill="1"/>
    <xf numFmtId="5" fontId="9" fillId="0" borderId="0" xfId="9" applyNumberFormat="1" applyFont="1" applyFill="1" applyAlignment="1">
      <alignment horizontal="right"/>
    </xf>
    <xf numFmtId="0" fontId="1" fillId="0" borderId="5" xfId="9" applyFont="1" applyFill="1" applyBorder="1" applyProtection="1"/>
    <xf numFmtId="0" fontId="1" fillId="0" borderId="5" xfId="9" applyFont="1" applyFill="1" applyBorder="1"/>
    <xf numFmtId="0" fontId="31" fillId="0" borderId="0" xfId="9" applyFont="1" applyFill="1" applyBorder="1" applyAlignment="1">
      <alignment horizontal="centerContinuous"/>
    </xf>
    <xf numFmtId="0" fontId="9" fillId="0" borderId="0" xfId="9" applyFont="1" applyFill="1" applyAlignment="1" applyProtection="1">
      <alignment horizontal="center"/>
    </xf>
    <xf numFmtId="0" fontId="9" fillId="0" borderId="0" xfId="9" applyFont="1" applyFill="1" applyAlignment="1">
      <alignment horizontal="center"/>
    </xf>
    <xf numFmtId="0" fontId="9" fillId="0" borderId="0" xfId="9" applyFont="1" applyFill="1" applyBorder="1" applyAlignment="1" applyProtection="1">
      <alignment horizontal="center"/>
    </xf>
    <xf numFmtId="0" fontId="9" fillId="0" borderId="5" xfId="9" applyFont="1" applyFill="1" applyBorder="1" applyAlignment="1" applyProtection="1">
      <alignment horizontal="center"/>
    </xf>
    <xf numFmtId="0" fontId="27" fillId="0" borderId="0" xfId="9" applyFont="1" applyFill="1" applyAlignment="1">
      <alignment horizontal="center"/>
    </xf>
    <xf numFmtId="0" fontId="25" fillId="0" borderId="23" xfId="9" applyFont="1" applyFill="1" applyBorder="1"/>
    <xf numFmtId="0" fontId="25" fillId="0" borderId="0" xfId="9" applyFont="1" applyFill="1" applyBorder="1"/>
    <xf numFmtId="0" fontId="9" fillId="0" borderId="1" xfId="9" applyFont="1" applyFill="1" applyBorder="1"/>
    <xf numFmtId="0" fontId="9" fillId="0" borderId="2" xfId="9" applyFont="1" applyFill="1" applyBorder="1"/>
    <xf numFmtId="0" fontId="9" fillId="0" borderId="3" xfId="9" applyFont="1" applyFill="1" applyBorder="1"/>
    <xf numFmtId="0" fontId="27" fillId="0" borderId="0" xfId="9" applyFont="1" applyFill="1" applyBorder="1"/>
    <xf numFmtId="0" fontId="9" fillId="0" borderId="14" xfId="9" applyFont="1" applyFill="1" applyBorder="1"/>
    <xf numFmtId="7" fontId="26" fillId="0" borderId="15" xfId="9" applyNumberFormat="1" applyFont="1" applyFill="1" applyBorder="1"/>
    <xf numFmtId="5" fontId="9" fillId="0" borderId="0" xfId="9" applyNumberFormat="1" applyFont="1" applyFill="1" applyProtection="1"/>
    <xf numFmtId="5" fontId="26" fillId="0" borderId="15" xfId="9" applyNumberFormat="1" applyFont="1" applyFill="1" applyBorder="1"/>
    <xf numFmtId="0" fontId="9" fillId="0" borderId="4" xfId="9" applyFont="1" applyFill="1" applyBorder="1"/>
    <xf numFmtId="5" fontId="26" fillId="0" borderId="5" xfId="9" applyNumberFormat="1" applyFont="1" applyFill="1" applyBorder="1"/>
    <xf numFmtId="0" fontId="26" fillId="0" borderId="5" xfId="9" applyFont="1" applyFill="1" applyBorder="1"/>
    <xf numFmtId="5" fontId="26" fillId="0" borderId="6" xfId="9" applyNumberFormat="1" applyFont="1" applyFill="1" applyBorder="1"/>
    <xf numFmtId="0" fontId="28" fillId="0" borderId="0" xfId="9" quotePrefix="1" applyFont="1" applyFill="1" applyBorder="1"/>
    <xf numFmtId="0" fontId="31" fillId="0" borderId="0" xfId="9" applyFont="1" applyFill="1" applyAlignment="1">
      <alignment horizontal="centerContinuous"/>
    </xf>
    <xf numFmtId="0" fontId="9" fillId="0" borderId="5" xfId="9" applyFont="1" applyFill="1" applyBorder="1" applyAlignment="1">
      <alignment horizontal="centerContinuous"/>
    </xf>
    <xf numFmtId="0" fontId="8" fillId="0" borderId="0" xfId="10"/>
    <xf numFmtId="0" fontId="0" fillId="0" borderId="0" xfId="0" applyAlignment="1">
      <alignment horizontal="center"/>
    </xf>
    <xf numFmtId="0" fontId="8" fillId="0" borderId="0" xfId="10" applyAlignment="1">
      <alignment horizontal="left"/>
    </xf>
    <xf numFmtId="0" fontId="8" fillId="0" borderId="0" xfId="10" applyAlignment="1">
      <alignment horizontal="center"/>
    </xf>
    <xf numFmtId="0" fontId="8" fillId="0" borderId="0" xfId="10" applyBorder="1" applyAlignment="1">
      <alignment horizontal="center"/>
    </xf>
    <xf numFmtId="0" fontId="34" fillId="0" borderId="0" xfId="10" applyFont="1" applyAlignment="1">
      <alignment horizontal="left"/>
    </xf>
    <xf numFmtId="0" fontId="34" fillId="0" borderId="0" xfId="10" applyFont="1" applyAlignment="1">
      <alignment horizontal="center"/>
    </xf>
    <xf numFmtId="0" fontId="35" fillId="0" borderId="0" xfId="10" quotePrefix="1" applyFont="1" applyFill="1" applyAlignment="1" applyProtection="1">
      <alignment horizontal="center"/>
    </xf>
    <xf numFmtId="0" fontId="8" fillId="0" borderId="0" xfId="10" quotePrefix="1" applyAlignment="1">
      <alignment horizontal="left"/>
    </xf>
    <xf numFmtId="37" fontId="8" fillId="0" borderId="0" xfId="10" applyNumberFormat="1" applyFill="1" applyBorder="1"/>
    <xf numFmtId="5" fontId="8" fillId="0" borderId="0" xfId="10" applyNumberFormat="1"/>
    <xf numFmtId="7" fontId="8" fillId="0" borderId="0" xfId="10" applyNumberFormat="1"/>
    <xf numFmtId="164" fontId="36" fillId="0" borderId="0" xfId="10" applyNumberFormat="1" applyFont="1"/>
    <xf numFmtId="164" fontId="0" fillId="0" borderId="0" xfId="0" applyNumberFormat="1"/>
    <xf numFmtId="10" fontId="36" fillId="0" borderId="0" xfId="3" applyNumberFormat="1" applyFont="1"/>
    <xf numFmtId="5" fontId="0" fillId="0" borderId="0" xfId="0" applyNumberFormat="1"/>
    <xf numFmtId="7" fontId="0" fillId="0" borderId="0" xfId="0" applyNumberFormat="1"/>
    <xf numFmtId="0" fontId="1" fillId="0" borderId="0" xfId="4" applyFont="1" applyFill="1" applyBorder="1" applyAlignment="1">
      <alignment horizontal="center"/>
    </xf>
    <xf numFmtId="0" fontId="1" fillId="2" borderId="1" xfId="4" applyFont="1" applyFill="1" applyBorder="1" applyAlignment="1">
      <alignment horizontal="center"/>
    </xf>
    <xf numFmtId="0" fontId="1" fillId="2" borderId="2" xfId="4" applyFont="1" applyFill="1" applyBorder="1" applyAlignment="1">
      <alignment horizontal="center"/>
    </xf>
    <xf numFmtId="0" fontId="1" fillId="2" borderId="3" xfId="4" applyFont="1" applyFill="1" applyBorder="1" applyAlignment="1">
      <alignment horizontal="center"/>
    </xf>
    <xf numFmtId="0" fontId="1" fillId="2" borderId="4" xfId="4" applyFont="1" applyFill="1" applyBorder="1" applyAlignment="1">
      <alignment horizontal="center"/>
    </xf>
    <xf numFmtId="0" fontId="1" fillId="2" borderId="5" xfId="4" applyFont="1" applyFill="1" applyBorder="1" applyAlignment="1">
      <alignment horizontal="center"/>
    </xf>
    <xf numFmtId="0" fontId="1" fillId="2" borderId="6" xfId="4" applyFont="1" applyFill="1" applyBorder="1" applyAlignment="1">
      <alignment horizontal="center"/>
    </xf>
    <xf numFmtId="0" fontId="1" fillId="0" borderId="0" xfId="4" applyFont="1" applyFill="1" applyAlignment="1">
      <alignment horizontal="left"/>
    </xf>
    <xf numFmtId="0" fontId="1" fillId="0" borderId="0" xfId="4" quotePrefix="1" applyFont="1" applyFill="1" applyAlignment="1">
      <alignment horizontal="left"/>
    </xf>
    <xf numFmtId="0" fontId="5" fillId="0" borderId="0" xfId="4" quotePrefix="1" applyFont="1" applyFill="1" applyAlignment="1">
      <alignment horizontal="center"/>
    </xf>
    <xf numFmtId="0" fontId="5" fillId="0" borderId="0" xfId="4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quotePrefix="1" applyNumberFormat="1" applyFont="1" applyFill="1" applyAlignment="1">
      <alignment horizontal="center"/>
    </xf>
    <xf numFmtId="0" fontId="11" fillId="0" borderId="0" xfId="0" quotePrefix="1" applyFont="1" applyFill="1" applyAlignment="1" applyProtection="1">
      <alignment horizontal="center"/>
    </xf>
    <xf numFmtId="0" fontId="11" fillId="0" borderId="9" xfId="0" applyFont="1" applyFill="1" applyBorder="1" applyAlignment="1" applyProtection="1">
      <alignment horizontal="center"/>
    </xf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Alignment="1" applyProtection="1">
      <alignment horizontal="center"/>
    </xf>
    <xf numFmtId="0" fontId="11" fillId="2" borderId="9" xfId="0" applyFont="1" applyFill="1" applyBorder="1" applyAlignment="1" applyProtection="1">
      <alignment horizontal="center"/>
    </xf>
    <xf numFmtId="0" fontId="11" fillId="2" borderId="10" xfId="0" applyFont="1" applyFill="1" applyBorder="1" applyAlignment="1" applyProtection="1">
      <alignment horizontal="center"/>
    </xf>
    <xf numFmtId="0" fontId="11" fillId="2" borderId="11" xfId="0" applyFont="1" applyFill="1" applyBorder="1" applyAlignment="1" applyProtection="1">
      <alignment horizontal="center"/>
    </xf>
    <xf numFmtId="0" fontId="25" fillId="0" borderId="20" xfId="9" applyFont="1" applyFill="1" applyBorder="1" applyAlignment="1">
      <alignment horizontal="center"/>
    </xf>
    <xf numFmtId="0" fontId="25" fillId="0" borderId="21" xfId="9" applyFont="1" applyFill="1" applyBorder="1" applyAlignment="1">
      <alignment horizontal="center"/>
    </xf>
    <xf numFmtId="0" fontId="2" fillId="0" borderId="0" xfId="9" applyFont="1" applyFill="1" applyAlignment="1">
      <alignment horizontal="center"/>
    </xf>
    <xf numFmtId="0" fontId="9" fillId="0" borderId="5" xfId="9" applyFont="1" applyFill="1" applyBorder="1" applyAlignment="1">
      <alignment horizontal="center"/>
    </xf>
    <xf numFmtId="0" fontId="9" fillId="0" borderId="28" xfId="9" applyFont="1" applyFill="1" applyBorder="1" applyAlignment="1">
      <alignment horizontal="center"/>
    </xf>
    <xf numFmtId="0" fontId="9" fillId="0" borderId="26" xfId="9" applyFont="1" applyFill="1" applyBorder="1" applyAlignment="1">
      <alignment horizontal="center"/>
    </xf>
    <xf numFmtId="0" fontId="9" fillId="0" borderId="21" xfId="9" applyFont="1" applyFill="1" applyBorder="1" applyAlignment="1">
      <alignment horizontal="center"/>
    </xf>
    <xf numFmtId="0" fontId="9" fillId="0" borderId="20" xfId="9" applyFont="1" applyFill="1" applyBorder="1" applyAlignment="1">
      <alignment horizontal="center"/>
    </xf>
    <xf numFmtId="192" fontId="33" fillId="0" borderId="0" xfId="10" applyNumberFormat="1" applyFont="1" applyBorder="1" applyAlignment="1">
      <alignment horizontal="center"/>
    </xf>
    <xf numFmtId="0" fontId="8" fillId="0" borderId="0" xfId="10" applyBorder="1" applyAlignment="1">
      <alignment horizontal="center"/>
    </xf>
  </cellXfs>
  <cellStyles count="11">
    <cellStyle name="Comma" xfId="1" builtinId="3"/>
    <cellStyle name="Currency" xfId="2" builtinId="4"/>
    <cellStyle name="Normal" xfId="0" builtinId="0"/>
    <cellStyle name="Normal 7" xfId="7"/>
    <cellStyle name="Normal_EAST Blocking 901 2" xfId="5"/>
    <cellStyle name="Normal_East for 38.6M" xfId="8"/>
    <cellStyle name="Normal_Low Income Proposal" xfId="10"/>
    <cellStyle name="Normal_OR Blocking 04" xfId="6"/>
    <cellStyle name="Normal_OR Blocking 98 No Forecast" xfId="9"/>
    <cellStyle name="Normal_WA98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29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42" Type="http://schemas.openxmlformats.org/officeDocument/2006/relationships/styles" Target="styles.xml"/><Relationship Id="rId47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9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externalLink" Target="externalLinks/externalLink27.xml"/><Relationship Id="rId40" Type="http://schemas.openxmlformats.org/officeDocument/2006/relationships/externalLink" Target="externalLinks/externalLink30.xml"/><Relationship Id="rId45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externalLink" Target="externalLinks/externalLink2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43" Type="http://schemas.openxmlformats.org/officeDocument/2006/relationships/sharedStrings" Target="sharedStrings.xml"/><Relationship Id="rId48" Type="http://schemas.openxmlformats.org/officeDocument/2006/relationships/customXml" Target="../customXml/item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externalLink" Target="externalLinks/externalLink28.xml"/><Relationship Id="rId46" Type="http://schemas.openxmlformats.org/officeDocument/2006/relationships/customXml" Target="../customXml/item2.xml"/><Relationship Id="rId20" Type="http://schemas.openxmlformats.org/officeDocument/2006/relationships/externalLink" Target="externalLinks/externalLink10.xml"/><Relationship Id="rId41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2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2013%20GRC%20(Docket%20UE-xxxxxx)\COS\Direct\COS%20WA%20June%202012%20-%20NS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22-05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Large%20Qf's\Qf03\FALLS\Falls200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Idaho%2003\305FRevenue%20by%20Rate%20Schedule_ID200303_v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189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2013%20GRC%20(Docket%20UE-xxxxxx)\Filed\Direct\Exhibit%20No_(CCP-5)\Tab%204%20&amp;%205\COS%20WA%20June%202012%20(TempAdj-chg%20to%20St%20Lgts%20only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97%20B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%20West%20Rate%20Migration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9-2001%20Test%20Period\Embedded%20Study\COS_WyoComb%20Sep-2001-%20(facilities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12\RECOV12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05A\Book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ash01\Year%202%20of%20stipulation%201-1-200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ACCTNG\GENERAL\JAN%20LEWIS\DSM\DSM%20-%20OR\SBC2001%20updated%20July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ash98\Stipulation\WA98%20with%20deferral%20separat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ash%2002\Year%203%20of%20stipulation%201-1-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FOR%207-1-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GRC%2007\COS\COS%20WA%20GRC%20June%20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Cover Sheet"/>
      <sheetName val="Procedures and Assumptions"/>
      <sheetName val="Lead Sheet - WY Type 3"/>
      <sheetName val="WY Backup 1 Type 3"/>
      <sheetName val="WY Back-up 2 Type 3"/>
      <sheetName val="Lead Sheet - UT Type 1"/>
      <sheetName val="Backup 1 UT Type 1"/>
      <sheetName val="UT Back-Up 2"/>
      <sheetName val="Internal Backup"/>
      <sheetName val="ID &amp; WY Backup"/>
      <sheetName val="ID&amp; WY Depr Calculation Jun2015"/>
      <sheetName val="ID&amp;WY DEPR Calculation - 2014"/>
      <sheetName val="ID&amp;WY Composite Depr Rate"/>
      <sheetName val="EPIS Existing Plant YE Dec14 "/>
      <sheetName val="EPIS Existing Plant YE Jun15"/>
      <sheetName val="Depr Reserve Existing YE Dec14"/>
      <sheetName val="Depr Expense Existing YE Dec14"/>
      <sheetName val="Relicen EPIS YE Jun 15"/>
      <sheetName val="Relicen EPIS YE Dec 14"/>
      <sheetName val="Amort Relicen Reserve YE Dec 14"/>
      <sheetName val="Amort Relicen Reserve YE Jun 15"/>
      <sheetName val="Amort Relicen Expe YE Jun15"/>
      <sheetName val="Amort Relicen Exp YE Dec14"/>
      <sheetName val="UT Backup "/>
      <sheetName val="UT DEPR Calculation - 2015"/>
      <sheetName val="UT DEPR Calculation - 2014"/>
      <sheetName val="13 MA Adjustment (2)"/>
      <sheetName val="13 MA Backup (2)"/>
      <sheetName val="13 MA Adjustment"/>
      <sheetName val="13 MA Backup"/>
      <sheetName val="Relicen EPIS 13MA Jun15"/>
      <sheetName val="Relicen EPIS 13MA Dec 14"/>
      <sheetName val="Amortization Reserve 13MA Jun15"/>
      <sheetName val="Amortization Reserve 13MA Dec14"/>
      <sheetName val="Amortization Expense Dec14"/>
      <sheetName val="Amort Relicen Expense June15"/>
      <sheetName val="BU Approval"/>
      <sheetName val="Ke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8">
          <cell r="H58">
            <v>828428746.40643871</v>
          </cell>
        </row>
      </sheetData>
      <sheetData sheetId="12"/>
      <sheetData sheetId="13"/>
      <sheetData sheetId="14"/>
      <sheetData sheetId="15"/>
      <sheetData sheetId="16"/>
      <sheetData sheetId="17"/>
      <sheetData sheetId="18">
        <row r="4">
          <cell r="K4">
            <v>0.79018896309372733</v>
          </cell>
        </row>
      </sheetData>
      <sheetData sheetId="19">
        <row r="250">
          <cell r="AB250" t="str">
            <v>DIS</v>
          </cell>
        </row>
        <row r="251">
          <cell r="AB251" t="str">
            <v>METER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/>
      <sheetData sheetId="2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/>
      <sheetData sheetId="24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</sheetData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1">
          <cell r="H61">
            <v>6.6953569481140951E-2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/>
      <sheetData sheetId="5"/>
      <sheetData sheetId="6"/>
      <sheetData sheetId="7"/>
      <sheetData sheetId="8">
        <row r="23">
          <cell r="D23">
            <v>0.59916000000000003</v>
          </cell>
        </row>
      </sheetData>
      <sheetData sheetId="9"/>
      <sheetData sheetId="10">
        <row r="23">
          <cell r="D23">
            <v>0.59916000000000003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SAPCHKREQ"/>
      <sheetName val="Macros"/>
      <sheetName val="E220"/>
      <sheetName val="E220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st=West"/>
      <sheetName val="East=West (5 yr)"/>
      <sheetName val="EstFT"/>
      <sheetName val="Est"/>
      <sheetName val="Summary"/>
      <sheetName val="Summary (II)"/>
      <sheetName val="Consolidated"/>
      <sheetName val="Table A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/>
      <sheetData sheetId="1"/>
      <sheetData sheetId="2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/>
      <sheetData sheetId="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Unit Costs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Variables Table"/>
      <sheetName val="Download JAM"/>
      <sheetName val="Functional Allocation Factors"/>
      <sheetName val="Functional  Factor Table"/>
      <sheetName val="Functional Dist Factor Table"/>
      <sheetName val="Functional Study"/>
      <sheetName val="COS Allocation Factors"/>
      <sheetName val="COS Factor Table"/>
      <sheetName val="COS WorkArea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Error Check"/>
      <sheetName val="Message"/>
      <sheetName val="Dialog"/>
      <sheetName val="MacroBuilder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 refreshError="1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hart1"/>
      <sheetName val="Tab A Yr 2002 Change revised"/>
      <sheetName val="Tab A Yr 2002 Change"/>
      <sheetName val="Tab A Yr 2002 All Filings cr=-"/>
      <sheetName val="Stip Table A w defer separate"/>
      <sheetName val="Blocking Yr 2002"/>
      <sheetName val="BPA qualifying kWh summary"/>
      <sheetName val="BPA qualifying kWh detail sent"/>
      <sheetName val="Sch16 Yr 2002 BPA"/>
      <sheetName val="Sch24 Yr 2002 (2)"/>
      <sheetName val="Sch36 Yr 2002 (2)"/>
      <sheetName val="Sch40 Yr 2002 (2)"/>
      <sheetName val="Sch48 Yr 2002 (2)"/>
      <sheetName val="BPA qualifying kWh detail"/>
      <sheetName val="merger credit 2001"/>
      <sheetName val="Tab A Yr 2001 All Filings cr=-"/>
      <sheetName val="RevReq"/>
      <sheetName val="Inputs"/>
      <sheetName val="Actual"/>
      <sheetName val="Blocking Yr 2003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 mthly bal acct - Oct 04 new"/>
      <sheetName val=" mthly bal acct - adjust 11-03"/>
      <sheetName val=" sch 191 &amp; 192 "/>
      <sheetName val="OPUC memo "/>
      <sheetName val=" summary by type &amp; year "/>
      <sheetName val=" annual balance "/>
      <sheetName val="GLSU UPLD"/>
      <sheetName val=" mthly bal acct "/>
      <sheetName val=" deferred costs "/>
      <sheetName val="  NLR  "/>
      <sheetName val=" deferrsl &amp; amort "/>
      <sheetName val=" measures "/>
      <sheetName val="Loans"/>
      <sheetName val=" project costs "/>
      <sheetName val=" sch 191 &amp; 192  with adj"/>
      <sheetName val=" mthly bal acct - adjusted Oct"/>
      <sheetName val=" mthly bal acct - adjusted Nov"/>
      <sheetName val=" mthly bal acct - adjusted"/>
      <sheetName val=" fy04 accrual post 7-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Req"/>
      <sheetName val="Inputs"/>
      <sheetName val="Actual"/>
      <sheetName val="Blocking Yr 2002"/>
      <sheetName val="Blocking Yr 2003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Stip Table A w defer separate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2001 All Filings cr=-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A Yr 2003 Change"/>
      <sheetName val="Blocking Yr 2003"/>
      <sheetName val="Sch16 Yr 2003 Net"/>
      <sheetName val="Sch24 Yr 2003 Net"/>
      <sheetName val="Sch36 Yr 2003 Net"/>
      <sheetName val="Sch40 Yr 2003 Net"/>
      <sheetName val="Sch48 Yr 2003 Net"/>
      <sheetName val="Tab A Yr 2003 incl SBC change"/>
      <sheetName val="Sheet1"/>
      <sheetName val="Tab A Yr 2002 Change revised"/>
      <sheetName val="Tab A Yr 2002 Change"/>
      <sheetName val="Tab A Yr 2002 All Filings cr=-"/>
      <sheetName val="Stip Table A w defer separate"/>
      <sheetName val="Blocking Yr 2002"/>
      <sheetName val="BPA qualifying kWh summary"/>
      <sheetName val="BPA qualifying kWh detail sent"/>
      <sheetName val="Sch16 Yr 2002 BPA"/>
      <sheetName val="Sch24 Yr 2002 (2)"/>
      <sheetName val="Sch36 Yr 2002 (2)"/>
      <sheetName val="Sch40 Yr 2002 (2)"/>
      <sheetName val="Sch48 Yr 2002 (2)"/>
      <sheetName val="BPA qualifying kWh detail"/>
      <sheetName val="merger credit 2001"/>
      <sheetName val="Tab A Yr 2001 All Filings cr=-"/>
      <sheetName val="RevReq"/>
      <sheetName val="Inputs"/>
      <sheetName val="Actual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Summary"/>
      <sheetName val="Combined"/>
      <sheetName val="BillSPRD"/>
      <sheetName val="Rate Design"/>
      <sheetName val="DSM-Combined"/>
      <sheetName val="DSM-191"/>
      <sheetName val="DSM-192"/>
      <sheetName val="Decoupling"/>
      <sheetName val="D-R"/>
      <sheetName val="D-C"/>
      <sheetName val="D-I"/>
      <sheetName val="D-T"/>
      <sheetName val="FullSPRD"/>
      <sheetName val="AllowSPD"/>
      <sheetName val="DSM2"/>
      <sheetName val="Decoupling S"/>
      <sheetName val="Table 1"/>
      <sheetName val="Sch 4"/>
      <sheetName val="Sch 25"/>
      <sheetName val="Sch 27"/>
      <sheetName val="Sch 48T"/>
      <sheetName val="Sch 41"/>
      <sheetName val="Sch 47T"/>
      <sheetName val="Sch 6"/>
      <sheetName val="Sch 15"/>
      <sheetName val="Sch 50"/>
      <sheetName val="Sch 51"/>
      <sheetName val="Sch 52"/>
      <sheetName val="Sch 53"/>
      <sheetName val="Sch 5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3">
          <cell r="C3" t="str">
            <v>PacifiCorp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0">
          <cell r="H10" t="str">
            <v>Washington</v>
          </cell>
        </row>
      </sheetData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/>
      <sheetData sheetId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1">
          <cell r="H61">
            <v>6.9188435929027195E-2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B1:AE60"/>
  <sheetViews>
    <sheetView tabSelected="1" view="pageBreakPreview" topLeftCell="B1" zoomScale="70" zoomScaleNormal="55" zoomScaleSheetLayoutView="70" workbookViewId="0">
      <selection activeCell="B1" sqref="B1"/>
    </sheetView>
  </sheetViews>
  <sheetFormatPr defaultColWidth="10.25" defaultRowHeight="15.75" x14ac:dyDescent="0.25"/>
  <cols>
    <col min="1" max="1" width="0" style="1" hidden="1" customWidth="1"/>
    <col min="2" max="2" width="4.625" style="1" customWidth="1"/>
    <col min="3" max="3" width="2.125" style="1" customWidth="1"/>
    <col min="4" max="4" width="35.875" style="4" customWidth="1"/>
    <col min="5" max="5" width="2.125" style="4" customWidth="1"/>
    <col min="6" max="6" width="5.625" style="4" bestFit="1" customWidth="1"/>
    <col min="7" max="7" width="2.125" style="4" customWidth="1"/>
    <col min="8" max="8" width="8.875" style="1" bestFit="1" customWidth="1"/>
    <col min="9" max="9" width="2" style="1" customWidth="1"/>
    <col min="10" max="10" width="10.5" style="1" bestFit="1" customWidth="1"/>
    <col min="11" max="11" width="2.875" style="1" customWidth="1"/>
    <col min="12" max="12" width="10" style="1" hidden="1" customWidth="1"/>
    <col min="13" max="13" width="2.75" style="1" hidden="1" customWidth="1"/>
    <col min="14" max="14" width="10" style="1" bestFit="1" customWidth="1"/>
    <col min="15" max="15" width="2.625" style="1" customWidth="1"/>
    <col min="16" max="16" width="8" style="1" hidden="1" customWidth="1"/>
    <col min="17" max="17" width="8.75" style="1" hidden="1" customWidth="1"/>
    <col min="18" max="18" width="1.875" style="1" hidden="1" customWidth="1"/>
    <col min="19" max="19" width="10" style="1" bestFit="1" customWidth="1"/>
    <col min="20" max="20" width="2.625" style="1" customWidth="1"/>
    <col min="21" max="21" width="8" style="1" bestFit="1" customWidth="1"/>
    <col min="22" max="22" width="8.75" style="1" bestFit="1" customWidth="1"/>
    <col min="23" max="24" width="11.75" style="1" bestFit="1" customWidth="1"/>
    <col min="25" max="25" width="2.125" style="1" customWidth="1"/>
    <col min="26" max="26" width="3.125" style="1" customWidth="1"/>
    <col min="27" max="27" width="7.25" style="1" customWidth="1"/>
    <col min="28" max="28" width="0.125" style="1" customWidth="1"/>
    <col min="29" max="29" width="10.25" style="1" customWidth="1"/>
    <col min="30" max="30" width="13.5" style="1" bestFit="1" customWidth="1"/>
    <col min="31" max="16384" width="10.25" style="1"/>
  </cols>
  <sheetData>
    <row r="1" spans="2:31" ht="18.75" x14ac:dyDescent="0.3">
      <c r="C1" s="2"/>
      <c r="D1" s="3"/>
      <c r="N1" s="5" t="s">
        <v>0</v>
      </c>
      <c r="S1" s="5" t="s">
        <v>0</v>
      </c>
    </row>
    <row r="2" spans="2:31" x14ac:dyDescent="0.25">
      <c r="B2" s="565" t="s">
        <v>1</v>
      </c>
      <c r="C2" s="565"/>
      <c r="D2" s="565"/>
      <c r="E2" s="565"/>
      <c r="F2" s="565"/>
      <c r="G2" s="565"/>
      <c r="H2" s="565"/>
      <c r="I2" s="565"/>
      <c r="J2" s="565"/>
      <c r="K2" s="565"/>
      <c r="L2" s="565"/>
      <c r="M2" s="565"/>
      <c r="N2" s="565"/>
      <c r="O2" s="565"/>
      <c r="P2" s="565"/>
      <c r="Q2" s="565"/>
      <c r="R2" s="565"/>
      <c r="S2" s="565"/>
      <c r="T2" s="565"/>
      <c r="U2" s="565"/>
      <c r="V2" s="565"/>
      <c r="W2" s="6"/>
      <c r="X2" s="6"/>
      <c r="Y2" s="6"/>
    </row>
    <row r="3" spans="2:31" x14ac:dyDescent="0.25">
      <c r="B3" s="566" t="s">
        <v>2</v>
      </c>
      <c r="C3" s="566"/>
      <c r="D3" s="566"/>
      <c r="E3" s="566"/>
      <c r="F3" s="566"/>
      <c r="G3" s="566"/>
      <c r="H3" s="566"/>
      <c r="I3" s="566"/>
      <c r="J3" s="566"/>
      <c r="K3" s="566"/>
      <c r="L3" s="566"/>
      <c r="M3" s="566"/>
      <c r="N3" s="566"/>
      <c r="O3" s="566"/>
      <c r="P3" s="566"/>
      <c r="Q3" s="566"/>
      <c r="R3" s="566"/>
      <c r="S3" s="566"/>
      <c r="T3" s="566"/>
      <c r="U3" s="566"/>
      <c r="V3" s="566"/>
      <c r="W3" s="7"/>
      <c r="X3" s="7"/>
      <c r="Y3" s="7"/>
      <c r="Z3" s="7"/>
      <c r="AA3" s="7"/>
      <c r="AB3" s="7"/>
    </row>
    <row r="4" spans="2:31" x14ac:dyDescent="0.25">
      <c r="B4" s="566" t="s">
        <v>3</v>
      </c>
      <c r="C4" s="566"/>
      <c r="D4" s="566"/>
      <c r="E4" s="566"/>
      <c r="F4" s="566"/>
      <c r="G4" s="566"/>
      <c r="H4" s="566"/>
      <c r="I4" s="566"/>
      <c r="J4" s="566"/>
      <c r="K4" s="566"/>
      <c r="L4" s="566"/>
      <c r="M4" s="566"/>
      <c r="N4" s="566"/>
      <c r="O4" s="566"/>
      <c r="P4" s="566"/>
      <c r="Q4" s="566"/>
      <c r="R4" s="566"/>
      <c r="S4" s="566"/>
      <c r="T4" s="566"/>
      <c r="U4" s="566"/>
      <c r="V4" s="566"/>
      <c r="W4" s="7"/>
      <c r="X4" s="7"/>
      <c r="Y4" s="7"/>
      <c r="Z4" s="7"/>
      <c r="AA4" s="7"/>
      <c r="AB4" s="7"/>
    </row>
    <row r="5" spans="2:31" x14ac:dyDescent="0.25">
      <c r="B5" s="566" t="s">
        <v>4</v>
      </c>
      <c r="C5" s="566"/>
      <c r="D5" s="566"/>
      <c r="E5" s="566"/>
      <c r="F5" s="566"/>
      <c r="G5" s="566"/>
      <c r="H5" s="566"/>
      <c r="I5" s="566"/>
      <c r="J5" s="566"/>
      <c r="K5" s="566"/>
      <c r="L5" s="566"/>
      <c r="M5" s="566"/>
      <c r="N5" s="566"/>
      <c r="O5" s="566"/>
      <c r="P5" s="566"/>
      <c r="Q5" s="566"/>
      <c r="R5" s="566"/>
      <c r="S5" s="566"/>
      <c r="T5" s="566"/>
      <c r="U5" s="566"/>
      <c r="V5" s="566"/>
      <c r="W5" s="7"/>
      <c r="X5" s="7"/>
      <c r="Y5" s="7"/>
      <c r="Z5" s="7"/>
      <c r="AA5" s="7"/>
      <c r="AB5" s="7"/>
    </row>
    <row r="6" spans="2:31" x14ac:dyDescent="0.25">
      <c r="B6" s="566" t="s">
        <v>5</v>
      </c>
      <c r="C6" s="566"/>
      <c r="D6" s="566"/>
      <c r="E6" s="566"/>
      <c r="F6" s="566"/>
      <c r="G6" s="566"/>
      <c r="H6" s="566"/>
      <c r="I6" s="566"/>
      <c r="J6" s="566"/>
      <c r="K6" s="566"/>
      <c r="L6" s="566"/>
      <c r="M6" s="566"/>
      <c r="N6" s="566"/>
      <c r="O6" s="566"/>
      <c r="P6" s="566"/>
      <c r="Q6" s="566"/>
      <c r="R6" s="566"/>
      <c r="S6" s="566"/>
      <c r="T6" s="566"/>
      <c r="U6" s="566"/>
      <c r="V6" s="566"/>
      <c r="W6" s="7"/>
      <c r="X6" s="7"/>
      <c r="Y6" s="7"/>
      <c r="Z6" s="7"/>
      <c r="AA6" s="7"/>
      <c r="AB6" s="7"/>
    </row>
    <row r="7" spans="2:31" x14ac:dyDescent="0.25">
      <c r="B7" s="565" t="s">
        <v>6</v>
      </c>
      <c r="C7" s="565"/>
      <c r="D7" s="565"/>
      <c r="E7" s="565"/>
      <c r="F7" s="565"/>
      <c r="G7" s="565"/>
      <c r="H7" s="565"/>
      <c r="I7" s="565"/>
      <c r="J7" s="565"/>
      <c r="K7" s="565"/>
      <c r="L7" s="565"/>
      <c r="M7" s="565"/>
      <c r="N7" s="565"/>
      <c r="O7" s="565"/>
      <c r="P7" s="565"/>
      <c r="Q7" s="565"/>
      <c r="R7" s="565"/>
      <c r="S7" s="565"/>
      <c r="T7" s="565"/>
      <c r="U7" s="565"/>
      <c r="V7" s="565"/>
      <c r="W7" s="6"/>
      <c r="X7" s="6"/>
      <c r="Y7" s="6"/>
      <c r="Z7" s="6"/>
      <c r="AA7" s="6"/>
      <c r="AB7" s="6"/>
    </row>
    <row r="8" spans="2:31" x14ac:dyDescent="0.25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2:31" x14ac:dyDescent="0.25">
      <c r="K9" s="9"/>
      <c r="L9" s="10"/>
      <c r="M9" s="11"/>
      <c r="N9" s="556" t="s">
        <v>0</v>
      </c>
      <c r="O9" s="556"/>
      <c r="P9" s="556"/>
      <c r="Q9" s="556"/>
      <c r="R9" s="11"/>
      <c r="S9" s="557" t="s">
        <v>7</v>
      </c>
      <c r="T9" s="558"/>
      <c r="U9" s="558"/>
      <c r="V9" s="559"/>
      <c r="W9" s="12" t="s">
        <v>0</v>
      </c>
      <c r="X9" s="12" t="s">
        <v>8</v>
      </c>
      <c r="Y9" s="11"/>
      <c r="Z9" s="11"/>
      <c r="AA9" s="11"/>
      <c r="AB9" s="11"/>
      <c r="AC9" s="9"/>
      <c r="AD9" s="9"/>
      <c r="AE9" s="9"/>
    </row>
    <row r="10" spans="2:31" x14ac:dyDescent="0.25">
      <c r="L10" s="13" t="s">
        <v>9</v>
      </c>
      <c r="M10" s="14"/>
      <c r="N10" s="13" t="s">
        <v>9</v>
      </c>
      <c r="O10" s="15"/>
      <c r="P10" s="15"/>
      <c r="Q10" s="15"/>
      <c r="R10" s="14"/>
      <c r="S10" s="560" t="s">
        <v>10</v>
      </c>
      <c r="T10" s="561"/>
      <c r="U10" s="561"/>
      <c r="V10" s="562"/>
      <c r="W10" s="16" t="s">
        <v>0</v>
      </c>
      <c r="X10" s="16" t="s">
        <v>10</v>
      </c>
      <c r="Y10" s="14"/>
      <c r="Z10" s="14"/>
      <c r="AA10" s="14"/>
      <c r="AB10" s="14"/>
    </row>
    <row r="11" spans="2:31" x14ac:dyDescent="0.25">
      <c r="F11" s="17" t="s">
        <v>11</v>
      </c>
      <c r="G11" s="17"/>
      <c r="L11" s="16" t="s">
        <v>12</v>
      </c>
      <c r="M11" s="18"/>
      <c r="N11" s="16" t="s">
        <v>12</v>
      </c>
      <c r="O11" s="16"/>
      <c r="P11" s="15" t="s">
        <v>0</v>
      </c>
      <c r="Q11" s="15"/>
      <c r="R11" s="15"/>
      <c r="S11" s="16" t="s">
        <v>12</v>
      </c>
      <c r="T11" s="16"/>
      <c r="U11" s="15" t="s">
        <v>0</v>
      </c>
      <c r="V11" s="15"/>
      <c r="W11" s="16" t="s">
        <v>13</v>
      </c>
      <c r="X11" s="16" t="s">
        <v>14</v>
      </c>
      <c r="Y11" s="15"/>
      <c r="Z11" s="19"/>
      <c r="AA11" s="15"/>
      <c r="AB11" s="19"/>
    </row>
    <row r="12" spans="2:31" x14ac:dyDescent="0.25">
      <c r="B12" s="19" t="s">
        <v>15</v>
      </c>
      <c r="F12" s="17" t="s">
        <v>16</v>
      </c>
      <c r="G12" s="17"/>
      <c r="H12" s="13" t="s">
        <v>17</v>
      </c>
      <c r="L12" s="13" t="s">
        <v>18</v>
      </c>
      <c r="M12" s="19"/>
      <c r="N12" s="20" t="s">
        <v>18</v>
      </c>
      <c r="O12" s="13"/>
      <c r="P12" s="21" t="s">
        <v>19</v>
      </c>
      <c r="Q12" s="13" t="s">
        <v>12</v>
      </c>
      <c r="R12" s="19"/>
      <c r="S12" s="20" t="s">
        <v>18</v>
      </c>
      <c r="T12" s="13"/>
      <c r="U12" s="21" t="s">
        <v>19</v>
      </c>
      <c r="V12" s="13" t="s">
        <v>12</v>
      </c>
      <c r="W12" s="13" t="s">
        <v>20</v>
      </c>
      <c r="X12" s="13" t="s">
        <v>20</v>
      </c>
      <c r="Y12" s="19"/>
      <c r="Z12" s="19"/>
      <c r="AA12" s="16"/>
      <c r="AB12" s="22"/>
      <c r="AC12" s="9"/>
    </row>
    <row r="13" spans="2:31" x14ac:dyDescent="0.25">
      <c r="B13" s="23" t="s">
        <v>21</v>
      </c>
      <c r="D13" s="24" t="s">
        <v>22</v>
      </c>
      <c r="F13" s="24" t="s">
        <v>21</v>
      </c>
      <c r="G13" s="25"/>
      <c r="H13" s="26" t="s">
        <v>23</v>
      </c>
      <c r="J13" s="26" t="s">
        <v>24</v>
      </c>
      <c r="L13" s="27" t="s">
        <v>25</v>
      </c>
      <c r="M13" s="16"/>
      <c r="N13" s="28" t="s">
        <v>25</v>
      </c>
      <c r="O13" s="29"/>
      <c r="P13" s="30" t="s">
        <v>25</v>
      </c>
      <c r="Q13" s="26" t="s">
        <v>26</v>
      </c>
      <c r="R13" s="22"/>
      <c r="S13" s="28" t="s">
        <v>25</v>
      </c>
      <c r="T13" s="29"/>
      <c r="U13" s="30" t="s">
        <v>25</v>
      </c>
      <c r="V13" s="26" t="s">
        <v>26</v>
      </c>
      <c r="W13" s="27" t="s">
        <v>27</v>
      </c>
      <c r="X13" s="27" t="s">
        <v>27</v>
      </c>
      <c r="Y13" s="22"/>
      <c r="Z13" s="22"/>
      <c r="AA13" s="16"/>
      <c r="AB13" s="22"/>
      <c r="AC13" s="9"/>
    </row>
    <row r="14" spans="2:31" x14ac:dyDescent="0.25">
      <c r="B14" s="31"/>
      <c r="D14" s="21" t="s">
        <v>28</v>
      </c>
      <c r="F14" s="21" t="s">
        <v>29</v>
      </c>
      <c r="G14" s="17"/>
      <c r="H14" s="21" t="s">
        <v>30</v>
      </c>
      <c r="J14" s="21" t="s">
        <v>31</v>
      </c>
      <c r="L14" s="21" t="s">
        <v>32</v>
      </c>
      <c r="M14" s="21"/>
      <c r="N14" s="21" t="s">
        <v>32</v>
      </c>
      <c r="O14" s="21"/>
      <c r="P14" s="21" t="s">
        <v>33</v>
      </c>
      <c r="Q14" s="21" t="s">
        <v>34</v>
      </c>
      <c r="R14" s="21"/>
      <c r="S14" s="21" t="s">
        <v>35</v>
      </c>
      <c r="T14" s="21"/>
      <c r="U14" s="21" t="s">
        <v>33</v>
      </c>
      <c r="V14" s="21" t="s">
        <v>34</v>
      </c>
      <c r="W14" s="21" t="s">
        <v>36</v>
      </c>
      <c r="X14" s="21" t="s">
        <v>37</v>
      </c>
      <c r="Y14" s="21"/>
      <c r="Z14" s="21"/>
      <c r="AA14" s="18"/>
      <c r="AB14" s="18"/>
      <c r="AC14" s="9"/>
    </row>
    <row r="15" spans="2:31" x14ac:dyDescent="0.25">
      <c r="M15" s="21"/>
      <c r="N15" s="21" t="s">
        <v>0</v>
      </c>
      <c r="Q15" s="21" t="s">
        <v>38</v>
      </c>
      <c r="S15" s="21" t="s">
        <v>0</v>
      </c>
      <c r="V15" s="21" t="s">
        <v>38</v>
      </c>
      <c r="W15" s="21" t="s">
        <v>39</v>
      </c>
      <c r="X15" s="21" t="s">
        <v>39</v>
      </c>
      <c r="AA15" s="9"/>
      <c r="AB15" s="9"/>
      <c r="AC15" s="9"/>
    </row>
    <row r="16" spans="2:31" x14ac:dyDescent="0.25">
      <c r="D16" s="32" t="s">
        <v>40</v>
      </c>
      <c r="AA16" s="9"/>
      <c r="AB16" s="9"/>
      <c r="AC16" s="9"/>
    </row>
    <row r="17" spans="2:31" x14ac:dyDescent="0.25">
      <c r="B17" s="19">
        <v>1</v>
      </c>
      <c r="D17" s="4" t="s">
        <v>41</v>
      </c>
      <c r="F17" s="33" t="s">
        <v>42</v>
      </c>
      <c r="G17" s="33"/>
      <c r="H17" s="34">
        <v>105258.64978493931</v>
      </c>
      <c r="I17" s="5"/>
      <c r="J17" s="34">
        <v>1569786.6374891768</v>
      </c>
      <c r="L17" s="35">
        <v>142933.87703273332</v>
      </c>
      <c r="M17" s="36"/>
      <c r="N17" s="35">
        <v>145355.24003273333</v>
      </c>
      <c r="O17" s="35"/>
      <c r="P17" s="35">
        <v>2421.3629999999998</v>
      </c>
      <c r="Q17" s="36">
        <f>P17/L17</f>
        <v>1.6940441624244774E-2</v>
      </c>
      <c r="R17" s="36"/>
      <c r="S17" s="35">
        <f>'Billing Determinants'!I101/1000</f>
        <v>148768.01803273332</v>
      </c>
      <c r="T17" s="35"/>
      <c r="U17" s="35">
        <v>3412.7779999999998</v>
      </c>
      <c r="V17" s="36">
        <f>U17/N17</f>
        <v>2.3478878361945933E-2</v>
      </c>
      <c r="W17" s="37">
        <f>N17/J17*100</f>
        <v>9.2595539139780403</v>
      </c>
      <c r="X17" s="37">
        <f>S17/J17*100</f>
        <v>9.4769578540102088</v>
      </c>
      <c r="Y17" s="36"/>
      <c r="Z17" s="36"/>
      <c r="AA17" s="38" t="s">
        <v>0</v>
      </c>
      <c r="AB17" s="39"/>
      <c r="AC17" s="40" t="s">
        <v>0</v>
      </c>
      <c r="AD17" s="5" t="s">
        <v>0</v>
      </c>
    </row>
    <row r="18" spans="2:31" x14ac:dyDescent="0.25">
      <c r="H18" s="41"/>
      <c r="J18" s="41"/>
      <c r="L18" s="41"/>
      <c r="M18" s="9"/>
      <c r="N18" s="41"/>
      <c r="O18" s="9"/>
      <c r="P18" s="41"/>
      <c r="Q18" s="42"/>
      <c r="R18" s="9"/>
      <c r="S18" s="41"/>
      <c r="T18" s="9"/>
      <c r="U18" s="41"/>
      <c r="V18" s="42"/>
      <c r="W18" s="43"/>
      <c r="X18" s="43"/>
      <c r="Y18" s="9"/>
      <c r="Z18" s="9"/>
      <c r="AA18" s="44"/>
      <c r="AB18" s="9"/>
      <c r="AC18" s="9"/>
    </row>
    <row r="19" spans="2:31" x14ac:dyDescent="0.25">
      <c r="Q19" s="45"/>
      <c r="V19" s="45"/>
      <c r="AA19" s="44"/>
      <c r="AB19" s="9"/>
      <c r="AC19" s="9"/>
    </row>
    <row r="20" spans="2:31" x14ac:dyDescent="0.25">
      <c r="B20" s="46">
        <f>MAX(B$14:B19)+1</f>
        <v>2</v>
      </c>
      <c r="D20" s="32" t="s">
        <v>43</v>
      </c>
      <c r="H20" s="47">
        <f>SUM(H17:H17)</f>
        <v>105258.64978493931</v>
      </c>
      <c r="J20" s="47">
        <f>SUM(J17:J17)</f>
        <v>1569786.6374891768</v>
      </c>
      <c r="K20" s="47"/>
      <c r="L20" s="48">
        <f>SUM(L17:L17)</f>
        <v>142933.87703273332</v>
      </c>
      <c r="M20" s="36"/>
      <c r="N20" s="48">
        <f>SUM(N17:N17)</f>
        <v>145355.24003273333</v>
      </c>
      <c r="O20" s="48"/>
      <c r="P20" s="35">
        <f>SUM(P17)</f>
        <v>2421.3629999999998</v>
      </c>
      <c r="Q20" s="36">
        <f>P20/L20</f>
        <v>1.6940441624244774E-2</v>
      </c>
      <c r="R20" s="36"/>
      <c r="S20" s="48">
        <f>SUM(S17:S17)</f>
        <v>148768.01803273332</v>
      </c>
      <c r="T20" s="48"/>
      <c r="U20" s="35">
        <f>SUM(U17)</f>
        <v>3412.7779999999998</v>
      </c>
      <c r="V20" s="36">
        <f>U20/N20</f>
        <v>2.3478878361945933E-2</v>
      </c>
      <c r="W20" s="37">
        <f>N20/J20*100</f>
        <v>9.2595539139780403</v>
      </c>
      <c r="X20" s="37">
        <f>S20/J20*100</f>
        <v>9.4769578540102088</v>
      </c>
      <c r="Y20" s="36"/>
      <c r="Z20" s="36"/>
      <c r="AA20" s="49"/>
      <c r="AB20" s="39"/>
      <c r="AC20" s="9"/>
    </row>
    <row r="21" spans="2:31" x14ac:dyDescent="0.25">
      <c r="J21" s="5" t="s">
        <v>0</v>
      </c>
      <c r="Q21" s="45"/>
      <c r="V21" s="45"/>
      <c r="AA21" s="44"/>
      <c r="AB21" s="9"/>
      <c r="AC21" s="9"/>
    </row>
    <row r="22" spans="2:31" x14ac:dyDescent="0.25">
      <c r="D22" s="32" t="s">
        <v>44</v>
      </c>
      <c r="H22" s="50"/>
      <c r="Q22" s="45"/>
      <c r="V22" s="45"/>
      <c r="AA22" s="44"/>
      <c r="AB22" s="9"/>
      <c r="AC22" s="9"/>
    </row>
    <row r="23" spans="2:31" x14ac:dyDescent="0.25">
      <c r="B23" s="46">
        <f>MAX(B$14:B22)+1</f>
        <v>3</v>
      </c>
      <c r="D23" s="4" t="s">
        <v>45</v>
      </c>
      <c r="F23" s="17">
        <v>24</v>
      </c>
      <c r="G23" s="17"/>
      <c r="H23" s="34">
        <v>19046.041792326934</v>
      </c>
      <c r="J23" s="34">
        <v>536266.600352215</v>
      </c>
      <c r="L23" s="35">
        <v>48607.124891159161</v>
      </c>
      <c r="M23" s="36"/>
      <c r="N23" s="35">
        <v>49430.454891159163</v>
      </c>
      <c r="O23" s="35"/>
      <c r="P23" s="35">
        <v>823.33</v>
      </c>
      <c r="Q23" s="36">
        <f>P23/L23</f>
        <v>1.6938463277628466E-2</v>
      </c>
      <c r="R23" s="36"/>
      <c r="S23" s="35">
        <f>'Billing Determinants'!I205/1000</f>
        <v>50590.494891159164</v>
      </c>
      <c r="T23" s="35"/>
      <c r="U23" s="35">
        <v>1160.04</v>
      </c>
      <c r="V23" s="36">
        <f>U23/N23</f>
        <v>2.3468123094442284E-2</v>
      </c>
      <c r="W23" s="37">
        <f>N23/J23*100</f>
        <v>9.2175151051163162</v>
      </c>
      <c r="X23" s="37">
        <f t="shared" ref="X23:X30" si="0">S23/J23*100</f>
        <v>9.4338328842280657</v>
      </c>
      <c r="Y23" s="36"/>
      <c r="Z23" s="36"/>
      <c r="AA23" s="49"/>
      <c r="AB23" s="39"/>
      <c r="AC23" s="9"/>
      <c r="AD23" s="51"/>
      <c r="AE23" s="52"/>
    </row>
    <row r="24" spans="2:31" x14ac:dyDescent="0.25">
      <c r="B24" s="46">
        <f>MAX(B$14:B23)+1</f>
        <v>4</v>
      </c>
      <c r="D24" s="4" t="s">
        <v>46</v>
      </c>
      <c r="E24" s="53"/>
      <c r="F24" s="17">
        <v>33</v>
      </c>
      <c r="G24" s="17"/>
      <c r="H24" s="34">
        <v>0</v>
      </c>
      <c r="J24" s="34">
        <v>0</v>
      </c>
      <c r="L24" s="35">
        <v>0</v>
      </c>
      <c r="M24" s="36"/>
      <c r="N24" s="35">
        <v>0</v>
      </c>
      <c r="O24" s="35"/>
      <c r="P24" s="35">
        <v>0</v>
      </c>
      <c r="Q24" s="36">
        <f>Q25</f>
        <v>1.6941109731765304E-2</v>
      </c>
      <c r="R24" s="36"/>
      <c r="S24" s="35">
        <f>'Billing Determinants'!I597/1000</f>
        <v>0</v>
      </c>
      <c r="T24" s="35"/>
      <c r="U24" s="35">
        <v>0</v>
      </c>
      <c r="V24" s="36">
        <f>V25</f>
        <v>2.3473379082064615E-2</v>
      </c>
      <c r="W24" s="37">
        <v>0</v>
      </c>
      <c r="X24" s="37">
        <v>0</v>
      </c>
      <c r="Y24" s="36"/>
      <c r="Z24" s="36"/>
      <c r="AA24" s="49"/>
      <c r="AB24" s="39"/>
      <c r="AC24" s="9"/>
      <c r="AD24" s="51"/>
      <c r="AE24" s="52"/>
    </row>
    <row r="25" spans="2:31" x14ac:dyDescent="0.25">
      <c r="B25" s="46">
        <f>MAX(B$14:B24)+1</f>
        <v>5</v>
      </c>
      <c r="D25" s="4" t="s">
        <v>47</v>
      </c>
      <c r="F25" s="17">
        <v>36</v>
      </c>
      <c r="G25" s="17"/>
      <c r="H25" s="34">
        <v>1085.852777777774</v>
      </c>
      <c r="J25" s="34">
        <v>928614.07790582778</v>
      </c>
      <c r="L25" s="35">
        <v>72091.735390272821</v>
      </c>
      <c r="M25" s="36"/>
      <c r="N25" s="35">
        <v>73313.049390272819</v>
      </c>
      <c r="O25" s="35"/>
      <c r="P25" s="35">
        <v>1221.3140000000001</v>
      </c>
      <c r="Q25" s="36">
        <f t="shared" ref="Q25:Q30" si="1">P25/L25</f>
        <v>1.6941109731765304E-2</v>
      </c>
      <c r="R25" s="36"/>
      <c r="S25" s="35">
        <f>'Billing Determinants'!I637/1000</f>
        <v>75033.954390272833</v>
      </c>
      <c r="T25" s="35"/>
      <c r="U25" s="35">
        <v>1720.905</v>
      </c>
      <c r="V25" s="36">
        <f t="shared" ref="V25:V30" si="2">U25/N25</f>
        <v>2.3473379082064615E-2</v>
      </c>
      <c r="W25" s="37">
        <f t="shared" ref="W25:W30" si="3">N25/J25*100</f>
        <v>7.8948888601393357</v>
      </c>
      <c r="X25" s="37">
        <f t="shared" si="0"/>
        <v>8.0802085791641574</v>
      </c>
      <c r="Y25" s="36"/>
      <c r="Z25" s="36"/>
      <c r="AA25" s="49"/>
      <c r="AB25" s="39"/>
      <c r="AC25" s="9"/>
      <c r="AD25" s="51"/>
      <c r="AE25" s="52"/>
    </row>
    <row r="26" spans="2:31" x14ac:dyDescent="0.25">
      <c r="B26" s="46">
        <f>MAX(B$14:B25)+1</f>
        <v>6</v>
      </c>
      <c r="D26" s="4" t="s">
        <v>48</v>
      </c>
      <c r="F26" s="17" t="s">
        <v>49</v>
      </c>
      <c r="G26" s="17"/>
      <c r="H26" s="34">
        <v>5224.9278642093977</v>
      </c>
      <c r="J26" s="34">
        <v>160874.871894949</v>
      </c>
      <c r="L26" s="35">
        <v>13779.761</v>
      </c>
      <c r="M26" s="36"/>
      <c r="N26" s="35">
        <v>14013.388999999999</v>
      </c>
      <c r="O26" s="35"/>
      <c r="P26" s="35">
        <v>233.62799999999999</v>
      </c>
      <c r="Q26" s="36">
        <f t="shared" si="1"/>
        <v>1.6954430486856773E-2</v>
      </c>
      <c r="R26" s="36"/>
      <c r="S26" s="35">
        <f>'Billing Determinants'!I769/1000</f>
        <v>14342.200999999999</v>
      </c>
      <c r="T26" s="35"/>
      <c r="U26" s="35">
        <v>328.81200000000001</v>
      </c>
      <c r="V26" s="36">
        <f t="shared" si="2"/>
        <v>2.3464131338964474E-2</v>
      </c>
      <c r="W26" s="37">
        <f t="shared" si="3"/>
        <v>8.7107382495078021</v>
      </c>
      <c r="X26" s="37">
        <f t="shared" si="0"/>
        <v>8.9151281558535942</v>
      </c>
      <c r="Y26" s="36"/>
      <c r="Z26" s="36"/>
      <c r="AA26" s="49"/>
      <c r="AB26" s="39"/>
      <c r="AC26" s="9"/>
    </row>
    <row r="27" spans="2:31" x14ac:dyDescent="0.25">
      <c r="B27" s="46">
        <f>MAX(B$14:B26)+1</f>
        <v>7</v>
      </c>
      <c r="D27" s="4" t="s">
        <v>50</v>
      </c>
      <c r="F27" s="17">
        <v>47</v>
      </c>
      <c r="G27" s="17"/>
      <c r="H27" s="34">
        <v>1</v>
      </c>
      <c r="J27" s="34">
        <v>2252.8077291342674</v>
      </c>
      <c r="L27" s="35">
        <v>320.24390541901147</v>
      </c>
      <c r="M27" s="36"/>
      <c r="N27" s="35">
        <v>325.8169054190115</v>
      </c>
      <c r="O27" s="35"/>
      <c r="P27" s="35">
        <v>5.5730000000000004</v>
      </c>
      <c r="Q27" s="36">
        <f t="shared" si="1"/>
        <v>1.7402360843395949E-2</v>
      </c>
      <c r="R27" s="36"/>
      <c r="S27" s="35">
        <f>'Billing Determinants'!I897/1000</f>
        <v>333.5599054190115</v>
      </c>
      <c r="T27" s="35"/>
      <c r="U27" s="35">
        <v>7.7430000000000003</v>
      </c>
      <c r="V27" s="36">
        <f t="shared" si="2"/>
        <v>2.376488104582002E-2</v>
      </c>
      <c r="W27" s="37">
        <f t="shared" si="3"/>
        <v>14.462703638903967</v>
      </c>
      <c r="X27" s="37">
        <f t="shared" si="0"/>
        <v>14.806408070483467</v>
      </c>
      <c r="Y27" s="36"/>
      <c r="Z27" s="36"/>
      <c r="AA27" s="49"/>
      <c r="AB27" s="39"/>
      <c r="AC27" s="9"/>
    </row>
    <row r="28" spans="2:31" x14ac:dyDescent="0.25">
      <c r="B28" s="46">
        <f>MAX(B$14:B27)+1</f>
        <v>8</v>
      </c>
      <c r="D28" s="4" t="s">
        <v>51</v>
      </c>
      <c r="F28" s="17">
        <v>48</v>
      </c>
      <c r="G28" s="17"/>
      <c r="H28" s="34">
        <v>65.154040404040458</v>
      </c>
      <c r="J28" s="34">
        <v>413290.81798306474</v>
      </c>
      <c r="L28" s="35">
        <v>28946.199579258908</v>
      </c>
      <c r="M28" s="36"/>
      <c r="N28" s="35">
        <v>29436.674579258906</v>
      </c>
      <c r="O28" s="35"/>
      <c r="P28" s="35">
        <v>490.47500000000002</v>
      </c>
      <c r="Q28" s="36">
        <f t="shared" si="1"/>
        <v>1.694436600069063E-2</v>
      </c>
      <c r="R28" s="36"/>
      <c r="S28" s="35">
        <f>'Billing Determinants'!I934/1000</f>
        <v>30127.245579258906</v>
      </c>
      <c r="T28" s="35"/>
      <c r="U28" s="35">
        <v>690.57100000000003</v>
      </c>
      <c r="V28" s="36">
        <f t="shared" si="2"/>
        <v>2.3459545273723841E-2</v>
      </c>
      <c r="W28" s="37">
        <f t="shared" si="3"/>
        <v>7.1225087271271343</v>
      </c>
      <c r="X28" s="37">
        <f t="shared" si="0"/>
        <v>7.289599543073666</v>
      </c>
      <c r="Y28" s="36"/>
      <c r="Z28" s="36"/>
      <c r="AA28" s="49"/>
      <c r="AB28" s="39"/>
      <c r="AC28" s="9"/>
      <c r="AD28" s="5" t="s">
        <v>0</v>
      </c>
    </row>
    <row r="29" spans="2:31" x14ac:dyDescent="0.25">
      <c r="B29" s="46">
        <f>MAX(B$14:B27)+1</f>
        <v>8</v>
      </c>
      <c r="D29" s="4" t="s">
        <v>52</v>
      </c>
      <c r="F29" s="33" t="s">
        <v>53</v>
      </c>
      <c r="G29" s="17"/>
      <c r="H29" s="34">
        <v>1.0027777777777749</v>
      </c>
      <c r="J29" s="34">
        <v>459903.50184810511</v>
      </c>
      <c r="L29" s="35">
        <v>26554.390864840949</v>
      </c>
      <c r="M29" s="36"/>
      <c r="N29" s="35">
        <v>27004.252864840946</v>
      </c>
      <c r="O29" s="35"/>
      <c r="P29" s="35">
        <v>449.86200000000002</v>
      </c>
      <c r="Q29" s="36">
        <f t="shared" si="1"/>
        <v>1.6941153057878459E-2</v>
      </c>
      <c r="R29" s="36"/>
      <c r="S29" s="35">
        <f>'Billing Determinants'!I1104/1000</f>
        <v>27638.135864840948</v>
      </c>
      <c r="T29" s="35"/>
      <c r="U29" s="35">
        <v>633.88300000000004</v>
      </c>
      <c r="V29" s="36">
        <f t="shared" si="2"/>
        <v>2.3473450762465063E-2</v>
      </c>
      <c r="W29" s="37">
        <f t="shared" si="3"/>
        <v>5.871721514692835</v>
      </c>
      <c r="X29" s="37">
        <f t="shared" si="0"/>
        <v>6.0095510805588841</v>
      </c>
      <c r="Y29" s="36"/>
      <c r="Z29" s="36"/>
      <c r="AA29" s="49"/>
      <c r="AB29" s="39"/>
      <c r="AC29" s="9"/>
    </row>
    <row r="30" spans="2:31" x14ac:dyDescent="0.25">
      <c r="B30" s="46">
        <f>MAX(B$14:B29)+1</f>
        <v>9</v>
      </c>
      <c r="D30" s="4" t="s">
        <v>54</v>
      </c>
      <c r="F30" s="17" t="s">
        <v>55</v>
      </c>
      <c r="G30" s="17"/>
      <c r="H30" s="34">
        <v>29.122222222222252</v>
      </c>
      <c r="J30" s="34">
        <v>269.62791580171842</v>
      </c>
      <c r="L30" s="35">
        <v>24.108272947769361</v>
      </c>
      <c r="M30" s="36"/>
      <c r="N30" s="35">
        <v>24.51727294776936</v>
      </c>
      <c r="O30" s="35"/>
      <c r="P30" s="35">
        <v>0.40899999999999997</v>
      </c>
      <c r="Q30" s="36">
        <f t="shared" si="1"/>
        <v>1.6965130637358369E-2</v>
      </c>
      <c r="R30" s="36"/>
      <c r="S30" s="35">
        <f>'Billing Determinants'!I1232/1000</f>
        <v>25.091272947769362</v>
      </c>
      <c r="T30" s="35"/>
      <c r="U30" s="35">
        <v>0.57399999999999995</v>
      </c>
      <c r="V30" s="36">
        <f t="shared" si="2"/>
        <v>2.3412065494511854E-2</v>
      </c>
      <c r="W30" s="37">
        <f t="shared" si="3"/>
        <v>9.0930024344360199</v>
      </c>
      <c r="X30" s="37">
        <f t="shared" si="0"/>
        <v>9.3058884029727942</v>
      </c>
      <c r="Y30" s="36"/>
      <c r="Z30" s="36"/>
      <c r="AA30" s="49"/>
      <c r="AB30" s="39"/>
      <c r="AC30" s="9"/>
      <c r="AD30" s="5" t="s">
        <v>0</v>
      </c>
    </row>
    <row r="31" spans="2:31" x14ac:dyDescent="0.25">
      <c r="B31" s="19"/>
      <c r="F31" s="17"/>
      <c r="G31" s="17"/>
      <c r="H31" s="41"/>
      <c r="J31" s="41"/>
      <c r="L31" s="41"/>
      <c r="M31" s="9"/>
      <c r="N31" s="41"/>
      <c r="O31" s="9"/>
      <c r="P31" s="41"/>
      <c r="Q31" s="54"/>
      <c r="R31" s="9"/>
      <c r="S31" s="41"/>
      <c r="T31" s="9"/>
      <c r="U31" s="41"/>
      <c r="V31" s="54"/>
      <c r="W31" s="43"/>
      <c r="X31" s="43"/>
      <c r="Y31" s="9"/>
      <c r="Z31" s="9"/>
      <c r="AA31" s="44"/>
      <c r="AB31" s="9"/>
      <c r="AC31" s="38" t="s">
        <v>0</v>
      </c>
    </row>
    <row r="32" spans="2:31" x14ac:dyDescent="0.25">
      <c r="B32" s="19"/>
      <c r="Q32" s="45"/>
      <c r="V32" s="45"/>
      <c r="AA32" s="44"/>
      <c r="AB32" s="9"/>
      <c r="AC32" s="9"/>
    </row>
    <row r="33" spans="2:30" x14ac:dyDescent="0.25">
      <c r="B33" s="46">
        <f>MAX(B$14:B32)+1</f>
        <v>10</v>
      </c>
      <c r="D33" s="32" t="s">
        <v>56</v>
      </c>
      <c r="H33" s="47">
        <f>SUM(H23:H30)</f>
        <v>25453.101474718143</v>
      </c>
      <c r="J33" s="47">
        <f>SUM(J23:J30)</f>
        <v>2501472.3056290983</v>
      </c>
      <c r="K33" s="47"/>
      <c r="L33" s="35">
        <f>SUM(L23:L30)</f>
        <v>190323.56390389864</v>
      </c>
      <c r="M33" s="36"/>
      <c r="N33" s="35">
        <f>SUM(N23:N30)</f>
        <v>193548.15490389863</v>
      </c>
      <c r="O33" s="48"/>
      <c r="P33" s="35">
        <f>SUM(P23:P30)</f>
        <v>3224.5910000000003</v>
      </c>
      <c r="Q33" s="36">
        <f>P33/L33</f>
        <v>1.6942678740653548E-2</v>
      </c>
      <c r="R33" s="36"/>
      <c r="S33" s="35">
        <f>SUM(S23:S30)</f>
        <v>198090.68290389862</v>
      </c>
      <c r="T33" s="48"/>
      <c r="U33" s="35">
        <f>SUM(U23:U30)</f>
        <v>4542.5279999999993</v>
      </c>
      <c r="V33" s="36">
        <f>U33/N33</f>
        <v>2.3469756155802546E-2</v>
      </c>
      <c r="W33" s="37">
        <f>N33/J33*100</f>
        <v>7.7373694870958394</v>
      </c>
      <c r="X33" s="37">
        <f>S33/J33*100</f>
        <v>7.918963662245325</v>
      </c>
      <c r="Y33" s="36"/>
      <c r="Z33" s="36"/>
      <c r="AA33" s="49"/>
      <c r="AB33" s="39"/>
      <c r="AC33" s="38" t="s">
        <v>0</v>
      </c>
    </row>
    <row r="34" spans="2:30" x14ac:dyDescent="0.25">
      <c r="B34" s="19"/>
      <c r="Q34" s="45"/>
      <c r="V34" s="45"/>
      <c r="AA34" s="44"/>
      <c r="AB34" s="9"/>
      <c r="AC34" s="9"/>
    </row>
    <row r="35" spans="2:30" x14ac:dyDescent="0.25">
      <c r="B35" s="19"/>
      <c r="D35" s="32" t="s">
        <v>57</v>
      </c>
      <c r="Q35" s="45"/>
      <c r="V35" s="45"/>
      <c r="AA35" s="44"/>
      <c r="AB35" s="9"/>
      <c r="AC35" s="9"/>
    </row>
    <row r="36" spans="2:30" x14ac:dyDescent="0.25">
      <c r="B36" s="46">
        <f>MAX(B$14:B35)+1</f>
        <v>11</v>
      </c>
      <c r="D36" s="4" t="s">
        <v>58</v>
      </c>
      <c r="F36" s="17" t="s">
        <v>59</v>
      </c>
      <c r="G36" s="17"/>
      <c r="H36" s="34">
        <v>2460.6166666666663</v>
      </c>
      <c r="J36" s="34">
        <v>3285.7464134232382</v>
      </c>
      <c r="L36" s="35">
        <v>469.31262621896536</v>
      </c>
      <c r="M36" s="36"/>
      <c r="N36" s="35">
        <v>477.39711350964478</v>
      </c>
      <c r="O36" s="35"/>
      <c r="P36" s="35">
        <v>8.0844872906794194</v>
      </c>
      <c r="Q36" s="36">
        <f>P36/L36</f>
        <v>1.7226230105531981E-2</v>
      </c>
      <c r="R36" s="36"/>
      <c r="S36" s="35">
        <f>'Billing Determinants'!I27/1000</f>
        <v>488.55641257909394</v>
      </c>
      <c r="T36" s="35"/>
      <c r="U36" s="35">
        <v>11.159299069449188</v>
      </c>
      <c r="V36" s="36">
        <f>U36/N36</f>
        <v>2.3375296485163476E-2</v>
      </c>
      <c r="W36" s="37">
        <f>N36/J36*100</f>
        <v>14.529335299867864</v>
      </c>
      <c r="X36" s="37">
        <f t="shared" ref="X36:X40" si="4">S36/J36*100</f>
        <v>14.868962820234625</v>
      </c>
      <c r="Y36" s="36"/>
      <c r="Z36" s="36"/>
      <c r="AA36" s="49"/>
      <c r="AB36" s="39"/>
      <c r="AC36" s="9"/>
    </row>
    <row r="37" spans="2:30" x14ac:dyDescent="0.25">
      <c r="B37" s="46">
        <f>MAX(B$14:B36)+1</f>
        <v>12</v>
      </c>
      <c r="D37" s="4" t="s">
        <v>60</v>
      </c>
      <c r="F37" s="17" t="s">
        <v>61</v>
      </c>
      <c r="G37" s="17"/>
      <c r="H37" s="34">
        <v>177</v>
      </c>
      <c r="J37" s="34">
        <v>3932.5577854698172</v>
      </c>
      <c r="L37" s="35">
        <v>768.97320538016254</v>
      </c>
      <c r="M37" s="36"/>
      <c r="N37" s="35">
        <v>782.10020538016261</v>
      </c>
      <c r="O37" s="35"/>
      <c r="P37" s="35">
        <v>13.127000000000001</v>
      </c>
      <c r="Q37" s="36">
        <f>P37/L37</f>
        <v>1.7070815872589885E-2</v>
      </c>
      <c r="R37" s="36"/>
      <c r="S37" s="35">
        <f>'Billing Determinants'!I1141/1000</f>
        <v>800.33920538016253</v>
      </c>
      <c r="T37" s="35"/>
      <c r="U37" s="35">
        <v>18.239000000000001</v>
      </c>
      <c r="V37" s="36">
        <f>U37/N37</f>
        <v>2.332054112060283E-2</v>
      </c>
      <c r="W37" s="37">
        <f>N37/J37*100</f>
        <v>19.88782487239984</v>
      </c>
      <c r="X37" s="37">
        <f t="shared" si="4"/>
        <v>20.351619710135985</v>
      </c>
      <c r="Y37" s="36"/>
      <c r="Z37" s="36"/>
      <c r="AA37" s="49"/>
      <c r="AB37" s="39"/>
      <c r="AC37" s="38" t="s">
        <v>0</v>
      </c>
    </row>
    <row r="38" spans="2:30" x14ac:dyDescent="0.25">
      <c r="B38" s="46">
        <f>MAX(B$14:B37)+1</f>
        <v>13</v>
      </c>
      <c r="D38" s="4" t="s">
        <v>60</v>
      </c>
      <c r="F38" s="17">
        <v>52</v>
      </c>
      <c r="G38" s="17"/>
      <c r="H38" s="34">
        <v>1.1666666666666667</v>
      </c>
      <c r="J38" s="34">
        <v>212.19525038227087</v>
      </c>
      <c r="L38" s="35">
        <v>36.502141953691478</v>
      </c>
      <c r="M38" s="36"/>
      <c r="N38" s="35">
        <v>37.12014195369148</v>
      </c>
      <c r="O38" s="35"/>
      <c r="P38" s="35">
        <v>0.61799999999999999</v>
      </c>
      <c r="Q38" s="36">
        <f>P38/L38</f>
        <v>1.6930513304781594E-2</v>
      </c>
      <c r="R38" s="36"/>
      <c r="S38" s="35">
        <f>'Billing Determinants'!I1158/1000</f>
        <v>37.99214195369148</v>
      </c>
      <c r="T38" s="35"/>
      <c r="U38" s="35">
        <v>0.872</v>
      </c>
      <c r="V38" s="36">
        <f>U38/N38</f>
        <v>2.3491289475343246E-2</v>
      </c>
      <c r="W38" s="37">
        <f>N38/J38*100</f>
        <v>17.493389643179736</v>
      </c>
      <c r="X38" s="37">
        <f t="shared" si="4"/>
        <v>17.904331923192643</v>
      </c>
      <c r="Y38" s="36"/>
      <c r="Z38" s="36"/>
      <c r="AA38" s="49"/>
      <c r="AB38" s="39"/>
      <c r="AC38" s="9"/>
    </row>
    <row r="39" spans="2:30" x14ac:dyDescent="0.25">
      <c r="B39" s="46">
        <f>MAX(B$14:B38)+1</f>
        <v>14</v>
      </c>
      <c r="D39" s="4" t="s">
        <v>60</v>
      </c>
      <c r="F39" s="17">
        <v>53</v>
      </c>
      <c r="G39" s="17"/>
      <c r="H39" s="34">
        <v>6.7847222222222223</v>
      </c>
      <c r="J39" s="34">
        <v>4656.9131691638522</v>
      </c>
      <c r="L39" s="35">
        <v>325.79118695836257</v>
      </c>
      <c r="M39" s="36"/>
      <c r="N39" s="35">
        <v>331.29827748414397</v>
      </c>
      <c r="O39" s="35"/>
      <c r="P39" s="35">
        <v>5.5070182750000383</v>
      </c>
      <c r="Q39" s="36">
        <f>P39/L39</f>
        <v>1.6903521321170231E-2</v>
      </c>
      <c r="R39" s="36"/>
      <c r="S39" s="35">
        <f>'Billing Determinants'!I1172/1000</f>
        <v>339.07660882721854</v>
      </c>
      <c r="T39" s="35"/>
      <c r="U39" s="35">
        <v>7.7782813384425831</v>
      </c>
      <c r="V39" s="36">
        <f>U39/N39</f>
        <v>2.3478182251686637E-2</v>
      </c>
      <c r="W39" s="37">
        <f>N39/J39*100</f>
        <v>7.1141175591991663</v>
      </c>
      <c r="X39" s="37">
        <f t="shared" si="4"/>
        <v>7.2811451815860169</v>
      </c>
      <c r="Y39" s="36"/>
      <c r="Z39" s="36"/>
      <c r="AA39" s="49"/>
      <c r="AB39" s="39"/>
      <c r="AC39" s="9"/>
      <c r="AD39" s="5" t="s">
        <v>0</v>
      </c>
    </row>
    <row r="40" spans="2:30" x14ac:dyDescent="0.25">
      <c r="B40" s="46">
        <f>MAX(B$14:B39)+1</f>
        <v>15</v>
      </c>
      <c r="D40" s="4" t="s">
        <v>60</v>
      </c>
      <c r="F40" s="17">
        <v>57</v>
      </c>
      <c r="G40" s="17"/>
      <c r="H40" s="34">
        <v>34.833333333333336</v>
      </c>
      <c r="J40" s="34">
        <v>1753.793178375513</v>
      </c>
      <c r="L40" s="35">
        <v>219.70146192102368</v>
      </c>
      <c r="M40" s="36"/>
      <c r="N40" s="35">
        <v>223.41646192102368</v>
      </c>
      <c r="O40" s="35"/>
      <c r="P40" s="35">
        <v>3.7149999999999999</v>
      </c>
      <c r="Q40" s="36">
        <f>P40/L40</f>
        <v>1.690930942159791E-2</v>
      </c>
      <c r="R40" s="36"/>
      <c r="S40" s="35">
        <f>'Billing Determinants'!I1272/1000</f>
        <v>228.62746192102367</v>
      </c>
      <c r="T40" s="35"/>
      <c r="U40" s="35">
        <v>5.2110000000000003</v>
      </c>
      <c r="V40" s="36">
        <f>U40/N40</f>
        <v>2.3324154161218684E-2</v>
      </c>
      <c r="W40" s="37">
        <f>N40/J40*100</f>
        <v>12.739042703311673</v>
      </c>
      <c r="X40" s="37">
        <f t="shared" si="4"/>
        <v>13.036170099190064</v>
      </c>
      <c r="Y40" s="36"/>
      <c r="Z40" s="36"/>
      <c r="AA40" s="49"/>
      <c r="AB40" s="39"/>
      <c r="AC40" s="9"/>
    </row>
    <row r="41" spans="2:30" x14ac:dyDescent="0.25">
      <c r="B41" s="19"/>
      <c r="H41" s="41"/>
      <c r="J41" s="41"/>
      <c r="L41" s="41"/>
      <c r="M41" s="9"/>
      <c r="N41" s="43"/>
      <c r="O41" s="9"/>
      <c r="P41" s="41"/>
      <c r="Q41" s="54"/>
      <c r="R41" s="9"/>
      <c r="S41" s="43"/>
      <c r="T41" s="9"/>
      <c r="U41" s="41"/>
      <c r="V41" s="54"/>
      <c r="W41" s="43"/>
      <c r="X41" s="43"/>
      <c r="Y41" s="9"/>
      <c r="Z41" s="9"/>
      <c r="AA41" s="44"/>
      <c r="AB41" s="9"/>
      <c r="AC41" s="9"/>
    </row>
    <row r="42" spans="2:30" x14ac:dyDescent="0.25">
      <c r="B42" s="19"/>
      <c r="Q42" s="45"/>
      <c r="V42" s="45"/>
      <c r="AA42" s="44"/>
      <c r="AB42" s="9"/>
      <c r="AC42" s="9"/>
    </row>
    <row r="43" spans="2:30" x14ac:dyDescent="0.25">
      <c r="B43" s="46">
        <f>MAX(B$14:B42)+1</f>
        <v>16</v>
      </c>
      <c r="D43" s="32" t="s">
        <v>62</v>
      </c>
      <c r="H43" s="55">
        <f>SUM(H36:H40)</f>
        <v>2680.4013888888885</v>
      </c>
      <c r="J43" s="55">
        <f>SUM(J36:J40)</f>
        <v>13841.205796814691</v>
      </c>
      <c r="K43" s="47"/>
      <c r="L43" s="56">
        <f>SUM(L36:L40)</f>
        <v>1820.2806224322057</v>
      </c>
      <c r="M43" s="39"/>
      <c r="N43" s="56">
        <f>SUM(N36:N40)</f>
        <v>1851.3322002486666</v>
      </c>
      <c r="O43" s="57"/>
      <c r="P43" s="56">
        <f>SUM(P36:P40)</f>
        <v>31.051505565679459</v>
      </c>
      <c r="Q43" s="58">
        <f>P43/L43</f>
        <v>1.7058636554724921E-2</v>
      </c>
      <c r="R43" s="39"/>
      <c r="S43" s="56">
        <f>SUM(S36:S40)</f>
        <v>1894.5918306611902</v>
      </c>
      <c r="T43" s="57"/>
      <c r="U43" s="56">
        <f>SUM(U36:U40)</f>
        <v>43.259580407891768</v>
      </c>
      <c r="V43" s="58">
        <f>U43/N43</f>
        <v>2.3366730402075458E-2</v>
      </c>
      <c r="W43" s="59">
        <f>N43/J43*100</f>
        <v>13.37551241868478</v>
      </c>
      <c r="X43" s="59">
        <f>S43/J43*100</f>
        <v>13.688054772635466</v>
      </c>
      <c r="Y43" s="39"/>
      <c r="Z43" s="39"/>
      <c r="AA43" s="60"/>
      <c r="AB43" s="39"/>
      <c r="AC43" s="9"/>
    </row>
    <row r="44" spans="2:30" x14ac:dyDescent="0.25">
      <c r="B44" s="19"/>
      <c r="D44" s="32"/>
      <c r="H44" s="61"/>
      <c r="J44" s="61"/>
      <c r="K44" s="47"/>
      <c r="L44" s="57"/>
      <c r="M44" s="57"/>
      <c r="N44" s="57"/>
      <c r="O44" s="57"/>
      <c r="P44" s="57"/>
      <c r="Q44" s="62"/>
      <c r="R44" s="57"/>
      <c r="S44" s="57"/>
      <c r="T44" s="57"/>
      <c r="U44" s="57"/>
      <c r="V44" s="62"/>
      <c r="W44" s="57"/>
      <c r="X44" s="57"/>
      <c r="Y44" s="57"/>
      <c r="Z44" s="57"/>
      <c r="AA44" s="44"/>
      <c r="AB44" s="57"/>
      <c r="AC44" s="9"/>
    </row>
    <row r="45" spans="2:30" ht="16.5" thickBot="1" x14ac:dyDescent="0.3">
      <c r="B45" s="46">
        <f>MAX(B$14:B44)+1</f>
        <v>17</v>
      </c>
      <c r="D45" s="63" t="s">
        <v>63</v>
      </c>
      <c r="H45" s="64">
        <f>H43+H33+H20</f>
        <v>133392.15264854633</v>
      </c>
      <c r="J45" s="64">
        <f>J43+J33+J20</f>
        <v>4085100.1489150897</v>
      </c>
      <c r="L45" s="65">
        <f>L43+L33+L20</f>
        <v>335077.72155906417</v>
      </c>
      <c r="M45" s="39"/>
      <c r="N45" s="65">
        <f>N43+N33+N20</f>
        <v>340754.72713688063</v>
      </c>
      <c r="O45" s="66"/>
      <c r="P45" s="65">
        <f>P43+P33+P20</f>
        <v>5677.0055055656794</v>
      </c>
      <c r="Q45" s="67">
        <f>P45/L45</f>
        <v>1.6942354386174831E-2</v>
      </c>
      <c r="R45" s="39"/>
      <c r="S45" s="65">
        <f>S43+S33+S20</f>
        <v>348753.29276729317</v>
      </c>
      <c r="T45" s="66"/>
      <c r="U45" s="65">
        <f>U43+U33+U20</f>
        <v>7998.5655804078906</v>
      </c>
      <c r="V45" s="67">
        <f>U45/N45</f>
        <v>2.347308765930892E-2</v>
      </c>
      <c r="W45" s="68">
        <f>N45/J45*100</f>
        <v>8.3414044874120741</v>
      </c>
      <c r="X45" s="68">
        <f>S45/J45*100</f>
        <v>8.5372030073709251</v>
      </c>
      <c r="Y45" s="39"/>
      <c r="Z45" s="39"/>
      <c r="AA45" s="38" t="s">
        <v>0</v>
      </c>
      <c r="AB45" s="39"/>
      <c r="AC45" s="40" t="s">
        <v>0</v>
      </c>
    </row>
    <row r="46" spans="2:30" ht="16.5" thickTop="1" x14ac:dyDescent="0.25">
      <c r="B46" s="563" t="s">
        <v>0</v>
      </c>
      <c r="C46" s="564"/>
      <c r="D46" s="564"/>
      <c r="H46" s="69"/>
      <c r="J46" s="69"/>
      <c r="L46" s="66"/>
      <c r="M46" s="39"/>
      <c r="N46" s="66"/>
      <c r="O46" s="66"/>
      <c r="P46" s="66"/>
      <c r="Q46" s="45"/>
      <c r="R46" s="39"/>
      <c r="S46" s="66"/>
      <c r="T46" s="66"/>
      <c r="U46" s="66"/>
      <c r="V46" s="45"/>
      <c r="W46" s="39"/>
      <c r="X46" s="39"/>
      <c r="Y46" s="39"/>
      <c r="Z46" s="39"/>
      <c r="AA46" s="49"/>
      <c r="AB46" s="39"/>
      <c r="AC46" s="9"/>
    </row>
    <row r="47" spans="2:30" x14ac:dyDescent="0.25">
      <c r="B47" s="46">
        <v>18</v>
      </c>
      <c r="D47" s="4" t="s">
        <v>64</v>
      </c>
      <c r="H47" s="69"/>
      <c r="J47" s="69"/>
      <c r="L47" s="70">
        <v>594.93922999999995</v>
      </c>
      <c r="M47" s="71"/>
      <c r="N47" s="70">
        <f>L47</f>
        <v>594.93922999999995</v>
      </c>
      <c r="O47" s="66"/>
      <c r="P47" s="51"/>
      <c r="Q47" s="36"/>
      <c r="R47" s="39"/>
      <c r="S47" s="70">
        <f>N47</f>
        <v>594.93922999999995</v>
      </c>
      <c r="T47" s="66"/>
      <c r="U47" s="51"/>
      <c r="V47" s="36"/>
      <c r="W47" s="37"/>
      <c r="X47" s="37"/>
      <c r="Y47" s="36"/>
      <c r="Z47" s="39"/>
      <c r="AA47" s="49"/>
      <c r="AB47" s="39"/>
      <c r="AC47" s="9"/>
    </row>
    <row r="48" spans="2:30" x14ac:dyDescent="0.25">
      <c r="B48" s="46"/>
      <c r="H48" s="69"/>
      <c r="J48" s="69"/>
      <c r="L48" s="66"/>
      <c r="M48" s="71"/>
      <c r="N48" s="70"/>
      <c r="O48" s="66"/>
      <c r="P48" s="51"/>
      <c r="Q48" s="36"/>
      <c r="R48" s="39"/>
      <c r="S48" s="70"/>
      <c r="T48" s="66"/>
      <c r="U48" s="51"/>
      <c r="V48" s="36"/>
      <c r="W48" s="37"/>
      <c r="X48" s="37"/>
      <c r="Y48" s="36"/>
      <c r="Z48" s="39"/>
      <c r="AA48" s="49"/>
      <c r="AB48" s="39"/>
      <c r="AC48" s="9"/>
    </row>
    <row r="49" spans="2:29" ht="16.5" thickBot="1" x14ac:dyDescent="0.3">
      <c r="B49" s="46">
        <v>19</v>
      </c>
      <c r="D49" s="72" t="s">
        <v>65</v>
      </c>
      <c r="H49" s="73">
        <f>SUM(H45:H47)</f>
        <v>133392.15264854633</v>
      </c>
      <c r="J49" s="73">
        <f>SUM(J45:J47)</f>
        <v>4085100.1489150897</v>
      </c>
      <c r="L49" s="65">
        <f>SUM(L45:L47)</f>
        <v>335672.66078906419</v>
      </c>
      <c r="N49" s="74">
        <f>SUM(N45:N47)</f>
        <v>341349.66636688064</v>
      </c>
      <c r="O49" s="66"/>
      <c r="P49" s="65">
        <f>SUM(P45:P47)</f>
        <v>5677.0055055656794</v>
      </c>
      <c r="Q49" s="67">
        <f>P49/L49</f>
        <v>1.6912326110266974E-2</v>
      </c>
      <c r="S49" s="74">
        <f>SUM(S45:S47)</f>
        <v>349348.23199729319</v>
      </c>
      <c r="T49" s="66"/>
      <c r="U49" s="65">
        <f>SUM(U45:U47)</f>
        <v>7998.5655804078906</v>
      </c>
      <c r="V49" s="67">
        <f>U49/N49</f>
        <v>2.3432176353179963E-2</v>
      </c>
      <c r="W49" s="68">
        <f>N49/J49*100</f>
        <v>8.3559681262045782</v>
      </c>
      <c r="X49" s="68">
        <f>S49/J49*100</f>
        <v>8.5517666461634274</v>
      </c>
      <c r="Y49" s="36"/>
      <c r="AA49" s="9"/>
      <c r="AB49" s="9"/>
      <c r="AC49" s="9"/>
    </row>
    <row r="50" spans="2:29" ht="18.75" customHeight="1" thickTop="1" x14ac:dyDescent="0.25">
      <c r="I50" s="5"/>
      <c r="P50" s="35" t="s">
        <v>0</v>
      </c>
      <c r="Q50" s="75" t="s">
        <v>0</v>
      </c>
      <c r="U50" s="35" t="s">
        <v>0</v>
      </c>
      <c r="V50" s="75" t="s">
        <v>0</v>
      </c>
    </row>
    <row r="51" spans="2:29" ht="18.75" customHeight="1" x14ac:dyDescent="0.25">
      <c r="P51" s="76" t="s">
        <v>0</v>
      </c>
      <c r="Q51" s="77" t="s">
        <v>0</v>
      </c>
      <c r="U51" s="76" t="s">
        <v>0</v>
      </c>
      <c r="V51" s="77" t="s">
        <v>0</v>
      </c>
    </row>
    <row r="52" spans="2:29" x14ac:dyDescent="0.25">
      <c r="L52" s="78"/>
      <c r="M52" s="9"/>
      <c r="P52" s="51"/>
      <c r="Q52" s="79"/>
      <c r="R52" s="9"/>
      <c r="U52" s="51"/>
      <c r="V52" s="79"/>
      <c r="W52" s="9"/>
      <c r="X52" s="9"/>
      <c r="Y52" s="9"/>
      <c r="Z52" s="9"/>
      <c r="AA52" s="9"/>
      <c r="AB52" s="9"/>
    </row>
    <row r="53" spans="2:29" x14ac:dyDescent="0.25">
      <c r="M53" s="9"/>
      <c r="P53" s="80"/>
      <c r="R53" s="9"/>
      <c r="U53" s="80"/>
      <c r="W53" s="66"/>
      <c r="X53" s="66"/>
      <c r="Y53" s="9"/>
      <c r="Z53" s="9"/>
      <c r="AA53" s="9"/>
      <c r="AB53" s="9"/>
    </row>
    <row r="54" spans="2:29" x14ac:dyDescent="0.25">
      <c r="N54" s="38"/>
      <c r="P54" s="81"/>
      <c r="Q54" s="82"/>
      <c r="S54" s="38"/>
      <c r="U54" s="81"/>
      <c r="V54" s="82"/>
    </row>
    <row r="55" spans="2:29" x14ac:dyDescent="0.25">
      <c r="N55" s="9"/>
      <c r="P55" s="83"/>
      <c r="Q55" s="84"/>
      <c r="S55" s="9"/>
      <c r="U55" s="83"/>
      <c r="V55" s="84"/>
    </row>
    <row r="56" spans="2:29" x14ac:dyDescent="0.25">
      <c r="N56" s="31"/>
      <c r="P56" s="85"/>
      <c r="Q56" s="86"/>
      <c r="S56" s="31"/>
      <c r="U56" s="85"/>
      <c r="V56" s="86"/>
    </row>
    <row r="57" spans="2:29" x14ac:dyDescent="0.25">
      <c r="N57" s="87"/>
      <c r="Q57" s="88"/>
      <c r="S57" s="87"/>
      <c r="V57" s="88"/>
    </row>
    <row r="58" spans="2:29" x14ac:dyDescent="0.25">
      <c r="N58" s="5"/>
      <c r="Q58" s="89"/>
      <c r="S58" s="5"/>
      <c r="V58" s="89"/>
    </row>
    <row r="60" spans="2:29" x14ac:dyDescent="0.25">
      <c r="N60" s="31"/>
      <c r="S60" s="31"/>
    </row>
  </sheetData>
  <mergeCells count="10">
    <mergeCell ref="N9:Q9"/>
    <mergeCell ref="S9:V9"/>
    <mergeCell ref="S10:V10"/>
    <mergeCell ref="B46:D46"/>
    <mergeCell ref="B2:V2"/>
    <mergeCell ref="B3:V3"/>
    <mergeCell ref="B4:V4"/>
    <mergeCell ref="B5:V5"/>
    <mergeCell ref="B6:V6"/>
    <mergeCell ref="B7:V7"/>
  </mergeCells>
  <printOptions horizontalCentered="1"/>
  <pageMargins left="0.25" right="0.25" top="0.5" bottom="0.5" header="0.5" footer="0.25"/>
  <pageSetup scale="7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view="pageBreakPreview" zoomScaleNormal="100" workbookViewId="0">
      <selection sqref="A1:F1"/>
    </sheetView>
  </sheetViews>
  <sheetFormatPr defaultRowHeight="15.75" x14ac:dyDescent="0.25"/>
  <cols>
    <col min="1" max="1" width="16.125" customWidth="1"/>
    <col min="3" max="3" width="10.5" bestFit="1" customWidth="1"/>
    <col min="5" max="5" width="9.625" customWidth="1"/>
    <col min="6" max="6" width="13.25" customWidth="1"/>
  </cols>
  <sheetData>
    <row r="1" spans="1:8" x14ac:dyDescent="0.25">
      <c r="A1" s="584" t="s">
        <v>302</v>
      </c>
      <c r="B1" s="584"/>
      <c r="C1" s="584"/>
      <c r="D1" s="584"/>
      <c r="E1" s="584"/>
      <c r="F1" s="584"/>
    </row>
    <row r="2" spans="1:8" x14ac:dyDescent="0.25">
      <c r="A2" s="584" t="s">
        <v>386</v>
      </c>
      <c r="B2" s="584"/>
      <c r="C2" s="584"/>
      <c r="D2" s="584"/>
      <c r="E2" s="584"/>
      <c r="F2" s="584"/>
    </row>
    <row r="3" spans="1:8" x14ac:dyDescent="0.25">
      <c r="A3" s="584" t="s">
        <v>387</v>
      </c>
      <c r="B3" s="584"/>
      <c r="C3" s="584"/>
      <c r="D3" s="584"/>
      <c r="E3" s="584"/>
      <c r="F3" s="584"/>
    </row>
    <row r="4" spans="1:8" x14ac:dyDescent="0.25">
      <c r="A4" s="584" t="s">
        <v>305</v>
      </c>
      <c r="B4" s="584"/>
      <c r="C4" s="584"/>
      <c r="D4" s="584"/>
      <c r="E4" s="584"/>
      <c r="F4" s="584"/>
    </row>
    <row r="5" spans="1:8" x14ac:dyDescent="0.25">
      <c r="A5" s="539"/>
      <c r="B5" s="585"/>
      <c r="C5" s="585"/>
      <c r="D5" s="585"/>
      <c r="E5" s="585"/>
      <c r="F5" s="585"/>
      <c r="H5" s="540" t="s">
        <v>13</v>
      </c>
    </row>
    <row r="6" spans="1:8" x14ac:dyDescent="0.25">
      <c r="A6" s="541" t="s">
        <v>388</v>
      </c>
      <c r="B6" s="542" t="s">
        <v>389</v>
      </c>
      <c r="C6" s="542" t="s">
        <v>390</v>
      </c>
      <c r="D6" s="542" t="s">
        <v>391</v>
      </c>
      <c r="E6" s="542" t="s">
        <v>392</v>
      </c>
      <c r="F6" s="543" t="s">
        <v>389</v>
      </c>
      <c r="H6" s="542" t="s">
        <v>392</v>
      </c>
    </row>
    <row r="7" spans="1:8" x14ac:dyDescent="0.25">
      <c r="A7" s="544" t="s">
        <v>393</v>
      </c>
      <c r="B7" s="545" t="s">
        <v>394</v>
      </c>
      <c r="C7" s="545" t="s">
        <v>395</v>
      </c>
      <c r="D7" s="545" t="s">
        <v>396</v>
      </c>
      <c r="E7" s="546" t="s">
        <v>397</v>
      </c>
      <c r="F7" s="545" t="s">
        <v>398</v>
      </c>
      <c r="H7" s="546" t="s">
        <v>397</v>
      </c>
    </row>
    <row r="8" spans="1:8" x14ac:dyDescent="0.25">
      <c r="A8" s="547" t="s">
        <v>399</v>
      </c>
      <c r="B8" s="548">
        <v>2460.8958695590204</v>
      </c>
      <c r="C8" s="549">
        <f>F8*E8/100</f>
        <v>1213924.7221758463</v>
      </c>
      <c r="D8" s="550">
        <f>C8/B8</f>
        <v>493.2856920895947</v>
      </c>
      <c r="E8" s="551">
        <f>ROUND(H8*(1+$E$14),3)</f>
        <v>8.9039999999999999</v>
      </c>
      <c r="F8" s="548">
        <v>13633476.214912919</v>
      </c>
      <c r="H8" s="552">
        <v>8.5079999999999991</v>
      </c>
    </row>
    <row r="9" spans="1:8" x14ac:dyDescent="0.25">
      <c r="A9" s="547" t="s">
        <v>400</v>
      </c>
      <c r="B9" s="548">
        <v>1797.9619737179671</v>
      </c>
      <c r="C9" s="549">
        <f>F9*E9/100</f>
        <v>600859.45474576997</v>
      </c>
      <c r="D9" s="550">
        <f>C9/B9</f>
        <v>334.18918949841054</v>
      </c>
      <c r="E9" s="551">
        <f>ROUND(H9*(1+$E$14),3)-0.002</f>
        <v>5.9889999999999999</v>
      </c>
      <c r="F9" s="548">
        <v>10032717.561291868</v>
      </c>
      <c r="H9" s="552">
        <v>5.7240000000000002</v>
      </c>
    </row>
    <row r="10" spans="1:8" x14ac:dyDescent="0.25">
      <c r="A10" s="547" t="s">
        <v>401</v>
      </c>
      <c r="B10" s="548">
        <v>1405.1421567230125</v>
      </c>
      <c r="C10" s="549">
        <f>F10*E10/100</f>
        <v>293454.00233508745</v>
      </c>
      <c r="D10" s="550">
        <f>C10/B10</f>
        <v>208.84292804897629</v>
      </c>
      <c r="E10" s="551">
        <f>ROUND(H10*(1+$E$14),3)</f>
        <v>3.7440000000000002</v>
      </c>
      <c r="F10" s="548">
        <v>7837980.8315995568</v>
      </c>
      <c r="H10" s="552">
        <v>3.577</v>
      </c>
    </row>
    <row r="11" spans="1:8" x14ac:dyDescent="0.25">
      <c r="A11" s="541" t="s">
        <v>390</v>
      </c>
      <c r="B11" s="548">
        <v>5664</v>
      </c>
      <c r="C11" s="549">
        <f>SUM(C8:C10)</f>
        <v>2108238.1792567037</v>
      </c>
      <c r="D11" s="550">
        <f>C11/B11</f>
        <v>372.21719266537849</v>
      </c>
      <c r="E11" s="551">
        <f>C11/F11*100</f>
        <v>6.6919327533641919</v>
      </c>
      <c r="F11" s="548">
        <f>SUM(F8:F10)</f>
        <v>31504174.607804343</v>
      </c>
      <c r="H11" s="552">
        <v>6.3946239157155871</v>
      </c>
    </row>
    <row r="13" spans="1:8" x14ac:dyDescent="0.25">
      <c r="B13" t="s">
        <v>0</v>
      </c>
    </row>
    <row r="14" spans="1:8" x14ac:dyDescent="0.25">
      <c r="E14" s="553">
        <v>4.6600000000000003E-2</v>
      </c>
    </row>
    <row r="16" spans="1:8" x14ac:dyDescent="0.25">
      <c r="C16" s="554">
        <v>2014609.6564499687</v>
      </c>
      <c r="D16" s="555">
        <v>322.48</v>
      </c>
      <c r="H16" t="s">
        <v>0</v>
      </c>
    </row>
    <row r="17" spans="3:4" x14ac:dyDescent="0.25">
      <c r="C17" s="554">
        <v>2109188.5431973184</v>
      </c>
      <c r="D17" s="555">
        <v>355.68673313029109</v>
      </c>
    </row>
  </sheetData>
  <mergeCells count="5">
    <mergeCell ref="A1:F1"/>
    <mergeCell ref="A2:F2"/>
    <mergeCell ref="A3:F3"/>
    <mergeCell ref="A4:F4"/>
    <mergeCell ref="B5:F5"/>
  </mergeCells>
  <printOptions horizontalCentered="1"/>
  <pageMargins left="0.25" right="0.25" top="0.5" bottom="0.2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AY1293"/>
  <sheetViews>
    <sheetView view="pageBreakPreview" zoomScale="80" zoomScaleNormal="75" zoomScaleSheetLayoutView="80" workbookViewId="0">
      <pane ySplit="10" topLeftCell="A11" activePane="bottomLeft" state="frozen"/>
      <selection sqref="A1:F1"/>
      <selection pane="bottomLeft" sqref="A1:I1"/>
    </sheetView>
  </sheetViews>
  <sheetFormatPr defaultColWidth="10.25" defaultRowHeight="15.75" x14ac:dyDescent="0.25"/>
  <cols>
    <col min="1" max="1" width="21.625" style="92" customWidth="1"/>
    <col min="2" max="2" width="5.875" style="92" customWidth="1"/>
    <col min="3" max="3" width="14.875" style="92" customWidth="1"/>
    <col min="4" max="4" width="9.5" style="92" bestFit="1" customWidth="1"/>
    <col min="5" max="5" width="2.625" style="92" customWidth="1"/>
    <col min="6" max="6" width="14.375" style="92" customWidth="1"/>
    <col min="7" max="7" width="9.5" style="92" bestFit="1" customWidth="1"/>
    <col min="8" max="8" width="2.125" style="92" bestFit="1" customWidth="1"/>
    <col min="9" max="9" width="14.375" style="92" bestFit="1" customWidth="1"/>
    <col min="10" max="10" width="1.625" style="92" customWidth="1"/>
    <col min="11" max="11" width="12" style="92" hidden="1" customWidth="1"/>
    <col min="12" max="12" width="2.125" style="92" hidden="1" customWidth="1"/>
    <col min="13" max="13" width="15.125" style="92" hidden="1" customWidth="1"/>
    <col min="14" max="14" width="2.875" style="92" hidden="1" customWidth="1"/>
    <col min="15" max="15" width="12" style="92" hidden="1" customWidth="1"/>
    <col min="16" max="16" width="2.125" style="92" hidden="1" customWidth="1"/>
    <col min="17" max="17" width="13.5" style="92" hidden="1" customWidth="1"/>
    <col min="18" max="18" width="2.875" style="92" hidden="1" customWidth="1"/>
    <col min="19" max="19" width="9.625" style="92" hidden="1" customWidth="1"/>
    <col min="20" max="20" width="2.125" style="92" hidden="1" customWidth="1"/>
    <col min="21" max="21" width="14.125" style="92" hidden="1" customWidth="1"/>
    <col min="22" max="22" width="13.625" style="92" customWidth="1"/>
    <col min="23" max="23" width="15.125" style="98" bestFit="1" customWidth="1"/>
    <col min="24" max="24" width="17" style="98" bestFit="1" customWidth="1"/>
    <col min="25" max="25" width="8.125" style="98" bestFit="1" customWidth="1"/>
    <col min="26" max="26" width="13" style="92" customWidth="1"/>
    <col min="27" max="27" width="17" style="92" customWidth="1"/>
    <col min="28" max="28" width="13" style="92" customWidth="1"/>
    <col min="29" max="29" width="14.125" style="92" bestFit="1" customWidth="1"/>
    <col min="30" max="30" width="14.75" style="92" customWidth="1"/>
    <col min="31" max="31" width="13.25" style="92" bestFit="1" customWidth="1"/>
    <col min="32" max="32" width="13" style="92" bestFit="1" customWidth="1"/>
    <col min="33" max="33" width="12.25" style="92" bestFit="1" customWidth="1"/>
    <col min="34" max="34" width="5.5" style="92" bestFit="1" customWidth="1"/>
    <col min="35" max="35" width="18" style="92" customWidth="1"/>
    <col min="36" max="36" width="10.25" style="92" customWidth="1"/>
    <col min="37" max="37" width="12.125" style="92" customWidth="1"/>
    <col min="38" max="16384" width="10.25" style="92"/>
  </cols>
  <sheetData>
    <row r="1" spans="1:44" ht="18" x14ac:dyDescent="0.25">
      <c r="A1" s="567" t="s">
        <v>2</v>
      </c>
      <c r="B1" s="567"/>
      <c r="C1" s="567"/>
      <c r="D1" s="567"/>
      <c r="E1" s="567"/>
      <c r="F1" s="567"/>
      <c r="G1" s="567"/>
      <c r="H1" s="567"/>
      <c r="I1" s="567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44"/>
      <c r="W1" s="91"/>
      <c r="X1" s="91"/>
      <c r="Y1" s="91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</row>
    <row r="2" spans="1:44" ht="18" x14ac:dyDescent="0.25">
      <c r="A2" s="567" t="s">
        <v>66</v>
      </c>
      <c r="B2" s="567"/>
      <c r="C2" s="567"/>
      <c r="D2" s="567"/>
      <c r="E2" s="567"/>
      <c r="F2" s="567"/>
      <c r="G2" s="567"/>
      <c r="H2" s="567"/>
      <c r="I2" s="567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44"/>
      <c r="W2" s="91"/>
      <c r="X2" s="91"/>
      <c r="Y2" s="91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</row>
    <row r="3" spans="1:44" x14ac:dyDescent="0.25">
      <c r="A3" s="568" t="s">
        <v>6</v>
      </c>
      <c r="B3" s="568"/>
      <c r="C3" s="568"/>
      <c r="D3" s="568"/>
      <c r="E3" s="568"/>
      <c r="F3" s="568"/>
      <c r="G3" s="568"/>
      <c r="H3" s="568"/>
      <c r="I3" s="568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44"/>
      <c r="W3" s="91"/>
      <c r="X3" s="91"/>
      <c r="Y3" s="91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</row>
    <row r="4" spans="1:44" x14ac:dyDescent="0.25">
      <c r="A4" s="569" t="s">
        <v>67</v>
      </c>
      <c r="B4" s="569"/>
      <c r="C4" s="569"/>
      <c r="D4" s="569"/>
      <c r="E4" s="569"/>
      <c r="F4" s="569"/>
      <c r="G4" s="569"/>
      <c r="H4" s="569"/>
      <c r="I4" s="569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44"/>
      <c r="W4" s="91"/>
      <c r="X4" s="91"/>
      <c r="Y4" s="91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</row>
    <row r="5" spans="1:44" x14ac:dyDescent="0.25">
      <c r="A5" s="95"/>
      <c r="B5" s="96"/>
      <c r="C5" s="96"/>
      <c r="D5" s="97"/>
      <c r="E5" s="97"/>
      <c r="F5" s="96"/>
      <c r="G5" s="97"/>
      <c r="H5" s="96"/>
      <c r="I5" s="96"/>
      <c r="J5" s="96"/>
      <c r="K5" s="97"/>
      <c r="L5" s="96"/>
      <c r="M5" s="96"/>
      <c r="N5" s="96"/>
      <c r="O5" s="97"/>
      <c r="P5" s="96"/>
      <c r="Q5" s="96"/>
      <c r="R5" s="96"/>
      <c r="S5" s="97"/>
      <c r="T5" s="96"/>
      <c r="U5" s="96"/>
      <c r="V5" s="44"/>
      <c r="W5" s="91"/>
      <c r="X5" s="91"/>
      <c r="Y5" s="91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</row>
    <row r="6" spans="1:44" hidden="1" x14ac:dyDescent="0.25">
      <c r="A6" s="95"/>
      <c r="B6" s="96"/>
      <c r="C6" s="96"/>
      <c r="D6" s="97"/>
      <c r="E6" s="97"/>
      <c r="F6" s="96"/>
      <c r="G6" s="97"/>
      <c r="H6" s="96"/>
      <c r="I6" s="96"/>
      <c r="J6" s="96"/>
      <c r="K6" s="97"/>
      <c r="L6" s="96"/>
      <c r="M6" s="96"/>
      <c r="N6" s="96"/>
      <c r="O6" s="97"/>
      <c r="P6" s="96"/>
      <c r="Q6" s="96"/>
      <c r="R6" s="96"/>
      <c r="S6" s="97"/>
      <c r="T6" s="96"/>
      <c r="U6" s="96"/>
      <c r="V6" s="44"/>
      <c r="W6" s="91"/>
      <c r="X6" s="91"/>
      <c r="Y6" s="91"/>
      <c r="Z6" s="91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</row>
    <row r="7" spans="1:44" hidden="1" x14ac:dyDescent="0.25">
      <c r="A7" s="96"/>
      <c r="B7" s="96"/>
      <c r="C7" s="96"/>
      <c r="D7" s="97"/>
      <c r="E7" s="97"/>
      <c r="F7" s="96"/>
      <c r="G7" s="97"/>
      <c r="H7" s="96"/>
      <c r="I7" s="96"/>
      <c r="J7" s="96"/>
      <c r="K7" s="97"/>
      <c r="L7" s="96"/>
      <c r="M7" s="96"/>
      <c r="N7" s="96"/>
      <c r="O7" s="97"/>
      <c r="P7" s="96"/>
      <c r="Q7" s="96"/>
      <c r="R7" s="96"/>
      <c r="S7" s="97"/>
      <c r="T7" s="96"/>
      <c r="U7" s="96"/>
      <c r="V7" s="44"/>
      <c r="W7" s="91"/>
      <c r="X7" s="91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</row>
    <row r="8" spans="1:44" x14ac:dyDescent="0.25">
      <c r="A8" s="99"/>
      <c r="B8" s="99"/>
      <c r="C8" s="100"/>
      <c r="D8" s="101"/>
      <c r="E8" s="101"/>
      <c r="F8" s="102"/>
      <c r="G8" s="101" t="s">
        <v>0</v>
      </c>
      <c r="H8" s="103"/>
      <c r="I8" s="103"/>
      <c r="J8" s="103"/>
      <c r="K8" s="101"/>
      <c r="L8" s="103"/>
      <c r="M8" s="103"/>
      <c r="N8" s="103"/>
      <c r="O8" s="101"/>
      <c r="P8" s="103"/>
      <c r="Q8" s="103"/>
      <c r="R8" s="103"/>
      <c r="S8" s="101"/>
      <c r="T8" s="103"/>
      <c r="U8" s="103"/>
      <c r="V8" s="44"/>
      <c r="W8" s="91"/>
      <c r="X8" s="91"/>
      <c r="Y8" s="91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</row>
    <row r="9" spans="1:44" x14ac:dyDescent="0.25">
      <c r="A9" s="99"/>
      <c r="B9" s="99"/>
      <c r="C9" s="100" t="s">
        <v>68</v>
      </c>
      <c r="D9" s="570" t="s">
        <v>13</v>
      </c>
      <c r="E9" s="571"/>
      <c r="F9" s="572"/>
      <c r="G9" s="573" t="s">
        <v>69</v>
      </c>
      <c r="H9" s="574"/>
      <c r="I9" s="575"/>
      <c r="J9" s="103"/>
      <c r="K9" s="103" t="s">
        <v>70</v>
      </c>
      <c r="L9" s="100"/>
      <c r="M9" s="103" t="s">
        <v>71</v>
      </c>
      <c r="N9" s="103"/>
      <c r="O9" s="103" t="s">
        <v>72</v>
      </c>
      <c r="P9" s="100"/>
      <c r="Q9" s="103" t="s">
        <v>72</v>
      </c>
      <c r="R9" s="103"/>
      <c r="S9" s="103" t="s">
        <v>73</v>
      </c>
      <c r="T9" s="100"/>
      <c r="U9" s="103" t="s">
        <v>73</v>
      </c>
      <c r="V9" s="44"/>
      <c r="W9" s="91"/>
      <c r="X9" s="91"/>
      <c r="Y9" s="91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</row>
    <row r="10" spans="1:44" x14ac:dyDescent="0.25">
      <c r="A10" s="99"/>
      <c r="B10" s="99"/>
      <c r="C10" s="104" t="s">
        <v>74</v>
      </c>
      <c r="D10" s="105" t="s">
        <v>75</v>
      </c>
      <c r="E10" s="106"/>
      <c r="F10" s="103" t="s">
        <v>76</v>
      </c>
      <c r="G10" s="105" t="s">
        <v>75</v>
      </c>
      <c r="H10" s="105"/>
      <c r="I10" s="105" t="s">
        <v>76</v>
      </c>
      <c r="J10" s="105"/>
      <c r="K10" s="105" t="s">
        <v>75</v>
      </c>
      <c r="L10" s="105"/>
      <c r="M10" s="105" t="s">
        <v>76</v>
      </c>
      <c r="N10" s="105"/>
      <c r="O10" s="105" t="s">
        <v>75</v>
      </c>
      <c r="P10" s="105"/>
      <c r="Q10" s="105" t="s">
        <v>76</v>
      </c>
      <c r="R10" s="105"/>
      <c r="S10" s="105" t="s">
        <v>75</v>
      </c>
      <c r="T10" s="105"/>
      <c r="U10" s="105" t="s">
        <v>76</v>
      </c>
      <c r="V10" s="44"/>
      <c r="W10" s="91"/>
      <c r="X10" s="91"/>
      <c r="Y10" s="91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</row>
    <row r="11" spans="1:44" x14ac:dyDescent="0.25">
      <c r="A11" s="107" t="s">
        <v>77</v>
      </c>
      <c r="F11" s="108"/>
      <c r="V11" s="44"/>
      <c r="W11" s="91"/>
      <c r="X11" s="91"/>
      <c r="Y11" s="91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</row>
    <row r="12" spans="1:44" x14ac:dyDescent="0.25">
      <c r="A12" s="92" t="s">
        <v>78</v>
      </c>
      <c r="F12" s="108"/>
      <c r="V12" s="44"/>
      <c r="W12" s="91"/>
      <c r="X12" s="91"/>
      <c r="Y12" s="91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</row>
    <row r="13" spans="1:44" x14ac:dyDescent="0.25">
      <c r="F13" s="108"/>
      <c r="V13" s="44"/>
      <c r="W13" s="91"/>
      <c r="X13" s="91"/>
      <c r="Y13" s="91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</row>
    <row r="14" spans="1:44" x14ac:dyDescent="0.25">
      <c r="A14" s="92" t="s">
        <v>79</v>
      </c>
      <c r="F14" s="108"/>
      <c r="V14" s="44"/>
      <c r="W14" s="91"/>
      <c r="X14" s="91"/>
      <c r="Y14" s="91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</row>
    <row r="15" spans="1:44" x14ac:dyDescent="0.25">
      <c r="A15" s="92" t="s">
        <v>80</v>
      </c>
      <c r="C15" s="109">
        <f>C36+C54+C72</f>
        <v>26489.869513898491</v>
      </c>
      <c r="D15" s="110">
        <v>10.98</v>
      </c>
      <c r="F15" s="111">
        <f>F36+F54+F72</f>
        <v>290858.76726260543</v>
      </c>
      <c r="G15" s="110">
        <v>11.24</v>
      </c>
      <c r="I15" s="111">
        <f>I36+I54+I72</f>
        <v>297746.13333621901</v>
      </c>
      <c r="J15" s="111"/>
      <c r="K15" s="110" t="e">
        <v>#DIV/0!</v>
      </c>
      <c r="M15" s="111" t="e">
        <v>#DIV/0!</v>
      </c>
      <c r="N15" s="111"/>
      <c r="O15" s="110" t="e">
        <v>#DIV/0!</v>
      </c>
      <c r="Q15" s="111" t="e">
        <v>#DIV/0!</v>
      </c>
      <c r="R15" s="111"/>
      <c r="S15" s="110" t="e">
        <v>#DIV/0!</v>
      </c>
      <c r="U15" s="111" t="e">
        <v>#DIV/0!</v>
      </c>
      <c r="W15" s="112" t="s">
        <v>0</v>
      </c>
      <c r="X15" s="113"/>
      <c r="Y15" s="113"/>
      <c r="Z15" s="113"/>
      <c r="AA15" s="113"/>
      <c r="AB15" s="114"/>
      <c r="AC15" s="114"/>
      <c r="AD15" s="114"/>
      <c r="AE15" s="11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R15" s="115"/>
    </row>
    <row r="16" spans="1:44" x14ac:dyDescent="0.25">
      <c r="A16" s="92" t="s">
        <v>81</v>
      </c>
      <c r="C16" s="109">
        <f>C37+C55+C73</f>
        <v>4203.5649449873126</v>
      </c>
      <c r="D16" s="110">
        <v>20.88</v>
      </c>
      <c r="F16" s="111">
        <f>F37+F55+F73</f>
        <v>87770.436051335098</v>
      </c>
      <c r="G16" s="110">
        <v>21.369999999999997</v>
      </c>
      <c r="I16" s="111">
        <f>I37+I55+I73</f>
        <v>89830.182874378865</v>
      </c>
      <c r="J16" s="111"/>
      <c r="K16" s="110" t="e">
        <v>#DIV/0!</v>
      </c>
      <c r="M16" s="111" t="e">
        <v>#DIV/0!</v>
      </c>
      <c r="N16" s="111"/>
      <c r="O16" s="110" t="e">
        <v>#DIV/0!</v>
      </c>
      <c r="Q16" s="111" t="e">
        <v>#DIV/0!</v>
      </c>
      <c r="R16" s="111"/>
      <c r="S16" s="110" t="e">
        <v>#DIV/0!</v>
      </c>
      <c r="U16" s="111" t="e">
        <v>#DIV/0!</v>
      </c>
      <c r="W16" s="112"/>
      <c r="X16" s="113"/>
      <c r="Y16" s="113"/>
      <c r="Z16" s="113"/>
      <c r="AA16" s="113"/>
      <c r="AB16" s="114"/>
      <c r="AC16" s="114"/>
      <c r="AD16" s="114"/>
      <c r="AE16" s="11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R16" s="115"/>
    </row>
    <row r="17" spans="1:44" x14ac:dyDescent="0.25">
      <c r="A17" s="92" t="s">
        <v>82</v>
      </c>
      <c r="C17" s="109">
        <f>C38+C56+C74</f>
        <v>526.20017951728096</v>
      </c>
      <c r="D17" s="110">
        <v>43.21</v>
      </c>
      <c r="F17" s="111">
        <f>F38+F56+F74</f>
        <v>22737.109756941711</v>
      </c>
      <c r="G17" s="110">
        <v>44.25</v>
      </c>
      <c r="I17" s="111">
        <f>I38+I56+I74</f>
        <v>23284.357943639683</v>
      </c>
      <c r="J17" s="111"/>
      <c r="K17" s="110" t="e">
        <v>#DIV/0!</v>
      </c>
      <c r="M17" s="111" t="e">
        <v>#DIV/0!</v>
      </c>
      <c r="N17" s="111"/>
      <c r="O17" s="110" t="e">
        <v>#DIV/0!</v>
      </c>
      <c r="Q17" s="111" t="e">
        <v>#DIV/0!</v>
      </c>
      <c r="R17" s="111"/>
      <c r="S17" s="110" t="e">
        <v>#DIV/0!</v>
      </c>
      <c r="U17" s="111" t="e">
        <v>#DIV/0!</v>
      </c>
      <c r="W17" s="112"/>
      <c r="X17" s="113"/>
      <c r="Y17" s="113"/>
      <c r="Z17" s="113"/>
      <c r="AA17" s="113"/>
      <c r="AB17" s="114"/>
      <c r="AC17" s="114"/>
      <c r="AD17" s="114"/>
      <c r="AE17" s="11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R17" s="115"/>
    </row>
    <row r="18" spans="1:44" x14ac:dyDescent="0.25">
      <c r="A18" s="92" t="s">
        <v>83</v>
      </c>
      <c r="C18" s="109"/>
      <c r="D18" s="116"/>
      <c r="F18" s="111"/>
      <c r="G18" s="116"/>
      <c r="I18" s="111"/>
      <c r="J18" s="111"/>
      <c r="K18" s="116"/>
      <c r="M18" s="111"/>
      <c r="N18" s="111"/>
      <c r="O18" s="116"/>
      <c r="Q18" s="111"/>
      <c r="R18" s="111"/>
      <c r="S18" s="116"/>
      <c r="U18" s="111"/>
      <c r="W18" s="92"/>
      <c r="X18" s="113"/>
      <c r="Y18" s="113"/>
      <c r="Z18" s="113"/>
      <c r="AA18" s="113"/>
      <c r="AB18" s="117"/>
      <c r="AC18" s="117"/>
      <c r="AD18" s="117"/>
      <c r="AE18" s="117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R18" s="115"/>
    </row>
    <row r="19" spans="1:44" x14ac:dyDescent="0.25">
      <c r="A19" s="92" t="s">
        <v>84</v>
      </c>
      <c r="C19" s="109">
        <f>C40+C58+C76</f>
        <v>2018.638768592042</v>
      </c>
      <c r="D19" s="110">
        <v>12.48</v>
      </c>
      <c r="F19" s="111">
        <f>F40+F58+F76</f>
        <v>25192.611832028684</v>
      </c>
      <c r="G19" s="110">
        <v>12.77</v>
      </c>
      <c r="I19" s="111">
        <f>I40+I58+I76</f>
        <v>25778.017074920379</v>
      </c>
      <c r="J19" s="111"/>
      <c r="K19" s="110" t="e">
        <v>#DIV/0!</v>
      </c>
      <c r="M19" s="111" t="e">
        <v>#DIV/0!</v>
      </c>
      <c r="N19" s="111"/>
      <c r="O19" s="110" t="e">
        <v>#DIV/0!</v>
      </c>
      <c r="Q19" s="111" t="e">
        <v>#DIV/0!</v>
      </c>
      <c r="R19" s="111"/>
      <c r="S19" s="110" t="e">
        <v>#DIV/0!</v>
      </c>
      <c r="U19" s="111" t="e">
        <v>#DIV/0!</v>
      </c>
      <c r="W19" s="112"/>
      <c r="X19" s="113"/>
      <c r="Y19" s="113"/>
      <c r="Z19" s="113"/>
      <c r="AA19" s="113"/>
      <c r="AB19" s="114"/>
      <c r="AC19" s="114"/>
      <c r="AD19" s="114"/>
      <c r="AE19" s="11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R19" s="115"/>
    </row>
    <row r="20" spans="1:44" x14ac:dyDescent="0.25">
      <c r="A20" s="92" t="s">
        <v>85</v>
      </c>
      <c r="C20" s="109">
        <f>C41+C59+C77</f>
        <v>1655.2402129628979</v>
      </c>
      <c r="D20" s="110">
        <v>18.329999999999998</v>
      </c>
      <c r="F20" s="111">
        <f>F41+F59+F77</f>
        <v>30340.553103609916</v>
      </c>
      <c r="G20" s="110">
        <v>18.759999999999998</v>
      </c>
      <c r="I20" s="111">
        <f>I41+I59+I77</f>
        <v>31052.306395183961</v>
      </c>
      <c r="J20" s="111"/>
      <c r="K20" s="110" t="e">
        <v>#DIV/0!</v>
      </c>
      <c r="M20" s="111" t="e">
        <v>#DIV/0!</v>
      </c>
      <c r="N20" s="111"/>
      <c r="O20" s="110" t="e">
        <v>#DIV/0!</v>
      </c>
      <c r="Q20" s="111" t="e">
        <v>#DIV/0!</v>
      </c>
      <c r="R20" s="111"/>
      <c r="S20" s="110" t="e">
        <v>#DIV/0!</v>
      </c>
      <c r="U20" s="111" t="e">
        <v>#DIV/0!</v>
      </c>
      <c r="W20" s="112"/>
      <c r="X20" s="113"/>
      <c r="Y20" s="113"/>
      <c r="Z20" s="113"/>
      <c r="AA20" s="113"/>
      <c r="AB20" s="114"/>
      <c r="AC20" s="114"/>
      <c r="AD20" s="114"/>
      <c r="AE20" s="11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R20" s="115"/>
    </row>
    <row r="21" spans="1:44" x14ac:dyDescent="0.25">
      <c r="A21" s="92" t="s">
        <v>86</v>
      </c>
      <c r="C21" s="109">
        <f>C42+C60+C78</f>
        <v>517.99922764535575</v>
      </c>
      <c r="D21" s="110">
        <v>29.57</v>
      </c>
      <c r="F21" s="111">
        <f>F42+F60+F78</f>
        <v>15317.237161473167</v>
      </c>
      <c r="G21" s="110">
        <v>30.28</v>
      </c>
      <c r="I21" s="111">
        <f>I42+I60+I78</f>
        <v>15685.016613101374</v>
      </c>
      <c r="J21" s="111"/>
      <c r="K21" s="110" t="e">
        <v>#DIV/0!</v>
      </c>
      <c r="M21" s="111" t="e">
        <v>#DIV/0!</v>
      </c>
      <c r="N21" s="111"/>
      <c r="O21" s="110" t="e">
        <v>#DIV/0!</v>
      </c>
      <c r="Q21" s="111" t="e">
        <v>#DIV/0!</v>
      </c>
      <c r="R21" s="111"/>
      <c r="S21" s="110" t="e">
        <v>#DIV/0!</v>
      </c>
      <c r="U21" s="111" t="e">
        <v>#DIV/0!</v>
      </c>
      <c r="W21" s="112"/>
      <c r="X21" s="113"/>
      <c r="Y21" s="113"/>
      <c r="Z21" s="113"/>
      <c r="AA21" s="113"/>
      <c r="AB21" s="114"/>
      <c r="AC21" s="114"/>
      <c r="AD21" s="114"/>
      <c r="AE21" s="11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R21" s="115"/>
    </row>
    <row r="22" spans="1:44" x14ac:dyDescent="0.25">
      <c r="A22" s="92" t="s">
        <v>87</v>
      </c>
      <c r="C22" s="109">
        <f>C43+C61+C79</f>
        <v>561.33497359685657</v>
      </c>
      <c r="D22" s="110">
        <v>1</v>
      </c>
      <c r="E22" s="44"/>
      <c r="F22" s="111">
        <f>F43+F61+F79</f>
        <v>561.33497359685657</v>
      </c>
      <c r="G22" s="110">
        <v>1</v>
      </c>
      <c r="H22" s="44"/>
      <c r="I22" s="111">
        <f>I43+I61+I79</f>
        <v>561.33497359685657</v>
      </c>
      <c r="J22" s="111"/>
      <c r="K22" s="110">
        <v>1</v>
      </c>
      <c r="L22" s="44"/>
      <c r="M22" s="111">
        <v>561.33497359685657</v>
      </c>
      <c r="N22" s="111"/>
      <c r="O22" s="110" t="s">
        <v>0</v>
      </c>
      <c r="P22" s="44"/>
      <c r="Q22" s="111">
        <v>0</v>
      </c>
      <c r="R22" s="111"/>
      <c r="S22" s="110" t="s">
        <v>0</v>
      </c>
      <c r="T22" s="44"/>
      <c r="U22" s="111">
        <v>0</v>
      </c>
      <c r="W22" s="112"/>
      <c r="X22" s="118" t="s">
        <v>0</v>
      </c>
      <c r="Y22" s="92"/>
      <c r="Z22" s="113"/>
      <c r="AA22" s="113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R22" s="115"/>
    </row>
    <row r="23" spans="1:44" s="120" customFormat="1" hidden="1" x14ac:dyDescent="0.25">
      <c r="A23" s="119" t="s">
        <v>88</v>
      </c>
      <c r="C23" s="121">
        <f t="shared" ref="C23:C26" si="0">C44+C62+C80</f>
        <v>3257550</v>
      </c>
      <c r="D23" s="110">
        <v>0</v>
      </c>
      <c r="E23" s="122"/>
      <c r="F23" s="123"/>
      <c r="G23" s="124">
        <v>0</v>
      </c>
      <c r="H23" s="125" t="s">
        <v>89</v>
      </c>
      <c r="I23" s="123">
        <f>I44+I62+I80</f>
        <v>0</v>
      </c>
      <c r="J23" s="123"/>
      <c r="K23" s="124" t="s">
        <v>0</v>
      </c>
      <c r="L23" s="125" t="s">
        <v>0</v>
      </c>
      <c r="M23" s="111">
        <v>0</v>
      </c>
      <c r="N23" s="123"/>
      <c r="O23" s="124" t="s">
        <v>0</v>
      </c>
      <c r="P23" s="125" t="s">
        <v>0</v>
      </c>
      <c r="Q23" s="111">
        <v>0</v>
      </c>
      <c r="R23" s="123"/>
      <c r="S23" s="124">
        <f>G23</f>
        <v>0</v>
      </c>
      <c r="T23" s="125" t="s">
        <v>89</v>
      </c>
      <c r="U23" s="111">
        <v>0</v>
      </c>
      <c r="V23" s="126"/>
      <c r="W23" s="112"/>
      <c r="Z23" s="127"/>
      <c r="AA23" s="127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22"/>
      <c r="AR23" s="126"/>
    </row>
    <row r="24" spans="1:44" x14ac:dyDescent="0.25">
      <c r="A24" s="92" t="s">
        <v>90</v>
      </c>
      <c r="C24" s="109">
        <f t="shared" si="0"/>
        <v>29531</v>
      </c>
      <c r="D24" s="110"/>
      <c r="F24" s="111"/>
      <c r="G24" s="110"/>
      <c r="I24" s="111"/>
      <c r="J24" s="111"/>
      <c r="K24" s="110"/>
      <c r="M24" s="111"/>
      <c r="N24" s="111"/>
      <c r="O24" s="110"/>
      <c r="Q24" s="111"/>
      <c r="R24" s="111"/>
      <c r="S24" s="110"/>
      <c r="U24" s="111"/>
      <c r="W24" s="115"/>
      <c r="X24" s="92"/>
      <c r="Y24" s="92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R24" s="115"/>
    </row>
    <row r="25" spans="1:44" x14ac:dyDescent="0.25">
      <c r="A25" s="92" t="s">
        <v>91</v>
      </c>
      <c r="C25" s="109">
        <f t="shared" si="0"/>
        <v>3257550</v>
      </c>
      <c r="D25" s="128"/>
      <c r="E25" s="44"/>
      <c r="F25" s="111">
        <f>F46+F64+F82</f>
        <v>472778.05014159094</v>
      </c>
      <c r="G25" s="128"/>
      <c r="H25" s="44"/>
      <c r="I25" s="111">
        <f>I46+I64+I82</f>
        <v>483937.34921104013</v>
      </c>
      <c r="J25" s="129"/>
      <c r="K25" s="128"/>
      <c r="L25" s="44"/>
      <c r="M25" s="129" t="e">
        <f>SUM(M15:M23)</f>
        <v>#DIV/0!</v>
      </c>
      <c r="N25" s="129"/>
      <c r="O25" s="128"/>
      <c r="P25" s="44"/>
      <c r="Q25" s="129" t="e">
        <f>SUM(Q15:Q23)</f>
        <v>#DIV/0!</v>
      </c>
      <c r="R25" s="129"/>
      <c r="S25" s="128"/>
      <c r="T25" s="44"/>
      <c r="U25" s="129" t="e">
        <f>SUM(U15:U23)</f>
        <v>#DIV/0!</v>
      </c>
      <c r="W25" s="130"/>
      <c r="X25" s="92"/>
      <c r="Y25" s="92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R25" s="115"/>
    </row>
    <row r="26" spans="1:44" x14ac:dyDescent="0.25">
      <c r="A26" s="92" t="s">
        <v>92</v>
      </c>
      <c r="C26" s="109">
        <f t="shared" si="0"/>
        <v>28196.413423238097</v>
      </c>
      <c r="D26" s="128"/>
      <c r="E26" s="44"/>
      <c r="F26" s="131">
        <f>F47+F65+F83</f>
        <v>4619.063368053824</v>
      </c>
      <c r="G26" s="128"/>
      <c r="H26" s="44"/>
      <c r="I26" s="131">
        <f>F26</f>
        <v>4619.063368053824</v>
      </c>
      <c r="J26" s="131"/>
      <c r="K26" s="128"/>
      <c r="L26" s="44"/>
      <c r="M26" s="132" t="e">
        <f>$I$26*V31/($V$31+$W$31+$X$31)</f>
        <v>#DIV/0!</v>
      </c>
      <c r="N26" s="133"/>
      <c r="O26" s="134"/>
      <c r="P26" s="134"/>
      <c r="Q26" s="132" t="e">
        <f>$I$26*W31/($V$31+$W$31+$X$31)</f>
        <v>#DIV/0!</v>
      </c>
      <c r="R26" s="133"/>
      <c r="S26" s="134"/>
      <c r="T26" s="134"/>
      <c r="U26" s="132" t="e">
        <f>$I$26*X31/($V$31+$W$31+$X$31)</f>
        <v>#DIV/0!</v>
      </c>
      <c r="X26" s="135" t="s">
        <v>0</v>
      </c>
      <c r="Y26" s="135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R26" s="115"/>
    </row>
    <row r="27" spans="1:44" ht="16.5" thickBot="1" x14ac:dyDescent="0.3">
      <c r="A27" s="92" t="s">
        <v>93</v>
      </c>
      <c r="C27" s="136">
        <f>C25+C26</f>
        <v>3285746.4134232383</v>
      </c>
      <c r="D27" s="137"/>
      <c r="E27" s="138"/>
      <c r="F27" s="138">
        <f>F25+F26</f>
        <v>477397.11350964475</v>
      </c>
      <c r="G27" s="137"/>
      <c r="H27" s="138"/>
      <c r="I27" s="138">
        <f>I25+I26</f>
        <v>488556.41257909394</v>
      </c>
      <c r="J27" s="137"/>
      <c r="K27" s="137"/>
      <c r="L27" s="138"/>
      <c r="M27" s="138" t="e">
        <f>M25+M26</f>
        <v>#DIV/0!</v>
      </c>
      <c r="N27" s="137"/>
      <c r="O27" s="137"/>
      <c r="P27" s="138"/>
      <c r="Q27" s="138" t="e">
        <f>Q25+Q26</f>
        <v>#DIV/0!</v>
      </c>
      <c r="R27" s="137"/>
      <c r="S27" s="137"/>
      <c r="T27" s="138"/>
      <c r="U27" s="138" t="e">
        <f>U25+U26</f>
        <v>#DIV/0!</v>
      </c>
      <c r="V27" s="139" t="s">
        <v>94</v>
      </c>
      <c r="W27" s="140">
        <v>488466.38823508786</v>
      </c>
      <c r="X27" s="141">
        <v>-9.9058551390444005E-2</v>
      </c>
      <c r="Y27" s="142"/>
      <c r="Z27" s="52"/>
      <c r="AA27" s="52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R27" s="115"/>
    </row>
    <row r="28" spans="1:44" ht="16.5" thickTop="1" x14ac:dyDescent="0.25">
      <c r="A28" s="143" t="s">
        <v>95</v>
      </c>
      <c r="C28" s="144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45"/>
      <c r="W28" s="146"/>
      <c r="X28" s="147"/>
      <c r="Y28" s="142"/>
      <c r="Z28" s="52"/>
      <c r="AA28" s="52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R28" s="115"/>
    </row>
    <row r="29" spans="1:44" ht="18" customHeight="1" x14ac:dyDescent="0.25">
      <c r="C29" s="148"/>
      <c r="D29" s="134" t="s">
        <v>0</v>
      </c>
      <c r="E29" s="148"/>
      <c r="F29" s="108"/>
      <c r="G29" s="149" t="s">
        <v>0</v>
      </c>
      <c r="H29" s="148"/>
      <c r="I29" s="111" t="s">
        <v>0</v>
      </c>
      <c r="J29" s="111"/>
      <c r="K29" s="149" t="s">
        <v>0</v>
      </c>
      <c r="L29" s="148"/>
      <c r="M29" s="111" t="s">
        <v>0</v>
      </c>
      <c r="N29" s="111"/>
      <c r="O29" s="149" t="s">
        <v>0</v>
      </c>
      <c r="P29" s="148"/>
      <c r="Q29" s="111" t="s">
        <v>0</v>
      </c>
      <c r="R29" s="111"/>
      <c r="S29" s="149" t="s">
        <v>0</v>
      </c>
      <c r="T29" s="148"/>
      <c r="U29" s="111" t="s">
        <v>0</v>
      </c>
      <c r="V29" s="150" t="s">
        <v>96</v>
      </c>
      <c r="W29" s="151">
        <f>W27-I27</f>
        <v>-90.024344006087631</v>
      </c>
      <c r="X29" s="152">
        <v>0</v>
      </c>
      <c r="Y29" s="84"/>
      <c r="Z29" s="52"/>
      <c r="AA29" s="52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R29" s="115"/>
    </row>
    <row r="30" spans="1:44" hidden="1" x14ac:dyDescent="0.25">
      <c r="C30" s="148"/>
      <c r="D30" s="134"/>
      <c r="E30" s="148"/>
      <c r="F30" s="108"/>
      <c r="G30" s="149"/>
      <c r="H30" s="148"/>
      <c r="I30" s="111"/>
      <c r="J30" s="111"/>
      <c r="K30" s="149"/>
      <c r="L30" s="148"/>
      <c r="M30" s="111"/>
      <c r="N30" s="111"/>
      <c r="O30" s="149"/>
      <c r="P30" s="148"/>
      <c r="Q30" s="111"/>
      <c r="R30" s="111"/>
      <c r="S30" s="149"/>
      <c r="T30" s="148"/>
      <c r="U30" s="111">
        <f>U29-I27</f>
        <v>-488556.41257909394</v>
      </c>
      <c r="V30" s="153"/>
      <c r="W30" s="153"/>
      <c r="X30" s="153"/>
      <c r="Y30" s="84"/>
      <c r="Z30" s="52"/>
      <c r="AA30" s="52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R30" s="115"/>
    </row>
    <row r="31" spans="1:44" hidden="1" x14ac:dyDescent="0.25">
      <c r="C31" s="148"/>
      <c r="D31" s="134"/>
      <c r="E31" s="148"/>
      <c r="F31" s="108"/>
      <c r="G31" s="149"/>
      <c r="H31" s="148"/>
      <c r="I31" s="111"/>
      <c r="J31" s="111"/>
      <c r="K31" s="149"/>
      <c r="L31" s="148"/>
      <c r="M31" s="111"/>
      <c r="N31" s="111"/>
      <c r="O31" s="149"/>
      <c r="P31" s="148"/>
      <c r="Q31" s="111"/>
      <c r="R31" s="111"/>
      <c r="S31" s="149"/>
      <c r="T31" s="148"/>
      <c r="U31" s="111"/>
      <c r="V31" s="146"/>
      <c r="W31" s="146"/>
      <c r="X31" s="146"/>
      <c r="Y31" s="84"/>
      <c r="Z31" s="52"/>
      <c r="AA31" s="52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R31" s="115"/>
    </row>
    <row r="32" spans="1:44" hidden="1" x14ac:dyDescent="0.25">
      <c r="A32" s="107" t="s">
        <v>77</v>
      </c>
      <c r="F32" s="108"/>
      <c r="W32" s="154" t="s">
        <v>0</v>
      </c>
      <c r="X32" s="92"/>
      <c r="Y32" s="92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R32" s="115"/>
    </row>
    <row r="33" spans="1:44" hidden="1" x14ac:dyDescent="0.25">
      <c r="A33" s="92" t="s">
        <v>97</v>
      </c>
      <c r="F33" s="108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44"/>
      <c r="AM33" s="44"/>
      <c r="AN33" s="44"/>
      <c r="AO33" s="44"/>
      <c r="AP33" s="44"/>
      <c r="AR33" s="115"/>
    </row>
    <row r="34" spans="1:44" hidden="1" x14ac:dyDescent="0.25">
      <c r="F34" s="108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44"/>
      <c r="AM34" s="44"/>
      <c r="AN34" s="44"/>
      <c r="AO34" s="44"/>
      <c r="AP34" s="44"/>
      <c r="AR34" s="115"/>
    </row>
    <row r="35" spans="1:44" hidden="1" x14ac:dyDescent="0.25">
      <c r="A35" s="92" t="s">
        <v>79</v>
      </c>
      <c r="F35" s="108"/>
      <c r="V35" s="155"/>
      <c r="W35" s="155"/>
      <c r="X35" s="91"/>
      <c r="Y35" s="91"/>
      <c r="Z35" s="156"/>
      <c r="AA35" s="156"/>
      <c r="AB35" s="157"/>
      <c r="AC35" s="157"/>
      <c r="AD35" s="157"/>
      <c r="AE35" s="157"/>
      <c r="AF35" s="158"/>
      <c r="AG35" s="159"/>
      <c r="AH35" s="155"/>
      <c r="AI35" s="155"/>
      <c r="AJ35" s="155"/>
      <c r="AK35" s="155"/>
      <c r="AL35" s="44"/>
      <c r="AM35" s="44"/>
      <c r="AN35" s="44"/>
      <c r="AO35" s="44"/>
      <c r="AP35" s="44"/>
      <c r="AR35" s="115"/>
    </row>
    <row r="36" spans="1:44" hidden="1" x14ac:dyDescent="0.25">
      <c r="A36" s="92" t="s">
        <v>80</v>
      </c>
      <c r="C36" s="109">
        <v>12319.411199591441</v>
      </c>
      <c r="D36" s="110">
        <v>10.98</v>
      </c>
      <c r="F36" s="111">
        <f>D36*C36</f>
        <v>135267.13497151402</v>
      </c>
      <c r="G36" s="110">
        <f>$G$15</f>
        <v>11.24</v>
      </c>
      <c r="I36" s="111">
        <f>(G36*$C36)</f>
        <v>138470.18188340779</v>
      </c>
      <c r="J36" s="111"/>
      <c r="K36" s="110" t="e">
        <f>K15</f>
        <v>#DIV/0!</v>
      </c>
      <c r="M36" s="111" t="e">
        <f>K36*C36</f>
        <v>#DIV/0!</v>
      </c>
      <c r="N36" s="111"/>
      <c r="O36" s="110" t="e">
        <f>O15</f>
        <v>#DIV/0!</v>
      </c>
      <c r="Q36" s="111" t="e">
        <f>O36*C36</f>
        <v>#DIV/0!</v>
      </c>
      <c r="R36" s="111"/>
      <c r="S36" s="110" t="e">
        <f>S15</f>
        <v>#DIV/0!</v>
      </c>
      <c r="U36" s="111" t="e">
        <f>S36*C36</f>
        <v>#DIV/0!</v>
      </c>
      <c r="V36" s="44"/>
      <c r="W36" s="158"/>
      <c r="X36" s="91"/>
      <c r="Y36" s="91"/>
      <c r="Z36" s="155"/>
      <c r="AA36" s="155"/>
      <c r="AB36" s="160"/>
      <c r="AC36" s="160"/>
      <c r="AD36" s="160"/>
      <c r="AE36" s="160"/>
      <c r="AF36" s="161"/>
      <c r="AG36" s="155"/>
      <c r="AH36" s="158"/>
      <c r="AI36" s="158"/>
      <c r="AJ36" s="162"/>
      <c r="AK36" s="158"/>
      <c r="AL36" s="44"/>
      <c r="AM36" s="44"/>
      <c r="AN36" s="44"/>
      <c r="AO36" s="44"/>
      <c r="AP36" s="44"/>
      <c r="AR36" s="115"/>
    </row>
    <row r="37" spans="1:44" hidden="1" x14ac:dyDescent="0.25">
      <c r="A37" s="92" t="s">
        <v>81</v>
      </c>
      <c r="C37" s="109">
        <v>269.40125116474059</v>
      </c>
      <c r="D37" s="110">
        <v>20.88</v>
      </c>
      <c r="F37" s="111">
        <f>D37*C37</f>
        <v>5625.098124319783</v>
      </c>
      <c r="G37" s="110">
        <f>$G$16</f>
        <v>21.369999999999997</v>
      </c>
      <c r="I37" s="111">
        <f>(G37*$C37)</f>
        <v>5757.1047373905058</v>
      </c>
      <c r="J37" s="111"/>
      <c r="K37" s="110" t="e">
        <f>K16</f>
        <v>#DIV/0!</v>
      </c>
      <c r="M37" s="111" t="e">
        <f>K37*C37</f>
        <v>#DIV/0!</v>
      </c>
      <c r="N37" s="111"/>
      <c r="O37" s="110" t="e">
        <f>O16</f>
        <v>#DIV/0!</v>
      </c>
      <c r="Q37" s="111" t="e">
        <f>O37*C37</f>
        <v>#DIV/0!</v>
      </c>
      <c r="R37" s="111"/>
      <c r="S37" s="110" t="e">
        <f>S16</f>
        <v>#DIV/0!</v>
      </c>
      <c r="U37" s="111" t="e">
        <f>S37*C37</f>
        <v>#DIV/0!</v>
      </c>
      <c r="V37" s="44"/>
      <c r="W37" s="158"/>
      <c r="X37" s="91"/>
      <c r="Y37" s="91"/>
      <c r="Z37" s="44"/>
      <c r="AA37" s="44"/>
      <c r="AB37" s="163"/>
      <c r="AC37" s="163"/>
      <c r="AD37" s="163"/>
      <c r="AE37" s="163"/>
      <c r="AF37" s="155"/>
      <c r="AG37" s="155"/>
      <c r="AH37" s="158"/>
      <c r="AI37" s="158"/>
      <c r="AJ37" s="162"/>
      <c r="AK37" s="158"/>
      <c r="AL37" s="44"/>
      <c r="AM37" s="44"/>
      <c r="AN37" s="44"/>
      <c r="AO37" s="44"/>
      <c r="AP37" s="44"/>
      <c r="AR37" s="115"/>
    </row>
    <row r="38" spans="1:44" hidden="1" x14ac:dyDescent="0.25">
      <c r="A38" s="92" t="s">
        <v>82</v>
      </c>
      <c r="C38" s="109">
        <v>0</v>
      </c>
      <c r="D38" s="110">
        <v>43.21</v>
      </c>
      <c r="F38" s="111">
        <f>D38*C38</f>
        <v>0</v>
      </c>
      <c r="G38" s="110">
        <f>$G$17</f>
        <v>44.25</v>
      </c>
      <c r="I38" s="111">
        <f>(G38*$C38)</f>
        <v>0</v>
      </c>
      <c r="J38" s="111"/>
      <c r="K38" s="110" t="e">
        <f>K17</f>
        <v>#DIV/0!</v>
      </c>
      <c r="M38" s="111" t="e">
        <f>K38*C38</f>
        <v>#DIV/0!</v>
      </c>
      <c r="N38" s="111"/>
      <c r="O38" s="110" t="e">
        <f>O17</f>
        <v>#DIV/0!</v>
      </c>
      <c r="Q38" s="111" t="e">
        <f>O38*C38</f>
        <v>#DIV/0!</v>
      </c>
      <c r="R38" s="111"/>
      <c r="S38" s="110" t="e">
        <f>S17</f>
        <v>#DIV/0!</v>
      </c>
      <c r="U38" s="111" t="e">
        <f>S38*C38</f>
        <v>#DIV/0!</v>
      </c>
      <c r="V38" s="44"/>
      <c r="W38" s="158"/>
      <c r="X38" s="91"/>
      <c r="Y38" s="91"/>
      <c r="Z38" s="44"/>
      <c r="AA38" s="44"/>
      <c r="AB38" s="163"/>
      <c r="AC38" s="163"/>
      <c r="AD38" s="163"/>
      <c r="AE38" s="163"/>
      <c r="AF38" s="155"/>
      <c r="AG38" s="155"/>
      <c r="AH38" s="158"/>
      <c r="AI38" s="158"/>
      <c r="AJ38" s="162"/>
      <c r="AK38" s="158"/>
      <c r="AL38" s="44"/>
      <c r="AM38" s="44"/>
      <c r="AN38" s="44"/>
      <c r="AO38" s="44"/>
      <c r="AP38" s="44"/>
      <c r="AR38" s="115"/>
    </row>
    <row r="39" spans="1:44" hidden="1" x14ac:dyDescent="0.25">
      <c r="A39" s="92" t="s">
        <v>83</v>
      </c>
      <c r="C39" s="109"/>
      <c r="D39" s="110"/>
      <c r="F39" s="111"/>
      <c r="G39" s="110"/>
      <c r="I39" s="111"/>
      <c r="J39" s="111"/>
      <c r="K39" s="110"/>
      <c r="M39" s="111"/>
      <c r="N39" s="111"/>
      <c r="O39" s="110"/>
      <c r="Q39" s="111"/>
      <c r="R39" s="111"/>
      <c r="S39" s="110"/>
      <c r="U39" s="111"/>
      <c r="V39" s="44"/>
      <c r="W39" s="158"/>
      <c r="X39" s="91"/>
      <c r="Y39" s="91"/>
      <c r="Z39" s="44"/>
      <c r="AA39" s="44"/>
      <c r="AB39" s="163"/>
      <c r="AC39" s="163"/>
      <c r="AD39" s="163"/>
      <c r="AE39" s="163"/>
      <c r="AF39" s="155"/>
      <c r="AG39" s="155"/>
      <c r="AH39" s="158"/>
      <c r="AI39" s="158"/>
      <c r="AJ39" s="162"/>
      <c r="AK39" s="158"/>
      <c r="AL39" s="44"/>
      <c r="AM39" s="44"/>
      <c r="AN39" s="44"/>
      <c r="AO39" s="44"/>
      <c r="AP39" s="44"/>
      <c r="AR39" s="115"/>
    </row>
    <row r="40" spans="1:44" hidden="1" x14ac:dyDescent="0.25">
      <c r="A40" s="92" t="s">
        <v>84</v>
      </c>
      <c r="C40" s="109">
        <v>815.26657972914199</v>
      </c>
      <c r="D40" s="110">
        <v>12.48</v>
      </c>
      <c r="F40" s="111">
        <f>D40*C40</f>
        <v>10174.526915019693</v>
      </c>
      <c r="G40" s="110">
        <f>$G$19</f>
        <v>12.77</v>
      </c>
      <c r="I40" s="111">
        <f>(G40*$C40)</f>
        <v>10410.954223141143</v>
      </c>
      <c r="J40" s="111"/>
      <c r="K40" s="110" t="e">
        <f>K19</f>
        <v>#DIV/0!</v>
      </c>
      <c r="M40" s="111" t="e">
        <f>K40*C40</f>
        <v>#DIV/0!</v>
      </c>
      <c r="N40" s="111"/>
      <c r="O40" s="110" t="e">
        <f>O19</f>
        <v>#DIV/0!</v>
      </c>
      <c r="Q40" s="111" t="e">
        <f>O40*C40</f>
        <v>#DIV/0!</v>
      </c>
      <c r="R40" s="111"/>
      <c r="S40" s="110" t="e">
        <f>S19</f>
        <v>#DIV/0!</v>
      </c>
      <c r="U40" s="111" t="e">
        <f>S40*C40</f>
        <v>#DIV/0!</v>
      </c>
      <c r="V40" s="44"/>
      <c r="W40" s="158"/>
      <c r="X40" s="91"/>
      <c r="Y40" s="91"/>
      <c r="Z40" s="44"/>
      <c r="AA40" s="44"/>
      <c r="AB40" s="163"/>
      <c r="AC40" s="163"/>
      <c r="AD40" s="163"/>
      <c r="AE40" s="163"/>
      <c r="AF40" s="155"/>
      <c r="AG40" s="155"/>
      <c r="AH40" s="158"/>
      <c r="AI40" s="158"/>
      <c r="AJ40" s="162"/>
      <c r="AK40" s="158"/>
      <c r="AL40" s="44"/>
      <c r="AM40" s="44"/>
      <c r="AN40" s="44"/>
      <c r="AO40" s="44"/>
      <c r="AP40" s="44"/>
      <c r="AR40" s="115"/>
    </row>
    <row r="41" spans="1:44" hidden="1" x14ac:dyDescent="0.25">
      <c r="A41" s="92" t="s">
        <v>85</v>
      </c>
      <c r="C41" s="109">
        <v>197.43500610479001</v>
      </c>
      <c r="D41" s="110">
        <v>18.329999999999998</v>
      </c>
      <c r="F41" s="111">
        <f>D41*C41</f>
        <v>3618.9836619008006</v>
      </c>
      <c r="G41" s="110">
        <f>$G$20</f>
        <v>18.759999999999998</v>
      </c>
      <c r="I41" s="111">
        <f>(G41*$C41)</f>
        <v>3703.8807145258602</v>
      </c>
      <c r="J41" s="111"/>
      <c r="K41" s="110" t="e">
        <f>K20</f>
        <v>#DIV/0!</v>
      </c>
      <c r="M41" s="111" t="e">
        <f>K41*C41</f>
        <v>#DIV/0!</v>
      </c>
      <c r="N41" s="111"/>
      <c r="O41" s="110" t="e">
        <f>O20</f>
        <v>#DIV/0!</v>
      </c>
      <c r="Q41" s="111" t="e">
        <f>O41*C41</f>
        <v>#DIV/0!</v>
      </c>
      <c r="R41" s="111"/>
      <c r="S41" s="110" t="e">
        <f>S20</f>
        <v>#DIV/0!</v>
      </c>
      <c r="U41" s="111" t="e">
        <f>S41*C41</f>
        <v>#DIV/0!</v>
      </c>
      <c r="V41" s="44"/>
      <c r="W41" s="158"/>
      <c r="X41" s="91"/>
      <c r="Y41" s="91"/>
      <c r="Z41" s="44"/>
      <c r="AA41" s="44"/>
      <c r="AB41" s="163"/>
      <c r="AC41" s="163"/>
      <c r="AD41" s="163"/>
      <c r="AE41" s="163"/>
      <c r="AF41" s="155"/>
      <c r="AG41" s="155"/>
      <c r="AH41" s="158"/>
      <c r="AI41" s="158"/>
      <c r="AJ41" s="162"/>
      <c r="AK41" s="158"/>
      <c r="AL41" s="44"/>
      <c r="AM41" s="44"/>
      <c r="AN41" s="44"/>
      <c r="AO41" s="44"/>
      <c r="AP41" s="44"/>
      <c r="AR41" s="115"/>
    </row>
    <row r="42" spans="1:44" hidden="1" x14ac:dyDescent="0.25">
      <c r="A42" s="92" t="s">
        <v>86</v>
      </c>
      <c r="C42" s="109">
        <v>12.0001539348952</v>
      </c>
      <c r="D42" s="110">
        <v>29.57</v>
      </c>
      <c r="F42" s="111">
        <f>D42*C42</f>
        <v>354.84455185485109</v>
      </c>
      <c r="G42" s="110">
        <f>$G$21</f>
        <v>30.28</v>
      </c>
      <c r="I42" s="111">
        <f>(G42*$C42)</f>
        <v>363.36466114862668</v>
      </c>
      <c r="J42" s="111"/>
      <c r="K42" s="110" t="e">
        <f>K21</f>
        <v>#DIV/0!</v>
      </c>
      <c r="M42" s="111" t="e">
        <f>K42*C42</f>
        <v>#DIV/0!</v>
      </c>
      <c r="N42" s="111"/>
      <c r="O42" s="110" t="e">
        <f>O21</f>
        <v>#DIV/0!</v>
      </c>
      <c r="Q42" s="111" t="e">
        <f>O42*C42</f>
        <v>#DIV/0!</v>
      </c>
      <c r="R42" s="111"/>
      <c r="S42" s="110" t="e">
        <f>S21</f>
        <v>#DIV/0!</v>
      </c>
      <c r="U42" s="111" t="e">
        <f>S42*C42</f>
        <v>#DIV/0!</v>
      </c>
      <c r="V42" s="44"/>
      <c r="W42" s="158"/>
      <c r="X42" s="91"/>
      <c r="Y42" s="91"/>
      <c r="Z42" s="44"/>
      <c r="AA42" s="44"/>
      <c r="AB42" s="163"/>
      <c r="AC42" s="163"/>
      <c r="AD42" s="163"/>
      <c r="AE42" s="163"/>
      <c r="AF42" s="155"/>
      <c r="AG42" s="155"/>
      <c r="AH42" s="158"/>
      <c r="AI42" s="158"/>
      <c r="AJ42" s="162"/>
      <c r="AK42" s="158"/>
      <c r="AL42" s="44"/>
      <c r="AM42" s="44"/>
      <c r="AN42" s="44"/>
      <c r="AO42" s="44"/>
      <c r="AP42" s="44"/>
      <c r="AR42" s="115"/>
    </row>
    <row r="43" spans="1:44" hidden="1" x14ac:dyDescent="0.25">
      <c r="A43" s="92" t="s">
        <v>87</v>
      </c>
      <c r="C43" s="109">
        <v>105.16961673026219</v>
      </c>
      <c r="D43" s="110">
        <v>1</v>
      </c>
      <c r="E43" s="44"/>
      <c r="F43" s="111">
        <f>D43*C43</f>
        <v>105.16961673026219</v>
      </c>
      <c r="G43" s="128">
        <f>$G$22</f>
        <v>1</v>
      </c>
      <c r="H43" s="44"/>
      <c r="I43" s="111">
        <f>(G43*$C43)</f>
        <v>105.16961673026219</v>
      </c>
      <c r="J43" s="111"/>
      <c r="K43" s="110">
        <f>K22</f>
        <v>1</v>
      </c>
      <c r="L43" s="44"/>
      <c r="M43" s="111">
        <f>K43*C43</f>
        <v>105.16961673026219</v>
      </c>
      <c r="N43" s="111"/>
      <c r="O43" s="110" t="str">
        <f>O22</f>
        <v xml:space="preserve"> </v>
      </c>
      <c r="P43" s="44"/>
      <c r="Q43" s="111">
        <f>O43*C43</f>
        <v>0</v>
      </c>
      <c r="R43" s="111"/>
      <c r="S43" s="110" t="str">
        <f>S22</f>
        <v xml:space="preserve"> </v>
      </c>
      <c r="T43" s="44"/>
      <c r="U43" s="111">
        <f>S43*C43</f>
        <v>0</v>
      </c>
      <c r="V43" s="155"/>
      <c r="W43" s="158"/>
      <c r="X43" s="91"/>
      <c r="Y43" s="91"/>
      <c r="Z43" s="44"/>
      <c r="AA43" s="44"/>
      <c r="AB43" s="155"/>
      <c r="AC43" s="155"/>
      <c r="AD43" s="155"/>
      <c r="AE43" s="155"/>
      <c r="AF43" s="155"/>
      <c r="AG43" s="155"/>
      <c r="AH43" s="158"/>
      <c r="AI43" s="158"/>
      <c r="AJ43" s="158"/>
      <c r="AK43" s="158"/>
      <c r="AL43" s="44"/>
      <c r="AM43" s="44"/>
      <c r="AN43" s="44"/>
      <c r="AO43" s="44"/>
      <c r="AP43" s="44"/>
      <c r="AR43" s="115"/>
    </row>
    <row r="44" spans="1:44" s="120" customFormat="1" hidden="1" x14ac:dyDescent="0.25">
      <c r="A44" s="119" t="s">
        <v>98</v>
      </c>
      <c r="C44" s="121">
        <f>C46</f>
        <v>1033526</v>
      </c>
      <c r="D44" s="110">
        <v>0</v>
      </c>
      <c r="E44" s="122"/>
      <c r="F44" s="123"/>
      <c r="G44" s="124">
        <f>G23</f>
        <v>0</v>
      </c>
      <c r="H44" s="125" t="s">
        <v>89</v>
      </c>
      <c r="I44" s="123">
        <f>G44*C44/100</f>
        <v>0</v>
      </c>
      <c r="J44" s="123"/>
      <c r="K44" s="124" t="str">
        <f>K23</f>
        <v xml:space="preserve"> </v>
      </c>
      <c r="L44" s="125" t="s">
        <v>89</v>
      </c>
      <c r="M44" s="123">
        <f>K44*C44</f>
        <v>0</v>
      </c>
      <c r="N44" s="123"/>
      <c r="O44" s="124" t="str">
        <f>O23</f>
        <v xml:space="preserve"> </v>
      </c>
      <c r="P44" s="125" t="s">
        <v>89</v>
      </c>
      <c r="Q44" s="111">
        <f>O44*C44</f>
        <v>0</v>
      </c>
      <c r="R44" s="123"/>
      <c r="S44" s="124">
        <f>S23</f>
        <v>0</v>
      </c>
      <c r="T44" s="125" t="s">
        <v>89</v>
      </c>
      <c r="U44" s="123">
        <f>S44*C44/100</f>
        <v>0</v>
      </c>
      <c r="W44" s="112"/>
      <c r="Z44" s="127"/>
      <c r="AA44" s="127"/>
      <c r="AF44" s="122"/>
      <c r="AG44" s="122"/>
      <c r="AH44" s="122"/>
      <c r="AI44" s="122"/>
      <c r="AJ44" s="122"/>
      <c r="AK44" s="122"/>
      <c r="AL44" s="122"/>
      <c r="AM44" s="122"/>
      <c r="AN44" s="122"/>
      <c r="AO44" s="122"/>
      <c r="AP44" s="122"/>
      <c r="AR44" s="126"/>
    </row>
    <row r="45" spans="1:44" hidden="1" x14ac:dyDescent="0.25">
      <c r="A45" s="92" t="s">
        <v>90</v>
      </c>
      <c r="C45" s="109">
        <v>13372</v>
      </c>
      <c r="D45" s="110"/>
      <c r="F45" s="111"/>
      <c r="G45" s="110"/>
      <c r="I45" s="111"/>
      <c r="J45" s="111"/>
      <c r="K45" s="110"/>
      <c r="M45" s="111"/>
      <c r="N45" s="111"/>
      <c r="O45" s="110"/>
      <c r="Q45" s="111"/>
      <c r="R45" s="111"/>
      <c r="S45" s="110"/>
      <c r="U45" s="111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64"/>
      <c r="AI45" s="155"/>
      <c r="AJ45" s="155"/>
      <c r="AK45" s="155"/>
      <c r="AL45" s="44"/>
      <c r="AM45" s="44"/>
      <c r="AN45" s="44"/>
      <c r="AO45" s="44"/>
      <c r="AP45" s="44"/>
      <c r="AR45" s="115"/>
    </row>
    <row r="46" spans="1:44" hidden="1" x14ac:dyDescent="0.25">
      <c r="A46" s="92" t="s">
        <v>91</v>
      </c>
      <c r="C46" s="109">
        <v>1033526</v>
      </c>
      <c r="D46" s="128"/>
      <c r="E46" s="44"/>
      <c r="F46" s="131">
        <f>SUM(F36:F43)</f>
        <v>155145.75784133942</v>
      </c>
      <c r="G46" s="128"/>
      <c r="H46" s="44"/>
      <c r="I46" s="131">
        <f>SUM(I36:I44)</f>
        <v>158810.65583634417</v>
      </c>
      <c r="J46" s="131"/>
      <c r="K46" s="128"/>
      <c r="L46" s="44"/>
      <c r="M46" s="131" t="e">
        <f>SUM(M36:M44)</f>
        <v>#DIV/0!</v>
      </c>
      <c r="N46" s="131"/>
      <c r="O46" s="128"/>
      <c r="P46" s="44"/>
      <c r="Q46" s="131" t="e">
        <f>SUM(Q36:Q44)</f>
        <v>#DIV/0!</v>
      </c>
      <c r="R46" s="131"/>
      <c r="S46" s="128"/>
      <c r="T46" s="44"/>
      <c r="U46" s="131" t="e">
        <f>SUM(U36:U44)</f>
        <v>#DIV/0!</v>
      </c>
      <c r="V46" s="155"/>
      <c r="W46" s="163"/>
      <c r="X46" s="155"/>
      <c r="Y46" s="155"/>
      <c r="Z46" s="44"/>
      <c r="AA46" s="44"/>
      <c r="AB46" s="44"/>
      <c r="AC46" s="44"/>
      <c r="AD46" s="44"/>
      <c r="AE46" s="44"/>
      <c r="AF46" s="44"/>
      <c r="AG46" s="155"/>
      <c r="AH46" s="155"/>
      <c r="AI46" s="155"/>
      <c r="AJ46" s="155"/>
      <c r="AK46" s="155"/>
      <c r="AL46" s="44"/>
      <c r="AM46" s="44"/>
      <c r="AN46" s="44"/>
      <c r="AO46" s="44"/>
      <c r="AP46" s="44"/>
      <c r="AR46" s="115"/>
    </row>
    <row r="47" spans="1:44" hidden="1" x14ac:dyDescent="0.25">
      <c r="A47" s="92" t="s">
        <v>92</v>
      </c>
      <c r="C47" s="109">
        <v>13388.012256127642</v>
      </c>
      <c r="D47" s="128"/>
      <c r="E47" s="44"/>
      <c r="F47" s="131">
        <v>2236.7857072807878</v>
      </c>
      <c r="G47" s="128"/>
      <c r="H47" s="44"/>
      <c r="I47" s="131">
        <f>F47</f>
        <v>2236.7857072807878</v>
      </c>
      <c r="J47" s="131"/>
      <c r="K47" s="128"/>
      <c r="L47" s="44"/>
      <c r="M47" s="131" t="e">
        <f>M26/I26*I47</f>
        <v>#DIV/0!</v>
      </c>
      <c r="N47" s="131"/>
      <c r="O47" s="128"/>
      <c r="P47" s="44"/>
      <c r="Q47" s="131" t="e">
        <f>Q26/I26*I47</f>
        <v>#DIV/0!</v>
      </c>
      <c r="R47" s="131"/>
      <c r="S47" s="128"/>
      <c r="T47" s="44"/>
      <c r="U47" s="131" t="e">
        <f>U26/I26*I47</f>
        <v>#DIV/0!</v>
      </c>
      <c r="V47" s="165"/>
      <c r="W47" s="163"/>
      <c r="X47" s="155"/>
      <c r="Y47" s="155"/>
      <c r="Z47" s="155"/>
      <c r="AA47" s="155"/>
      <c r="AB47" s="160"/>
      <c r="AC47" s="160"/>
      <c r="AD47" s="160"/>
      <c r="AE47" s="160"/>
      <c r="AF47" s="158"/>
      <c r="AG47" s="155"/>
      <c r="AH47" s="155"/>
      <c r="AI47" s="155"/>
      <c r="AJ47" s="155"/>
      <c r="AK47" s="155"/>
      <c r="AL47" s="44"/>
      <c r="AM47" s="44"/>
      <c r="AN47" s="44"/>
      <c r="AO47" s="44"/>
      <c r="AP47" s="44"/>
      <c r="AR47" s="115"/>
    </row>
    <row r="48" spans="1:44" ht="16.5" hidden="1" thickBot="1" x14ac:dyDescent="0.3">
      <c r="A48" s="92" t="s">
        <v>93</v>
      </c>
      <c r="C48" s="136">
        <f>C46+C47</f>
        <v>1046914.0122561277</v>
      </c>
      <c r="D48" s="137"/>
      <c r="E48" s="138"/>
      <c r="F48" s="138">
        <f>F46+F47</f>
        <v>157382.54354862022</v>
      </c>
      <c r="G48" s="137"/>
      <c r="H48" s="138"/>
      <c r="I48" s="138">
        <f>I46+I47</f>
        <v>161047.44154362497</v>
      </c>
      <c r="J48" s="133"/>
      <c r="K48" s="137"/>
      <c r="L48" s="138"/>
      <c r="M48" s="138" t="e">
        <f>M46+M47</f>
        <v>#DIV/0!</v>
      </c>
      <c r="N48" s="137"/>
      <c r="O48" s="137"/>
      <c r="P48" s="138"/>
      <c r="Q48" s="138" t="e">
        <f>Q46+Q47</f>
        <v>#DIV/0!</v>
      </c>
      <c r="R48" s="137"/>
      <c r="S48" s="137"/>
      <c r="T48" s="138"/>
      <c r="U48" s="138" t="e">
        <f>U46+U47</f>
        <v>#DIV/0!</v>
      </c>
      <c r="V48" s="166"/>
      <c r="W48" s="167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44"/>
      <c r="AM48" s="44"/>
      <c r="AN48" s="44"/>
      <c r="AO48" s="44"/>
      <c r="AP48" s="44"/>
      <c r="AR48" s="115"/>
    </row>
    <row r="49" spans="1:44" hidden="1" x14ac:dyDescent="0.25">
      <c r="C49" s="148"/>
      <c r="D49" s="134" t="s">
        <v>0</v>
      </c>
      <c r="E49" s="148"/>
      <c r="F49" s="108"/>
      <c r="G49" s="149" t="s">
        <v>0</v>
      </c>
      <c r="H49" s="148"/>
      <c r="I49" s="111" t="s">
        <v>0</v>
      </c>
      <c r="J49" s="111"/>
      <c r="K49" s="149" t="s">
        <v>0</v>
      </c>
      <c r="L49" s="148"/>
      <c r="M49" s="111" t="s">
        <v>0</v>
      </c>
      <c r="N49" s="111"/>
      <c r="O49" s="149" t="s">
        <v>0</v>
      </c>
      <c r="P49" s="148"/>
      <c r="Q49" s="111" t="s">
        <v>0</v>
      </c>
      <c r="R49" s="111"/>
      <c r="S49" s="149" t="s">
        <v>0</v>
      </c>
      <c r="T49" s="148"/>
      <c r="U49" s="111" t="s">
        <v>0</v>
      </c>
      <c r="V49" s="44"/>
      <c r="W49" s="91"/>
      <c r="X49" s="91"/>
      <c r="Y49" s="91"/>
      <c r="Z49" s="44"/>
      <c r="AA49" s="44"/>
      <c r="AB49" s="44"/>
      <c r="AC49" s="44"/>
      <c r="AD49" s="44"/>
      <c r="AE49" s="44"/>
      <c r="AF49" s="44"/>
      <c r="AG49" s="155"/>
      <c r="AH49" s="155"/>
      <c r="AI49" s="155"/>
      <c r="AJ49" s="155"/>
      <c r="AK49" s="155"/>
      <c r="AL49" s="44"/>
      <c r="AM49" s="44"/>
      <c r="AN49" s="44"/>
      <c r="AO49" s="44"/>
      <c r="AP49" s="44"/>
      <c r="AR49" s="115"/>
    </row>
    <row r="50" spans="1:44" hidden="1" x14ac:dyDescent="0.25">
      <c r="A50" s="107" t="s">
        <v>77</v>
      </c>
      <c r="F50" s="108"/>
      <c r="V50" s="44"/>
      <c r="W50" s="91"/>
      <c r="X50" s="91"/>
      <c r="Y50" s="91"/>
      <c r="Z50" s="44"/>
      <c r="AA50" s="44"/>
      <c r="AB50" s="44"/>
      <c r="AC50" s="44"/>
      <c r="AD50" s="44"/>
      <c r="AE50" s="44"/>
      <c r="AF50" s="44"/>
      <c r="AG50" s="155"/>
      <c r="AH50" s="155"/>
      <c r="AI50" s="155"/>
      <c r="AJ50" s="155"/>
      <c r="AK50" s="155"/>
      <c r="AL50" s="44"/>
      <c r="AM50" s="44"/>
      <c r="AN50" s="44"/>
      <c r="AO50" s="44"/>
      <c r="AP50" s="44"/>
      <c r="AR50" s="115"/>
    </row>
    <row r="51" spans="1:44" hidden="1" x14ac:dyDescent="0.25">
      <c r="A51" s="92" t="s">
        <v>99</v>
      </c>
      <c r="F51" s="108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44"/>
      <c r="AM51" s="44"/>
      <c r="AN51" s="44"/>
      <c r="AO51" s="44"/>
      <c r="AP51" s="44"/>
      <c r="AR51" s="115"/>
    </row>
    <row r="52" spans="1:44" hidden="1" x14ac:dyDescent="0.25">
      <c r="F52" s="108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155"/>
      <c r="AG52" s="155"/>
      <c r="AH52" s="155"/>
      <c r="AI52" s="155"/>
      <c r="AJ52" s="155"/>
      <c r="AK52" s="155"/>
      <c r="AL52" s="44"/>
      <c r="AM52" s="44"/>
      <c r="AN52" s="44"/>
      <c r="AO52" s="44"/>
      <c r="AP52" s="44"/>
      <c r="AR52" s="115"/>
    </row>
    <row r="53" spans="1:44" hidden="1" x14ac:dyDescent="0.25">
      <c r="A53" s="92" t="s">
        <v>79</v>
      </c>
      <c r="F53" s="108"/>
      <c r="V53" s="155"/>
      <c r="W53" s="155"/>
      <c r="X53" s="91"/>
      <c r="Y53" s="91"/>
      <c r="Z53" s="156"/>
      <c r="AA53" s="156"/>
      <c r="AB53" s="157"/>
      <c r="AC53" s="157"/>
      <c r="AD53" s="157"/>
      <c r="AE53" s="157"/>
      <c r="AF53" s="158"/>
      <c r="AG53" s="159"/>
      <c r="AH53" s="155"/>
      <c r="AI53" s="155"/>
      <c r="AJ53" s="155"/>
      <c r="AK53" s="155"/>
      <c r="AL53" s="44"/>
      <c r="AM53" s="44"/>
      <c r="AN53" s="44"/>
      <c r="AO53" s="44"/>
      <c r="AP53" s="44"/>
      <c r="AR53" s="115"/>
    </row>
    <row r="54" spans="1:44" hidden="1" x14ac:dyDescent="0.25">
      <c r="A54" s="92" t="s">
        <v>80</v>
      </c>
      <c r="C54" s="109">
        <v>13565.461216694168</v>
      </c>
      <c r="D54" s="110">
        <v>10.98</v>
      </c>
      <c r="F54" s="111">
        <f>D54*C54</f>
        <v>148948.76415930197</v>
      </c>
      <c r="G54" s="110">
        <f>$G$15</f>
        <v>11.24</v>
      </c>
      <c r="I54" s="111">
        <f t="shared" ref="I54:I56" si="1">(G54*$C54)</f>
        <v>152475.78407564244</v>
      </c>
      <c r="J54" s="111"/>
      <c r="K54" s="110" t="e">
        <f>K15</f>
        <v>#DIV/0!</v>
      </c>
      <c r="M54" s="111" t="e">
        <f t="shared" ref="M54:M56" si="2">(K54*$C54)</f>
        <v>#DIV/0!</v>
      </c>
      <c r="N54" s="111"/>
      <c r="O54" s="110" t="e">
        <f>O15</f>
        <v>#DIV/0!</v>
      </c>
      <c r="Q54" s="111" t="e">
        <f t="shared" ref="Q54:Q56" si="3">(O54*$C54)</f>
        <v>#DIV/0!</v>
      </c>
      <c r="R54" s="111"/>
      <c r="S54" s="110" t="e">
        <f>S15</f>
        <v>#DIV/0!</v>
      </c>
      <c r="U54" s="111" t="e">
        <f t="shared" ref="U54:U56" si="4">(S54*$C54)</f>
        <v>#DIV/0!</v>
      </c>
      <c r="V54" s="44"/>
      <c r="W54" s="158"/>
      <c r="X54" s="91"/>
      <c r="Y54" s="91"/>
      <c r="Z54" s="155"/>
      <c r="AA54" s="155"/>
      <c r="AB54" s="160"/>
      <c r="AC54" s="160"/>
      <c r="AD54" s="160"/>
      <c r="AE54" s="160"/>
      <c r="AF54" s="161"/>
      <c r="AG54" s="155"/>
      <c r="AH54" s="158"/>
      <c r="AI54" s="158"/>
      <c r="AJ54" s="162"/>
      <c r="AK54" s="158"/>
      <c r="AL54" s="44"/>
      <c r="AM54" s="44"/>
      <c r="AN54" s="44"/>
      <c r="AO54" s="44"/>
      <c r="AP54" s="44"/>
      <c r="AR54" s="115"/>
    </row>
    <row r="55" spans="1:44" hidden="1" x14ac:dyDescent="0.25">
      <c r="A55" s="92" t="s">
        <v>81</v>
      </c>
      <c r="C55" s="109">
        <v>3532.598813033077</v>
      </c>
      <c r="D55" s="110">
        <v>20.88</v>
      </c>
      <c r="F55" s="111">
        <f>D55*C55</f>
        <v>73760.663216130648</v>
      </c>
      <c r="G55" s="110">
        <f>$G$16</f>
        <v>21.369999999999997</v>
      </c>
      <c r="I55" s="111">
        <f t="shared" si="1"/>
        <v>75491.63663451685</v>
      </c>
      <c r="J55" s="111"/>
      <c r="K55" s="110" t="e">
        <f>K16</f>
        <v>#DIV/0!</v>
      </c>
      <c r="M55" s="111" t="e">
        <f t="shared" si="2"/>
        <v>#DIV/0!</v>
      </c>
      <c r="N55" s="111"/>
      <c r="O55" s="110" t="e">
        <f>O16</f>
        <v>#DIV/0!</v>
      </c>
      <c r="Q55" s="111" t="e">
        <f t="shared" si="3"/>
        <v>#DIV/0!</v>
      </c>
      <c r="R55" s="111"/>
      <c r="S55" s="110" t="e">
        <f>S16</f>
        <v>#DIV/0!</v>
      </c>
      <c r="U55" s="111" t="e">
        <f t="shared" si="4"/>
        <v>#DIV/0!</v>
      </c>
      <c r="V55" s="44"/>
      <c r="W55" s="158"/>
      <c r="X55" s="91"/>
      <c r="Y55" s="91"/>
      <c r="Z55" s="44"/>
      <c r="AA55" s="44"/>
      <c r="AB55" s="163"/>
      <c r="AC55" s="163"/>
      <c r="AD55" s="163"/>
      <c r="AE55" s="163"/>
      <c r="AF55" s="155"/>
      <c r="AG55" s="155"/>
      <c r="AH55" s="158"/>
      <c r="AI55" s="158"/>
      <c r="AJ55" s="162"/>
      <c r="AK55" s="158"/>
      <c r="AL55" s="44"/>
      <c r="AM55" s="44"/>
      <c r="AN55" s="44"/>
      <c r="AO55" s="44"/>
      <c r="AP55" s="44"/>
      <c r="AR55" s="115"/>
    </row>
    <row r="56" spans="1:44" hidden="1" x14ac:dyDescent="0.25">
      <c r="A56" s="92" t="s">
        <v>82</v>
      </c>
      <c r="C56" s="109">
        <v>489.16675699261128</v>
      </c>
      <c r="D56" s="110">
        <v>43.21</v>
      </c>
      <c r="F56" s="111">
        <f>D56*C56</f>
        <v>21136.895569650733</v>
      </c>
      <c r="G56" s="110">
        <f>$G$17</f>
        <v>44.25</v>
      </c>
      <c r="I56" s="111">
        <f t="shared" si="1"/>
        <v>21645.628996923049</v>
      </c>
      <c r="J56" s="111"/>
      <c r="K56" s="110" t="e">
        <f>K17</f>
        <v>#DIV/0!</v>
      </c>
      <c r="M56" s="111" t="e">
        <f t="shared" si="2"/>
        <v>#DIV/0!</v>
      </c>
      <c r="N56" s="111"/>
      <c r="O56" s="110" t="e">
        <f>O17</f>
        <v>#DIV/0!</v>
      </c>
      <c r="Q56" s="111" t="e">
        <f t="shared" si="3"/>
        <v>#DIV/0!</v>
      </c>
      <c r="R56" s="111"/>
      <c r="S56" s="110" t="e">
        <f>S17</f>
        <v>#DIV/0!</v>
      </c>
      <c r="U56" s="111" t="e">
        <f t="shared" si="4"/>
        <v>#DIV/0!</v>
      </c>
      <c r="V56" s="44"/>
      <c r="W56" s="158"/>
      <c r="X56" s="91"/>
      <c r="Y56" s="91"/>
      <c r="Z56" s="44"/>
      <c r="AA56" s="44"/>
      <c r="AB56" s="163"/>
      <c r="AC56" s="163"/>
      <c r="AD56" s="163"/>
      <c r="AE56" s="163"/>
      <c r="AF56" s="155"/>
      <c r="AG56" s="155"/>
      <c r="AH56" s="158"/>
      <c r="AI56" s="158"/>
      <c r="AJ56" s="162"/>
      <c r="AK56" s="158"/>
      <c r="AL56" s="44"/>
      <c r="AM56" s="44"/>
      <c r="AN56" s="44"/>
      <c r="AO56" s="44"/>
      <c r="AP56" s="44"/>
      <c r="AR56" s="115"/>
    </row>
    <row r="57" spans="1:44" hidden="1" x14ac:dyDescent="0.25">
      <c r="A57" s="92" t="s">
        <v>83</v>
      </c>
      <c r="C57" s="109"/>
      <c r="D57" s="110"/>
      <c r="F57" s="111"/>
      <c r="G57" s="110"/>
      <c r="I57" s="111"/>
      <c r="J57" s="111"/>
      <c r="K57" s="110"/>
      <c r="M57" s="111"/>
      <c r="N57" s="111"/>
      <c r="O57" s="110"/>
      <c r="Q57" s="111"/>
      <c r="R57" s="111"/>
      <c r="S57" s="110"/>
      <c r="U57" s="111"/>
      <c r="V57" s="44"/>
      <c r="W57" s="158"/>
      <c r="X57" s="91"/>
      <c r="Y57" s="91"/>
      <c r="Z57" s="44"/>
      <c r="AA57" s="44"/>
      <c r="AB57" s="163"/>
      <c r="AC57" s="163"/>
      <c r="AD57" s="163"/>
      <c r="AE57" s="163"/>
      <c r="AF57" s="155"/>
      <c r="AG57" s="155"/>
      <c r="AH57" s="158"/>
      <c r="AI57" s="158"/>
      <c r="AJ57" s="162"/>
      <c r="AK57" s="158"/>
      <c r="AL57" s="44"/>
      <c r="AM57" s="44"/>
      <c r="AN57" s="44"/>
      <c r="AO57" s="44"/>
      <c r="AP57" s="44"/>
      <c r="AR57" s="115"/>
    </row>
    <row r="58" spans="1:44" hidden="1" x14ac:dyDescent="0.25">
      <c r="A58" s="92" t="s">
        <v>84</v>
      </c>
      <c r="C58" s="109">
        <v>1191.3721888629</v>
      </c>
      <c r="D58" s="110">
        <v>12.48</v>
      </c>
      <c r="F58" s="111">
        <f>D58*C58</f>
        <v>14868.324917008993</v>
      </c>
      <c r="G58" s="110">
        <f>$G$19</f>
        <v>12.77</v>
      </c>
      <c r="I58" s="111">
        <f t="shared" ref="I58:I61" si="5">(G58*$C58)</f>
        <v>15213.822851779232</v>
      </c>
      <c r="J58" s="111"/>
      <c r="K58" s="110" t="e">
        <f>K19</f>
        <v>#DIV/0!</v>
      </c>
      <c r="M58" s="111" t="e">
        <f t="shared" ref="M58:M61" si="6">(K58*$C58)</f>
        <v>#DIV/0!</v>
      </c>
      <c r="N58" s="111"/>
      <c r="O58" s="110" t="e">
        <f>O19</f>
        <v>#DIV/0!</v>
      </c>
      <c r="Q58" s="111" t="e">
        <f t="shared" ref="Q58:Q61" si="7">(O58*$C58)</f>
        <v>#DIV/0!</v>
      </c>
      <c r="R58" s="111"/>
      <c r="S58" s="110" t="e">
        <f>S19</f>
        <v>#DIV/0!</v>
      </c>
      <c r="U58" s="111" t="e">
        <f t="shared" ref="U58:U61" si="8">(S58*$C58)</f>
        <v>#DIV/0!</v>
      </c>
      <c r="V58" s="44"/>
      <c r="W58" s="158"/>
      <c r="X58" s="91"/>
      <c r="Y58" s="91"/>
      <c r="Z58" s="44"/>
      <c r="AA58" s="44"/>
      <c r="AB58" s="163"/>
      <c r="AC58" s="163"/>
      <c r="AD58" s="163"/>
      <c r="AE58" s="163"/>
      <c r="AF58" s="155"/>
      <c r="AG58" s="155"/>
      <c r="AH58" s="158"/>
      <c r="AI58" s="158"/>
      <c r="AJ58" s="162"/>
      <c r="AK58" s="158"/>
      <c r="AL58" s="44"/>
      <c r="AM58" s="44"/>
      <c r="AN58" s="44"/>
      <c r="AO58" s="44"/>
      <c r="AP58" s="44"/>
      <c r="AR58" s="115"/>
    </row>
    <row r="59" spans="1:44" hidden="1" x14ac:dyDescent="0.25">
      <c r="A59" s="92" t="s">
        <v>85</v>
      </c>
      <c r="C59" s="109">
        <v>1361.8043880047101</v>
      </c>
      <c r="D59" s="110">
        <v>18.329999999999998</v>
      </c>
      <c r="F59" s="111">
        <f>D59*C59</f>
        <v>24961.874432126333</v>
      </c>
      <c r="G59" s="110">
        <f>$G$20</f>
        <v>18.759999999999998</v>
      </c>
      <c r="I59" s="111">
        <f t="shared" si="5"/>
        <v>25547.450318968356</v>
      </c>
      <c r="J59" s="111"/>
      <c r="K59" s="110" t="e">
        <f>K20</f>
        <v>#DIV/0!</v>
      </c>
      <c r="M59" s="111" t="e">
        <f t="shared" si="6"/>
        <v>#DIV/0!</v>
      </c>
      <c r="N59" s="111"/>
      <c r="O59" s="110" t="e">
        <f>O20</f>
        <v>#DIV/0!</v>
      </c>
      <c r="Q59" s="111" t="e">
        <f t="shared" si="7"/>
        <v>#DIV/0!</v>
      </c>
      <c r="R59" s="111"/>
      <c r="S59" s="110" t="e">
        <f>S20</f>
        <v>#DIV/0!</v>
      </c>
      <c r="U59" s="111" t="e">
        <f t="shared" si="8"/>
        <v>#DIV/0!</v>
      </c>
      <c r="V59" s="44"/>
      <c r="W59" s="158"/>
      <c r="X59" s="91"/>
      <c r="Y59" s="91"/>
      <c r="Z59" s="44"/>
      <c r="AA59" s="44"/>
      <c r="AB59" s="163"/>
      <c r="AC59" s="163"/>
      <c r="AD59" s="163"/>
      <c r="AE59" s="163"/>
      <c r="AF59" s="155"/>
      <c r="AG59" s="155"/>
      <c r="AH59" s="158"/>
      <c r="AI59" s="158"/>
      <c r="AJ59" s="162"/>
      <c r="AK59" s="158"/>
      <c r="AL59" s="44"/>
      <c r="AM59" s="44"/>
      <c r="AN59" s="44"/>
      <c r="AO59" s="44"/>
      <c r="AP59" s="44"/>
      <c r="AR59" s="115"/>
    </row>
    <row r="60" spans="1:44" hidden="1" x14ac:dyDescent="0.25">
      <c r="A60" s="92" t="s">
        <v>86</v>
      </c>
      <c r="C60" s="109">
        <v>503.93238412641102</v>
      </c>
      <c r="D60" s="110">
        <v>29.57</v>
      </c>
      <c r="F60" s="111">
        <f>D60*C60</f>
        <v>14901.280598617974</v>
      </c>
      <c r="G60" s="110">
        <f>$G$21</f>
        <v>30.28</v>
      </c>
      <c r="I60" s="111">
        <f t="shared" si="5"/>
        <v>15259.072591347727</v>
      </c>
      <c r="J60" s="111"/>
      <c r="K60" s="110" t="e">
        <f>K21</f>
        <v>#DIV/0!</v>
      </c>
      <c r="M60" s="111" t="e">
        <f t="shared" si="6"/>
        <v>#DIV/0!</v>
      </c>
      <c r="N60" s="111"/>
      <c r="O60" s="110" t="e">
        <f>O21</f>
        <v>#DIV/0!</v>
      </c>
      <c r="Q60" s="111" t="e">
        <f t="shared" si="7"/>
        <v>#DIV/0!</v>
      </c>
      <c r="R60" s="111"/>
      <c r="S60" s="110" t="e">
        <f>S21</f>
        <v>#DIV/0!</v>
      </c>
      <c r="U60" s="111" t="e">
        <f t="shared" si="8"/>
        <v>#DIV/0!</v>
      </c>
      <c r="V60" s="44"/>
      <c r="W60" s="158"/>
      <c r="X60" s="91"/>
      <c r="Y60" s="91"/>
      <c r="Z60" s="44"/>
      <c r="AA60" s="44"/>
      <c r="AB60" s="163"/>
      <c r="AC60" s="163"/>
      <c r="AD60" s="163"/>
      <c r="AE60" s="163"/>
      <c r="AF60" s="155"/>
      <c r="AG60" s="155"/>
      <c r="AH60" s="158"/>
      <c r="AI60" s="158"/>
      <c r="AJ60" s="162"/>
      <c r="AK60" s="158"/>
      <c r="AL60" s="44"/>
      <c r="AM60" s="44"/>
      <c r="AN60" s="44"/>
      <c r="AO60" s="44"/>
      <c r="AP60" s="44"/>
      <c r="AR60" s="115"/>
    </row>
    <row r="61" spans="1:44" hidden="1" x14ac:dyDescent="0.25">
      <c r="A61" s="92" t="s">
        <v>87</v>
      </c>
      <c r="C61" s="109">
        <v>324.1657048160514</v>
      </c>
      <c r="D61" s="110">
        <v>1</v>
      </c>
      <c r="E61" s="44"/>
      <c r="F61" s="111">
        <f>D61*C61</f>
        <v>324.1657048160514</v>
      </c>
      <c r="G61" s="128">
        <f>$G$22</f>
        <v>1</v>
      </c>
      <c r="H61" s="44"/>
      <c r="I61" s="111">
        <f t="shared" si="5"/>
        <v>324.1657048160514</v>
      </c>
      <c r="J61" s="111"/>
      <c r="K61" s="110">
        <f>K22</f>
        <v>1</v>
      </c>
      <c r="L61" s="44"/>
      <c r="M61" s="111">
        <f t="shared" si="6"/>
        <v>324.1657048160514</v>
      </c>
      <c r="N61" s="111"/>
      <c r="O61" s="110" t="str">
        <f>O22</f>
        <v xml:space="preserve"> </v>
      </c>
      <c r="P61" s="44"/>
      <c r="Q61" s="111">
        <f t="shared" si="7"/>
        <v>0</v>
      </c>
      <c r="R61" s="111"/>
      <c r="S61" s="110" t="str">
        <f>S22</f>
        <v xml:space="preserve"> </v>
      </c>
      <c r="T61" s="44"/>
      <c r="U61" s="111">
        <f t="shared" si="8"/>
        <v>0</v>
      </c>
      <c r="V61" s="155"/>
      <c r="W61" s="158"/>
      <c r="X61" s="91"/>
      <c r="Y61" s="91"/>
      <c r="Z61" s="44"/>
      <c r="AA61" s="44"/>
      <c r="AB61" s="155"/>
      <c r="AC61" s="155"/>
      <c r="AD61" s="155"/>
      <c r="AE61" s="155"/>
      <c r="AF61" s="155"/>
      <c r="AG61" s="155"/>
      <c r="AH61" s="158"/>
      <c r="AI61" s="158"/>
      <c r="AJ61" s="158"/>
      <c r="AK61" s="158"/>
      <c r="AL61" s="44"/>
      <c r="AM61" s="44"/>
      <c r="AN61" s="44"/>
      <c r="AO61" s="44"/>
      <c r="AP61" s="44"/>
      <c r="AR61" s="115"/>
    </row>
    <row r="62" spans="1:44" s="120" customFormat="1" hidden="1" x14ac:dyDescent="0.25">
      <c r="A62" s="119" t="s">
        <v>98</v>
      </c>
      <c r="C62" s="121">
        <f>C64</f>
        <v>2083856</v>
      </c>
      <c r="D62" s="110">
        <v>0</v>
      </c>
      <c r="E62" s="122"/>
      <c r="F62" s="123"/>
      <c r="G62" s="124">
        <f>G23</f>
        <v>0</v>
      </c>
      <c r="H62" s="125" t="s">
        <v>89</v>
      </c>
      <c r="I62" s="123">
        <f>G62*C62/100</f>
        <v>0</v>
      </c>
      <c r="J62" s="123"/>
      <c r="K62" s="124" t="str">
        <f>K23</f>
        <v xml:space="preserve"> </v>
      </c>
      <c r="L62" s="125" t="s">
        <v>89</v>
      </c>
      <c r="M62" s="123" t="e">
        <f>K62*#REF!/100</f>
        <v>#REF!</v>
      </c>
      <c r="N62" s="123"/>
      <c r="O62" s="124" t="str">
        <f>O23</f>
        <v xml:space="preserve"> </v>
      </c>
      <c r="P62" s="125" t="s">
        <v>89</v>
      </c>
      <c r="Q62" s="123">
        <f>O62*G62/100</f>
        <v>0</v>
      </c>
      <c r="R62" s="123"/>
      <c r="S62" s="124">
        <f>S23</f>
        <v>0</v>
      </c>
      <c r="T62" s="125" t="s">
        <v>89</v>
      </c>
      <c r="U62" s="123">
        <f>S62*C62/100</f>
        <v>0</v>
      </c>
      <c r="W62" s="112"/>
      <c r="Z62" s="127"/>
      <c r="AA62" s="127"/>
      <c r="AF62" s="122"/>
      <c r="AG62" s="122"/>
      <c r="AH62" s="122"/>
      <c r="AI62" s="122"/>
      <c r="AJ62" s="122"/>
      <c r="AK62" s="122"/>
      <c r="AL62" s="122"/>
      <c r="AM62" s="122"/>
      <c r="AN62" s="122"/>
      <c r="AO62" s="122"/>
      <c r="AP62" s="122"/>
      <c r="AR62" s="126"/>
    </row>
    <row r="63" spans="1:44" hidden="1" x14ac:dyDescent="0.25">
      <c r="A63" s="92" t="s">
        <v>90</v>
      </c>
      <c r="C63" s="109">
        <v>15518</v>
      </c>
      <c r="D63" s="110"/>
      <c r="F63" s="111"/>
      <c r="G63" s="110"/>
      <c r="I63" s="111"/>
      <c r="J63" s="111"/>
      <c r="K63" s="110"/>
      <c r="M63" s="111"/>
      <c r="N63" s="111"/>
      <c r="O63" s="110"/>
      <c r="Q63" s="111"/>
      <c r="R63" s="111"/>
      <c r="S63" s="110"/>
      <c r="U63" s="111"/>
      <c r="V63" s="155"/>
      <c r="W63" s="155"/>
      <c r="X63" s="155"/>
      <c r="Y63" s="155"/>
      <c r="Z63" s="155"/>
      <c r="AA63" s="155"/>
      <c r="AB63" s="155"/>
      <c r="AC63" s="155"/>
      <c r="AD63" s="155"/>
      <c r="AE63" s="155"/>
      <c r="AF63" s="155"/>
      <c r="AG63" s="155"/>
      <c r="AH63" s="164"/>
      <c r="AI63" s="155"/>
      <c r="AJ63" s="155"/>
      <c r="AK63" s="155"/>
      <c r="AL63" s="44"/>
      <c r="AM63" s="44"/>
      <c r="AN63" s="44"/>
      <c r="AO63" s="44"/>
      <c r="AP63" s="44"/>
      <c r="AR63" s="115"/>
    </row>
    <row r="64" spans="1:44" hidden="1" x14ac:dyDescent="0.25">
      <c r="A64" s="92" t="s">
        <v>91</v>
      </c>
      <c r="C64" s="109">
        <v>2083856</v>
      </c>
      <c r="D64" s="128"/>
      <c r="E64" s="44"/>
      <c r="F64" s="131">
        <f>SUM(F54:F61)</f>
        <v>298901.96859765274</v>
      </c>
      <c r="G64" s="128"/>
      <c r="H64" s="44"/>
      <c r="I64" s="131">
        <f>SUM(I54:I62)</f>
        <v>305957.56117399369</v>
      </c>
      <c r="J64" s="131"/>
      <c r="K64" s="128"/>
      <c r="L64" s="44"/>
      <c r="M64" s="131" t="e">
        <f>SUM(M54:M62)</f>
        <v>#DIV/0!</v>
      </c>
      <c r="N64" s="131"/>
      <c r="O64" s="128"/>
      <c r="P64" s="44"/>
      <c r="Q64" s="131" t="e">
        <f>SUM(Q54:Q62)</f>
        <v>#DIV/0!</v>
      </c>
      <c r="R64" s="131"/>
      <c r="S64" s="128"/>
      <c r="T64" s="44"/>
      <c r="U64" s="131" t="e">
        <f>SUM(U54:U62)</f>
        <v>#DIV/0!</v>
      </c>
      <c r="V64" s="155"/>
      <c r="W64" s="163"/>
      <c r="X64" s="155"/>
      <c r="Y64" s="155"/>
      <c r="Z64" s="44"/>
      <c r="AA64" s="44"/>
      <c r="AB64" s="44"/>
      <c r="AC64" s="44"/>
      <c r="AD64" s="44"/>
      <c r="AE64" s="44"/>
      <c r="AF64" s="44"/>
      <c r="AG64" s="155"/>
      <c r="AH64" s="155"/>
      <c r="AI64" s="155"/>
      <c r="AJ64" s="155"/>
      <c r="AK64" s="155"/>
      <c r="AL64" s="44"/>
      <c r="AM64" s="44"/>
      <c r="AN64" s="44"/>
      <c r="AO64" s="44"/>
      <c r="AP64" s="44"/>
      <c r="AR64" s="115"/>
    </row>
    <row r="65" spans="1:44" hidden="1" x14ac:dyDescent="0.25">
      <c r="A65" s="92" t="s">
        <v>92</v>
      </c>
      <c r="C65" s="109">
        <v>14372.590194620605</v>
      </c>
      <c r="D65" s="128"/>
      <c r="E65" s="44"/>
      <c r="F65" s="131">
        <v>2323.2050877783413</v>
      </c>
      <c r="G65" s="128"/>
      <c r="H65" s="44"/>
      <c r="I65" s="131">
        <f>F65</f>
        <v>2323.2050877783413</v>
      </c>
      <c r="J65" s="131"/>
      <c r="K65" s="128"/>
      <c r="L65" s="44"/>
      <c r="M65" s="131" t="e">
        <f>M26/I26*I65</f>
        <v>#DIV/0!</v>
      </c>
      <c r="N65" s="131"/>
      <c r="O65" s="128"/>
      <c r="P65" s="44"/>
      <c r="Q65" s="131" t="e">
        <f>Q26/I26*I65</f>
        <v>#DIV/0!</v>
      </c>
      <c r="R65" s="131"/>
      <c r="S65" s="128"/>
      <c r="T65" s="44"/>
      <c r="U65" s="131" t="e">
        <f>U26/I26*I65</f>
        <v>#DIV/0!</v>
      </c>
      <c r="V65" s="165"/>
      <c r="W65" s="163"/>
      <c r="X65" s="155"/>
      <c r="Y65" s="155"/>
      <c r="Z65" s="155"/>
      <c r="AA65" s="155"/>
      <c r="AB65" s="160"/>
      <c r="AC65" s="160"/>
      <c r="AD65" s="160"/>
      <c r="AE65" s="160"/>
      <c r="AF65" s="158"/>
      <c r="AG65" s="155"/>
      <c r="AH65" s="155"/>
      <c r="AI65" s="155"/>
      <c r="AJ65" s="155"/>
      <c r="AK65" s="155"/>
      <c r="AL65" s="44"/>
      <c r="AM65" s="44"/>
      <c r="AN65" s="44"/>
      <c r="AO65" s="44"/>
      <c r="AP65" s="44"/>
      <c r="AR65" s="115"/>
    </row>
    <row r="66" spans="1:44" ht="16.5" hidden="1" thickBot="1" x14ac:dyDescent="0.3">
      <c r="A66" s="92" t="s">
        <v>93</v>
      </c>
      <c r="C66" s="136">
        <f>C64+C65</f>
        <v>2098228.5901946207</v>
      </c>
      <c r="D66" s="137"/>
      <c r="E66" s="138"/>
      <c r="F66" s="138">
        <f>F64+F65</f>
        <v>301225.17368543107</v>
      </c>
      <c r="G66" s="137"/>
      <c r="H66" s="138"/>
      <c r="I66" s="138">
        <f>I64+I65</f>
        <v>308280.76626177202</v>
      </c>
      <c r="J66" s="133"/>
      <c r="K66" s="137"/>
      <c r="L66" s="138"/>
      <c r="M66" s="138" t="e">
        <f>M64+M65</f>
        <v>#DIV/0!</v>
      </c>
      <c r="N66" s="137"/>
      <c r="O66" s="137"/>
      <c r="P66" s="138"/>
      <c r="Q66" s="138" t="e">
        <f>Q64+Q65</f>
        <v>#DIV/0!</v>
      </c>
      <c r="R66" s="137"/>
      <c r="S66" s="137"/>
      <c r="T66" s="138"/>
      <c r="U66" s="138" t="e">
        <f>U64+U65</f>
        <v>#DIV/0!</v>
      </c>
      <c r="V66" s="166"/>
      <c r="W66" s="167"/>
      <c r="X66" s="155"/>
      <c r="Y66" s="155"/>
      <c r="Z66" s="155"/>
      <c r="AA66" s="155"/>
      <c r="AB66" s="155"/>
      <c r="AC66" s="155"/>
      <c r="AD66" s="155"/>
      <c r="AE66" s="155"/>
      <c r="AF66" s="155"/>
      <c r="AG66" s="155"/>
      <c r="AH66" s="155"/>
      <c r="AI66" s="155"/>
      <c r="AJ66" s="155"/>
      <c r="AK66" s="155"/>
      <c r="AL66" s="44"/>
      <c r="AM66" s="44"/>
      <c r="AN66" s="44"/>
      <c r="AO66" s="44"/>
      <c r="AP66" s="44"/>
      <c r="AR66" s="115"/>
    </row>
    <row r="67" spans="1:44" hidden="1" x14ac:dyDescent="0.25">
      <c r="C67" s="148"/>
      <c r="D67" s="134" t="s">
        <v>0</v>
      </c>
      <c r="E67" s="148"/>
      <c r="F67" s="108"/>
      <c r="G67" s="149" t="s">
        <v>0</v>
      </c>
      <c r="H67" s="148"/>
      <c r="I67" s="111" t="s">
        <v>0</v>
      </c>
      <c r="J67" s="111"/>
      <c r="K67" s="149" t="s">
        <v>0</v>
      </c>
      <c r="L67" s="148"/>
      <c r="M67" s="111" t="s">
        <v>0</v>
      </c>
      <c r="N67" s="111"/>
      <c r="O67" s="149" t="s">
        <v>0</v>
      </c>
      <c r="P67" s="148"/>
      <c r="Q67" s="111" t="s">
        <v>0</v>
      </c>
      <c r="R67" s="111"/>
      <c r="S67" s="149" t="s">
        <v>0</v>
      </c>
      <c r="T67" s="148"/>
      <c r="U67" s="111" t="s">
        <v>0</v>
      </c>
      <c r="V67" s="44"/>
      <c r="W67" s="91"/>
      <c r="X67" s="91"/>
      <c r="Y67" s="91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R67" s="115"/>
    </row>
    <row r="68" spans="1:44" hidden="1" x14ac:dyDescent="0.25">
      <c r="A68" s="107" t="s">
        <v>77</v>
      </c>
      <c r="F68" s="108"/>
      <c r="V68" s="44"/>
      <c r="W68" s="91"/>
      <c r="X68" s="91"/>
      <c r="Y68" s="91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R68" s="115"/>
    </row>
    <row r="69" spans="1:44" hidden="1" x14ac:dyDescent="0.25">
      <c r="A69" s="92" t="s">
        <v>100</v>
      </c>
      <c r="F69" s="108"/>
      <c r="V69" s="155"/>
      <c r="W69" s="155"/>
      <c r="X69" s="155"/>
      <c r="Y69" s="155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  <c r="AJ69" s="155"/>
      <c r="AK69" s="155"/>
      <c r="AL69" s="44"/>
      <c r="AM69" s="44"/>
      <c r="AN69" s="44"/>
      <c r="AO69" s="44"/>
      <c r="AP69" s="44"/>
      <c r="AR69" s="115"/>
    </row>
    <row r="70" spans="1:44" hidden="1" x14ac:dyDescent="0.25">
      <c r="F70" s="108"/>
      <c r="V70" s="155"/>
      <c r="W70" s="155"/>
      <c r="X70" s="155"/>
      <c r="Y70" s="155"/>
      <c r="Z70" s="155"/>
      <c r="AA70" s="155"/>
      <c r="AB70" s="155"/>
      <c r="AC70" s="155"/>
      <c r="AD70" s="155"/>
      <c r="AE70" s="155"/>
      <c r="AF70" s="155"/>
      <c r="AG70" s="155"/>
      <c r="AH70" s="155"/>
      <c r="AI70" s="155"/>
      <c r="AJ70" s="155"/>
      <c r="AK70" s="155"/>
      <c r="AL70" s="44"/>
      <c r="AM70" s="44"/>
      <c r="AN70" s="44"/>
      <c r="AO70" s="44"/>
      <c r="AP70" s="44"/>
      <c r="AR70" s="115"/>
    </row>
    <row r="71" spans="1:44" hidden="1" x14ac:dyDescent="0.25">
      <c r="A71" s="92" t="s">
        <v>79</v>
      </c>
      <c r="F71" s="108"/>
      <c r="V71" s="155"/>
      <c r="W71" s="155"/>
      <c r="X71" s="91"/>
      <c r="Y71" s="91"/>
      <c r="Z71" s="156"/>
      <c r="AA71" s="156"/>
      <c r="AB71" s="157"/>
      <c r="AC71" s="157"/>
      <c r="AD71" s="157"/>
      <c r="AE71" s="157"/>
      <c r="AF71" s="158"/>
      <c r="AG71" s="159"/>
      <c r="AH71" s="155"/>
      <c r="AI71" s="155"/>
      <c r="AJ71" s="155"/>
      <c r="AK71" s="155"/>
      <c r="AL71" s="44"/>
      <c r="AM71" s="44"/>
      <c r="AN71" s="44"/>
      <c r="AO71" s="44"/>
      <c r="AP71" s="44"/>
      <c r="AR71" s="115"/>
    </row>
    <row r="72" spans="1:44" hidden="1" x14ac:dyDescent="0.25">
      <c r="A72" s="92" t="s">
        <v>80</v>
      </c>
      <c r="C72" s="109">
        <v>604.99709761288204</v>
      </c>
      <c r="D72" s="110">
        <v>10.98</v>
      </c>
      <c r="F72" s="111">
        <f>D72*C72</f>
        <v>6642.8681317894452</v>
      </c>
      <c r="G72" s="110">
        <f>$G$15</f>
        <v>11.24</v>
      </c>
      <c r="I72" s="111">
        <f t="shared" ref="I72:I74" si="9">(G72*$C72)</f>
        <v>6800.1673771687947</v>
      </c>
      <c r="J72" s="111"/>
      <c r="K72" s="110" t="e">
        <f>K15</f>
        <v>#DIV/0!</v>
      </c>
      <c r="M72" s="111" t="e">
        <f t="shared" ref="M72:M74" si="10">(K72*$C72)</f>
        <v>#DIV/0!</v>
      </c>
      <c r="N72" s="111"/>
      <c r="O72" s="110" t="e">
        <f>O15</f>
        <v>#DIV/0!</v>
      </c>
      <c r="Q72" s="111" t="e">
        <f t="shared" ref="Q72:Q74" si="11">(O72*$C72)</f>
        <v>#DIV/0!</v>
      </c>
      <c r="R72" s="111"/>
      <c r="S72" s="110" t="e">
        <f>S15</f>
        <v>#DIV/0!</v>
      </c>
      <c r="U72" s="111" t="e">
        <f t="shared" ref="U72:U74" si="12">(S72*$C72)</f>
        <v>#DIV/0!</v>
      </c>
      <c r="V72" s="44"/>
      <c r="W72" s="158"/>
      <c r="X72" s="91"/>
      <c r="Y72" s="91"/>
      <c r="Z72" s="155"/>
      <c r="AA72" s="155"/>
      <c r="AB72" s="160"/>
      <c r="AC72" s="160"/>
      <c r="AD72" s="160"/>
      <c r="AE72" s="160"/>
      <c r="AF72" s="161"/>
      <c r="AG72" s="155"/>
      <c r="AH72" s="158"/>
      <c r="AI72" s="158"/>
      <c r="AJ72" s="162"/>
      <c r="AK72" s="158"/>
      <c r="AL72" s="44"/>
      <c r="AM72" s="44"/>
      <c r="AN72" s="44"/>
      <c r="AO72" s="44"/>
      <c r="AP72" s="44"/>
      <c r="AR72" s="115"/>
    </row>
    <row r="73" spans="1:44" hidden="1" x14ac:dyDescent="0.25">
      <c r="A73" s="92" t="s">
        <v>81</v>
      </c>
      <c r="C73" s="109">
        <v>401.56488078949502</v>
      </c>
      <c r="D73" s="110">
        <v>20.88</v>
      </c>
      <c r="F73" s="111">
        <f>D73*C73</f>
        <v>8384.6747108846557</v>
      </c>
      <c r="G73" s="110">
        <f>$G$16</f>
        <v>21.369999999999997</v>
      </c>
      <c r="I73" s="111">
        <f t="shared" si="9"/>
        <v>8581.4415024715072</v>
      </c>
      <c r="J73" s="111"/>
      <c r="K73" s="110" t="e">
        <f>K16</f>
        <v>#DIV/0!</v>
      </c>
      <c r="M73" s="111" t="e">
        <f t="shared" si="10"/>
        <v>#DIV/0!</v>
      </c>
      <c r="N73" s="111"/>
      <c r="O73" s="110" t="e">
        <f>O16</f>
        <v>#DIV/0!</v>
      </c>
      <c r="Q73" s="111" t="e">
        <f t="shared" si="11"/>
        <v>#DIV/0!</v>
      </c>
      <c r="R73" s="111"/>
      <c r="S73" s="110" t="e">
        <f>S16</f>
        <v>#DIV/0!</v>
      </c>
      <c r="U73" s="111" t="e">
        <f t="shared" si="12"/>
        <v>#DIV/0!</v>
      </c>
      <c r="V73" s="44"/>
      <c r="W73" s="158"/>
      <c r="X73" s="91"/>
      <c r="Y73" s="91"/>
      <c r="Z73" s="44"/>
      <c r="AA73" s="44"/>
      <c r="AB73" s="163"/>
      <c r="AC73" s="163"/>
      <c r="AD73" s="163"/>
      <c r="AE73" s="163"/>
      <c r="AF73" s="155"/>
      <c r="AG73" s="155"/>
      <c r="AH73" s="158"/>
      <c r="AI73" s="158"/>
      <c r="AJ73" s="162"/>
      <c r="AK73" s="158"/>
      <c r="AL73" s="44"/>
      <c r="AM73" s="44"/>
      <c r="AN73" s="44"/>
      <c r="AO73" s="44"/>
      <c r="AP73" s="44"/>
      <c r="AR73" s="115"/>
    </row>
    <row r="74" spans="1:44" hidden="1" x14ac:dyDescent="0.25">
      <c r="A74" s="92" t="s">
        <v>82</v>
      </c>
      <c r="C74" s="109">
        <v>37.033422524669703</v>
      </c>
      <c r="D74" s="110">
        <v>43.21</v>
      </c>
      <c r="F74" s="111">
        <f>D74*C74</f>
        <v>1600.2141872909779</v>
      </c>
      <c r="G74" s="110">
        <f>$G$17</f>
        <v>44.25</v>
      </c>
      <c r="I74" s="111">
        <f t="shared" si="9"/>
        <v>1638.7289467166343</v>
      </c>
      <c r="J74" s="111"/>
      <c r="K74" s="110" t="e">
        <f>K17</f>
        <v>#DIV/0!</v>
      </c>
      <c r="M74" s="111" t="e">
        <f t="shared" si="10"/>
        <v>#DIV/0!</v>
      </c>
      <c r="N74" s="111"/>
      <c r="O74" s="110" t="e">
        <f>O17</f>
        <v>#DIV/0!</v>
      </c>
      <c r="Q74" s="111" t="e">
        <f t="shared" si="11"/>
        <v>#DIV/0!</v>
      </c>
      <c r="R74" s="111"/>
      <c r="S74" s="110" t="e">
        <f>S17</f>
        <v>#DIV/0!</v>
      </c>
      <c r="U74" s="111" t="e">
        <f t="shared" si="12"/>
        <v>#DIV/0!</v>
      </c>
      <c r="V74" s="44"/>
      <c r="W74" s="158"/>
      <c r="X74" s="91"/>
      <c r="Y74" s="91"/>
      <c r="Z74" s="44"/>
      <c r="AA74" s="44"/>
      <c r="AB74" s="163"/>
      <c r="AC74" s="163"/>
      <c r="AD74" s="163"/>
      <c r="AE74" s="163"/>
      <c r="AF74" s="155"/>
      <c r="AG74" s="155"/>
      <c r="AH74" s="158"/>
      <c r="AI74" s="158"/>
      <c r="AJ74" s="162"/>
      <c r="AK74" s="158"/>
      <c r="AL74" s="44"/>
      <c r="AM74" s="44"/>
      <c r="AN74" s="44"/>
      <c r="AO74" s="44"/>
      <c r="AP74" s="44"/>
      <c r="AR74" s="115"/>
    </row>
    <row r="75" spans="1:44" hidden="1" x14ac:dyDescent="0.25">
      <c r="A75" s="92" t="s">
        <v>83</v>
      </c>
      <c r="C75" s="109"/>
      <c r="D75" s="110"/>
      <c r="F75" s="111"/>
      <c r="G75" s="110"/>
      <c r="I75" s="111"/>
      <c r="J75" s="111"/>
      <c r="K75" s="110"/>
      <c r="M75" s="111"/>
      <c r="N75" s="111"/>
      <c r="O75" s="110"/>
      <c r="Q75" s="111"/>
      <c r="R75" s="111"/>
      <c r="S75" s="110"/>
      <c r="U75" s="111"/>
      <c r="V75" s="44"/>
      <c r="W75" s="158"/>
      <c r="X75" s="91"/>
      <c r="Y75" s="91"/>
      <c r="Z75" s="44"/>
      <c r="AA75" s="44"/>
      <c r="AB75" s="163"/>
      <c r="AC75" s="163"/>
      <c r="AD75" s="163"/>
      <c r="AE75" s="163"/>
      <c r="AF75" s="155"/>
      <c r="AG75" s="155"/>
      <c r="AH75" s="158"/>
      <c r="AI75" s="158"/>
      <c r="AJ75" s="162"/>
      <c r="AK75" s="158"/>
      <c r="AL75" s="44"/>
      <c r="AM75" s="44"/>
      <c r="AN75" s="44"/>
      <c r="AO75" s="44"/>
      <c r="AP75" s="44"/>
      <c r="AR75" s="115"/>
    </row>
    <row r="76" spans="1:44" hidden="1" x14ac:dyDescent="0.25">
      <c r="A76" s="92" t="s">
        <v>84</v>
      </c>
      <c r="C76" s="109">
        <v>12</v>
      </c>
      <c r="D76" s="110">
        <v>12.48</v>
      </c>
      <c r="F76" s="111">
        <f>D76*C76</f>
        <v>149.76</v>
      </c>
      <c r="G76" s="110">
        <f>$G$19</f>
        <v>12.77</v>
      </c>
      <c r="I76" s="111">
        <f t="shared" ref="I76:I79" si="13">(G76*$C76)</f>
        <v>153.24</v>
      </c>
      <c r="J76" s="111"/>
      <c r="K76" s="110" t="e">
        <f>K19</f>
        <v>#DIV/0!</v>
      </c>
      <c r="M76" s="111" t="e">
        <f t="shared" ref="M76:M79" si="14">(K76*$C76)</f>
        <v>#DIV/0!</v>
      </c>
      <c r="N76" s="111"/>
      <c r="O76" s="110" t="e">
        <f>O19</f>
        <v>#DIV/0!</v>
      </c>
      <c r="Q76" s="111" t="e">
        <f t="shared" ref="Q76:Q79" si="15">(O76*$C76)</f>
        <v>#DIV/0!</v>
      </c>
      <c r="R76" s="111"/>
      <c r="S76" s="110" t="e">
        <f>S19</f>
        <v>#DIV/0!</v>
      </c>
      <c r="U76" s="111" t="e">
        <f t="shared" ref="U76:U79" si="16">(S76*$C76)</f>
        <v>#DIV/0!</v>
      </c>
      <c r="V76" s="44"/>
      <c r="W76" s="158"/>
      <c r="X76" s="91"/>
      <c r="Y76" s="91"/>
      <c r="Z76" s="44"/>
      <c r="AA76" s="44"/>
      <c r="AB76" s="163"/>
      <c r="AC76" s="163"/>
      <c r="AD76" s="163"/>
      <c r="AE76" s="163"/>
      <c r="AF76" s="155"/>
      <c r="AG76" s="155"/>
      <c r="AH76" s="158"/>
      <c r="AI76" s="158"/>
      <c r="AJ76" s="162"/>
      <c r="AK76" s="158"/>
      <c r="AL76" s="44"/>
      <c r="AM76" s="44"/>
      <c r="AN76" s="44"/>
      <c r="AO76" s="44"/>
      <c r="AP76" s="44"/>
      <c r="AR76" s="115"/>
    </row>
    <row r="77" spans="1:44" hidden="1" x14ac:dyDescent="0.25">
      <c r="A77" s="92" t="s">
        <v>85</v>
      </c>
      <c r="C77" s="109">
        <v>96.000818853397803</v>
      </c>
      <c r="D77" s="110">
        <v>18.329999999999998</v>
      </c>
      <c r="F77" s="111">
        <f>D77*C77</f>
        <v>1759.6950095827815</v>
      </c>
      <c r="G77" s="110">
        <f>$G$20</f>
        <v>18.759999999999998</v>
      </c>
      <c r="I77" s="111">
        <f t="shared" si="13"/>
        <v>1800.9753616897426</v>
      </c>
      <c r="J77" s="111"/>
      <c r="K77" s="110" t="e">
        <f>K20</f>
        <v>#DIV/0!</v>
      </c>
      <c r="M77" s="111" t="e">
        <f t="shared" si="14"/>
        <v>#DIV/0!</v>
      </c>
      <c r="N77" s="111"/>
      <c r="O77" s="110" t="e">
        <f>O20</f>
        <v>#DIV/0!</v>
      </c>
      <c r="Q77" s="111" t="e">
        <f t="shared" si="15"/>
        <v>#DIV/0!</v>
      </c>
      <c r="R77" s="111"/>
      <c r="S77" s="110" t="e">
        <f>S20</f>
        <v>#DIV/0!</v>
      </c>
      <c r="U77" s="111" t="e">
        <f t="shared" si="16"/>
        <v>#DIV/0!</v>
      </c>
      <c r="V77" s="44"/>
      <c r="W77" s="158"/>
      <c r="X77" s="91"/>
      <c r="Y77" s="91"/>
      <c r="Z77" s="44"/>
      <c r="AA77" s="44"/>
      <c r="AB77" s="163"/>
      <c r="AC77" s="163"/>
      <c r="AD77" s="163"/>
      <c r="AE77" s="163"/>
      <c r="AF77" s="155"/>
      <c r="AG77" s="155"/>
      <c r="AH77" s="158"/>
      <c r="AI77" s="158"/>
      <c r="AJ77" s="162"/>
      <c r="AK77" s="158"/>
      <c r="AL77" s="44"/>
      <c r="AM77" s="44"/>
      <c r="AN77" s="44"/>
      <c r="AO77" s="44"/>
      <c r="AP77" s="44"/>
      <c r="AR77" s="115"/>
    </row>
    <row r="78" spans="1:44" hidden="1" x14ac:dyDescent="0.25">
      <c r="A78" s="92" t="s">
        <v>86</v>
      </c>
      <c r="C78" s="109">
        <v>2.0666895840495001</v>
      </c>
      <c r="D78" s="110">
        <v>29.57</v>
      </c>
      <c r="F78" s="111">
        <f>D78*C78</f>
        <v>61.11201100034372</v>
      </c>
      <c r="G78" s="110">
        <f>$G$21</f>
        <v>30.28</v>
      </c>
      <c r="I78" s="111">
        <f t="shared" si="13"/>
        <v>62.579360605018863</v>
      </c>
      <c r="J78" s="111"/>
      <c r="K78" s="110" t="e">
        <f>K21</f>
        <v>#DIV/0!</v>
      </c>
      <c r="M78" s="111" t="e">
        <f t="shared" si="14"/>
        <v>#DIV/0!</v>
      </c>
      <c r="N78" s="111"/>
      <c r="O78" s="110" t="e">
        <f>O21</f>
        <v>#DIV/0!</v>
      </c>
      <c r="Q78" s="111" t="e">
        <f t="shared" si="15"/>
        <v>#DIV/0!</v>
      </c>
      <c r="R78" s="111"/>
      <c r="S78" s="110" t="e">
        <f>S21</f>
        <v>#DIV/0!</v>
      </c>
      <c r="U78" s="111" t="e">
        <f t="shared" si="16"/>
        <v>#DIV/0!</v>
      </c>
      <c r="V78" s="44"/>
      <c r="W78" s="158"/>
      <c r="X78" s="91"/>
      <c r="Y78" s="91"/>
      <c r="Z78" s="44"/>
      <c r="AA78" s="44"/>
      <c r="AB78" s="163"/>
      <c r="AC78" s="163"/>
      <c r="AD78" s="163"/>
      <c r="AE78" s="163"/>
      <c r="AF78" s="155"/>
      <c r="AG78" s="155"/>
      <c r="AH78" s="158"/>
      <c r="AI78" s="158"/>
      <c r="AJ78" s="162"/>
      <c r="AK78" s="158"/>
      <c r="AL78" s="44"/>
      <c r="AM78" s="44"/>
      <c r="AN78" s="44"/>
      <c r="AO78" s="44"/>
      <c r="AP78" s="44"/>
      <c r="AR78" s="115"/>
    </row>
    <row r="79" spans="1:44" hidden="1" x14ac:dyDescent="0.25">
      <c r="A79" s="92" t="s">
        <v>87</v>
      </c>
      <c r="C79" s="109">
        <v>131.99965205054301</v>
      </c>
      <c r="D79" s="110">
        <v>1</v>
      </c>
      <c r="E79" s="44"/>
      <c r="F79" s="111">
        <f>D79*C79</f>
        <v>131.99965205054301</v>
      </c>
      <c r="G79" s="128">
        <f>$G$22</f>
        <v>1</v>
      </c>
      <c r="H79" s="44"/>
      <c r="I79" s="111">
        <f t="shared" si="13"/>
        <v>131.99965205054301</v>
      </c>
      <c r="J79" s="111"/>
      <c r="K79" s="110">
        <f>K22</f>
        <v>1</v>
      </c>
      <c r="L79" s="44"/>
      <c r="M79" s="111">
        <f t="shared" si="14"/>
        <v>131.99965205054301</v>
      </c>
      <c r="N79" s="111"/>
      <c r="O79" s="110" t="str">
        <f>O22</f>
        <v xml:space="preserve"> </v>
      </c>
      <c r="P79" s="44"/>
      <c r="Q79" s="111">
        <f t="shared" si="15"/>
        <v>0</v>
      </c>
      <c r="R79" s="111"/>
      <c r="S79" s="110" t="str">
        <f>S22</f>
        <v xml:space="preserve"> </v>
      </c>
      <c r="T79" s="44"/>
      <c r="U79" s="111">
        <f t="shared" si="16"/>
        <v>0</v>
      </c>
      <c r="V79" s="155"/>
      <c r="W79" s="158"/>
      <c r="X79" s="91"/>
      <c r="Y79" s="91"/>
      <c r="Z79" s="44"/>
      <c r="AA79" s="44"/>
      <c r="AB79" s="155"/>
      <c r="AC79" s="155"/>
      <c r="AD79" s="155"/>
      <c r="AE79" s="155"/>
      <c r="AF79" s="155"/>
      <c r="AG79" s="155"/>
      <c r="AH79" s="158"/>
      <c r="AI79" s="158"/>
      <c r="AJ79" s="158"/>
      <c r="AK79" s="158"/>
      <c r="AL79" s="44"/>
      <c r="AM79" s="44"/>
      <c r="AN79" s="44"/>
      <c r="AO79" s="44"/>
      <c r="AP79" s="44"/>
      <c r="AR79" s="115"/>
    </row>
    <row r="80" spans="1:44" s="120" customFormat="1" hidden="1" x14ac:dyDescent="0.25">
      <c r="A80" s="119" t="s">
        <v>98</v>
      </c>
      <c r="C80" s="121">
        <f>C82</f>
        <v>140168</v>
      </c>
      <c r="D80" s="110">
        <v>0</v>
      </c>
      <c r="E80" s="122"/>
      <c r="F80" s="123"/>
      <c r="G80" s="124">
        <f>G23</f>
        <v>0</v>
      </c>
      <c r="H80" s="125" t="s">
        <v>89</v>
      </c>
      <c r="I80" s="123">
        <f>G80*C80/100</f>
        <v>0</v>
      </c>
      <c r="J80" s="123"/>
      <c r="K80" s="124" t="str">
        <f>K23</f>
        <v xml:space="preserve"> </v>
      </c>
      <c r="L80" s="125" t="s">
        <v>89</v>
      </c>
      <c r="M80" s="123" t="e">
        <f>K80*#REF!/100</f>
        <v>#REF!</v>
      </c>
      <c r="N80" s="123"/>
      <c r="O80" s="124" t="str">
        <f>O23</f>
        <v xml:space="preserve"> </v>
      </c>
      <c r="P80" s="125" t="s">
        <v>89</v>
      </c>
      <c r="Q80" s="123">
        <f>O80*G80/100</f>
        <v>0</v>
      </c>
      <c r="R80" s="123"/>
      <c r="S80" s="124">
        <f>S23</f>
        <v>0</v>
      </c>
      <c r="T80" s="125" t="s">
        <v>89</v>
      </c>
      <c r="U80" s="123">
        <f>S80*C80/100</f>
        <v>0</v>
      </c>
      <c r="W80" s="112"/>
      <c r="Z80" s="127"/>
      <c r="AA80" s="127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R80" s="126"/>
    </row>
    <row r="81" spans="1:44" hidden="1" x14ac:dyDescent="0.25">
      <c r="A81" s="92" t="s">
        <v>90</v>
      </c>
      <c r="C81" s="109">
        <v>641</v>
      </c>
      <c r="D81" s="110"/>
      <c r="F81" s="111"/>
      <c r="G81" s="110"/>
      <c r="I81" s="111"/>
      <c r="J81" s="111"/>
      <c r="K81" s="110"/>
      <c r="M81" s="111"/>
      <c r="N81" s="111"/>
      <c r="O81" s="110"/>
      <c r="Q81" s="111"/>
      <c r="R81" s="111"/>
      <c r="S81" s="110"/>
      <c r="U81" s="111"/>
      <c r="V81" s="155"/>
      <c r="W81" s="155"/>
      <c r="X81" s="155"/>
      <c r="Y81" s="155"/>
      <c r="Z81" s="155"/>
      <c r="AA81" s="155"/>
      <c r="AB81" s="155"/>
      <c r="AC81" s="155"/>
      <c r="AD81" s="155"/>
      <c r="AE81" s="155"/>
      <c r="AF81" s="155"/>
      <c r="AG81" s="155"/>
      <c r="AH81" s="164"/>
      <c r="AI81" s="155"/>
      <c r="AJ81" s="155"/>
      <c r="AK81" s="155"/>
      <c r="AL81" s="44"/>
      <c r="AM81" s="44"/>
      <c r="AN81" s="44"/>
      <c r="AO81" s="44"/>
      <c r="AP81" s="44"/>
      <c r="AR81" s="115"/>
    </row>
    <row r="82" spans="1:44" hidden="1" x14ac:dyDescent="0.25">
      <c r="A82" s="92" t="s">
        <v>91</v>
      </c>
      <c r="C82" s="109">
        <v>140168</v>
      </c>
      <c r="D82" s="128"/>
      <c r="E82" s="44"/>
      <c r="F82" s="131">
        <f>SUM(F72:F79)</f>
        <v>18730.323702598747</v>
      </c>
      <c r="G82" s="128"/>
      <c r="H82" s="44"/>
      <c r="I82" s="131">
        <f>SUM(I72:I80)</f>
        <v>19169.132200702243</v>
      </c>
      <c r="J82" s="131"/>
      <c r="K82" s="128"/>
      <c r="L82" s="44"/>
      <c r="M82" s="131" t="e">
        <f>SUM(M72:M80)</f>
        <v>#DIV/0!</v>
      </c>
      <c r="N82" s="131"/>
      <c r="O82" s="128"/>
      <c r="P82" s="44"/>
      <c r="Q82" s="131" t="e">
        <f>SUM(Q72:Q80)</f>
        <v>#DIV/0!</v>
      </c>
      <c r="R82" s="131"/>
      <c r="S82" s="128"/>
      <c r="T82" s="44"/>
      <c r="U82" s="131" t="e">
        <f>SUM(U72:U80)</f>
        <v>#DIV/0!</v>
      </c>
      <c r="V82" s="155"/>
      <c r="W82" s="163"/>
      <c r="X82" s="155"/>
      <c r="Y82" s="155"/>
      <c r="Z82" s="44"/>
      <c r="AA82" s="44"/>
      <c r="AB82" s="44"/>
      <c r="AC82" s="44"/>
      <c r="AD82" s="44"/>
      <c r="AE82" s="44"/>
      <c r="AF82" s="44"/>
      <c r="AG82" s="155"/>
      <c r="AH82" s="155"/>
      <c r="AI82" s="155"/>
      <c r="AJ82" s="155"/>
      <c r="AK82" s="155"/>
      <c r="AL82" s="44"/>
      <c r="AM82" s="44"/>
      <c r="AN82" s="44"/>
      <c r="AO82" s="44"/>
      <c r="AP82" s="44"/>
      <c r="AR82" s="115"/>
    </row>
    <row r="83" spans="1:44" hidden="1" x14ac:dyDescent="0.25">
      <c r="A83" s="92" t="s">
        <v>92</v>
      </c>
      <c r="C83" s="109">
        <v>435.81097248984889</v>
      </c>
      <c r="D83" s="128"/>
      <c r="E83" s="44"/>
      <c r="F83" s="131">
        <v>59.072572994694113</v>
      </c>
      <c r="G83" s="128"/>
      <c r="H83" s="44"/>
      <c r="I83" s="131">
        <f>F83</f>
        <v>59.072572994694113</v>
      </c>
      <c r="J83" s="131"/>
      <c r="K83" s="128"/>
      <c r="L83" s="44"/>
      <c r="M83" s="131" t="e">
        <f>M26/I26*I83</f>
        <v>#DIV/0!</v>
      </c>
      <c r="N83" s="131"/>
      <c r="O83" s="128"/>
      <c r="P83" s="44"/>
      <c r="Q83" s="131" t="e">
        <f>Q26/I26*I83</f>
        <v>#DIV/0!</v>
      </c>
      <c r="R83" s="131"/>
      <c r="S83" s="128"/>
      <c r="T83" s="44"/>
      <c r="U83" s="131" t="e">
        <f>U26/I26*I83</f>
        <v>#DIV/0!</v>
      </c>
      <c r="V83" s="165"/>
      <c r="W83" s="163"/>
      <c r="X83" s="155"/>
      <c r="Y83" s="155"/>
      <c r="Z83" s="155"/>
      <c r="AA83" s="155"/>
      <c r="AB83" s="160"/>
      <c r="AC83" s="160"/>
      <c r="AD83" s="160"/>
      <c r="AE83" s="160"/>
      <c r="AF83" s="158"/>
      <c r="AG83" s="155"/>
      <c r="AH83" s="155"/>
      <c r="AI83" s="155"/>
      <c r="AJ83" s="155"/>
      <c r="AK83" s="155"/>
      <c r="AL83" s="44"/>
      <c r="AM83" s="44"/>
      <c r="AN83" s="44"/>
      <c r="AO83" s="44"/>
      <c r="AP83" s="44"/>
      <c r="AR83" s="115"/>
    </row>
    <row r="84" spans="1:44" ht="16.5" hidden="1" thickBot="1" x14ac:dyDescent="0.3">
      <c r="A84" s="92" t="s">
        <v>93</v>
      </c>
      <c r="C84" s="136">
        <f>C82+C83</f>
        <v>140603.81097248985</v>
      </c>
      <c r="D84" s="137"/>
      <c r="E84" s="138"/>
      <c r="F84" s="138">
        <f>F82+F83</f>
        <v>18789.396275593441</v>
      </c>
      <c r="G84" s="137"/>
      <c r="H84" s="138"/>
      <c r="I84" s="138">
        <f>I82+I83</f>
        <v>19228.204773696936</v>
      </c>
      <c r="J84" s="133"/>
      <c r="K84" s="137"/>
      <c r="L84" s="138"/>
      <c r="M84" s="138" t="e">
        <f>M82+M83</f>
        <v>#DIV/0!</v>
      </c>
      <c r="N84" s="137"/>
      <c r="O84" s="137"/>
      <c r="P84" s="138"/>
      <c r="Q84" s="138" t="e">
        <f>Q82+Q83</f>
        <v>#DIV/0!</v>
      </c>
      <c r="R84" s="137"/>
      <c r="S84" s="137"/>
      <c r="T84" s="138"/>
      <c r="U84" s="138" t="e">
        <f>U82+U83</f>
        <v>#DIV/0!</v>
      </c>
      <c r="V84" s="166"/>
      <c r="W84" s="167"/>
      <c r="X84" s="155"/>
      <c r="Y84" s="155"/>
      <c r="Z84" s="155"/>
      <c r="AA84" s="155"/>
      <c r="AB84" s="155"/>
      <c r="AC84" s="155"/>
      <c r="AD84" s="155"/>
      <c r="AE84" s="155"/>
      <c r="AF84" s="155"/>
      <c r="AG84" s="155"/>
      <c r="AH84" s="155"/>
      <c r="AI84" s="155"/>
      <c r="AJ84" s="155"/>
      <c r="AK84" s="155"/>
      <c r="AL84" s="44"/>
      <c r="AM84" s="44"/>
      <c r="AN84" s="44"/>
      <c r="AO84" s="44"/>
      <c r="AP84" s="44"/>
      <c r="AR84" s="115"/>
    </row>
    <row r="85" spans="1:44" hidden="1" x14ac:dyDescent="0.25">
      <c r="C85" s="148"/>
      <c r="D85" s="134" t="s">
        <v>0</v>
      </c>
      <c r="E85" s="148"/>
      <c r="F85" s="108"/>
      <c r="G85" s="149" t="s">
        <v>0</v>
      </c>
      <c r="H85" s="148"/>
      <c r="I85" s="111" t="s">
        <v>0</v>
      </c>
      <c r="J85" s="111"/>
      <c r="K85" s="149" t="s">
        <v>0</v>
      </c>
      <c r="L85" s="148"/>
      <c r="M85" s="111" t="s">
        <v>0</v>
      </c>
      <c r="N85" s="111"/>
      <c r="O85" s="149" t="s">
        <v>0</v>
      </c>
      <c r="P85" s="148"/>
      <c r="Q85" s="111" t="s">
        <v>0</v>
      </c>
      <c r="R85" s="111"/>
      <c r="S85" s="149" t="s">
        <v>0</v>
      </c>
      <c r="T85" s="148"/>
      <c r="U85" s="111" t="s">
        <v>0</v>
      </c>
      <c r="V85" s="44"/>
      <c r="W85" s="91"/>
      <c r="X85" s="91"/>
      <c r="Y85" s="91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R85" s="115"/>
    </row>
    <row r="86" spans="1:44" x14ac:dyDescent="0.25">
      <c r="A86" s="168" t="s">
        <v>101</v>
      </c>
      <c r="B86" s="149"/>
      <c r="C86" s="149"/>
      <c r="D86" s="169"/>
      <c r="E86" s="149"/>
      <c r="F86" s="149"/>
      <c r="G86" s="169"/>
      <c r="H86" s="149"/>
      <c r="I86" s="149"/>
      <c r="J86" s="149"/>
      <c r="K86" s="169"/>
      <c r="L86" s="149"/>
      <c r="M86" s="149"/>
      <c r="N86" s="149"/>
      <c r="O86" s="169"/>
      <c r="P86" s="149"/>
      <c r="Q86" s="149"/>
      <c r="R86" s="149"/>
      <c r="S86" s="169"/>
      <c r="T86" s="149"/>
      <c r="U86" s="149"/>
      <c r="V86" s="44"/>
      <c r="W86" s="91"/>
      <c r="X86" s="91"/>
      <c r="Y86" s="91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R86" s="115"/>
    </row>
    <row r="87" spans="1:44" x14ac:dyDescent="0.25">
      <c r="A87" s="149" t="s">
        <v>102</v>
      </c>
      <c r="B87" s="149"/>
      <c r="C87" s="149"/>
      <c r="D87" s="169"/>
      <c r="E87" s="149"/>
      <c r="F87" s="149"/>
      <c r="G87" s="169"/>
      <c r="H87" s="149"/>
      <c r="I87" s="149"/>
      <c r="J87" s="149"/>
      <c r="K87" s="169"/>
      <c r="L87" s="149"/>
      <c r="M87" s="149"/>
      <c r="N87" s="149"/>
      <c r="O87" s="169"/>
      <c r="P87" s="149"/>
      <c r="Q87" s="149"/>
      <c r="R87" s="149"/>
      <c r="S87" s="169"/>
      <c r="T87" s="149"/>
      <c r="U87" s="149"/>
      <c r="V87" s="170"/>
      <c r="W87" s="91"/>
      <c r="X87" s="91"/>
      <c r="Y87" s="91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R87" s="115"/>
    </row>
    <row r="88" spans="1:44" x14ac:dyDescent="0.25">
      <c r="A88" s="171"/>
      <c r="B88" s="149"/>
      <c r="C88" s="149"/>
      <c r="D88" s="169"/>
      <c r="E88" s="149"/>
      <c r="F88" s="149"/>
      <c r="G88" s="169"/>
      <c r="H88" s="149"/>
      <c r="I88" s="149"/>
      <c r="J88" s="149"/>
      <c r="K88" s="169"/>
      <c r="L88" s="149"/>
      <c r="M88" s="149"/>
      <c r="N88" s="149"/>
      <c r="O88" s="169"/>
      <c r="P88" s="149"/>
      <c r="Q88" s="149"/>
      <c r="R88" s="149"/>
      <c r="S88" s="169"/>
      <c r="T88" s="149"/>
      <c r="U88" s="149"/>
      <c r="V88" s="44"/>
      <c r="W88" s="91"/>
      <c r="X88" s="172" t="s">
        <v>103</v>
      </c>
      <c r="Y88" s="172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R88" s="115"/>
    </row>
    <row r="89" spans="1:44" x14ac:dyDescent="0.25">
      <c r="A89" s="149" t="s">
        <v>104</v>
      </c>
      <c r="B89" s="149"/>
      <c r="C89" s="169">
        <f>C108+C123+C138+C153</f>
        <v>1263103.7974192717</v>
      </c>
      <c r="D89" s="173">
        <v>7.75</v>
      </c>
      <c r="E89" s="149"/>
      <c r="F89" s="111">
        <f>F108+F123+F138+F153</f>
        <v>9789055</v>
      </c>
      <c r="G89" s="173">
        <v>7.75</v>
      </c>
      <c r="H89" s="149"/>
      <c r="I89" s="111">
        <f>I108+I123+I138+I153</f>
        <v>9789055</v>
      </c>
      <c r="J89" s="111"/>
      <c r="K89" s="173">
        <v>7.75</v>
      </c>
      <c r="L89" s="149"/>
      <c r="M89" s="111">
        <f>M108+M123+M138+M153</f>
        <v>9789054.4299993571</v>
      </c>
      <c r="N89" s="111"/>
      <c r="O89" s="173" t="s">
        <v>0</v>
      </c>
      <c r="P89" s="149"/>
      <c r="Q89" s="111">
        <f>O89*C89</f>
        <v>0</v>
      </c>
      <c r="R89" s="111"/>
      <c r="S89" s="173" t="s">
        <v>0</v>
      </c>
      <c r="T89" s="149"/>
      <c r="U89" s="111">
        <f>S89*C89</f>
        <v>0</v>
      </c>
      <c r="X89" s="52">
        <f>(G89-D89)/D89</f>
        <v>0</v>
      </c>
      <c r="Y89" s="174" t="s">
        <v>0</v>
      </c>
      <c r="AK89" s="44"/>
      <c r="AL89" s="44"/>
      <c r="AM89" s="44"/>
      <c r="AN89" s="44"/>
      <c r="AO89" s="44"/>
      <c r="AP89" s="44"/>
      <c r="AR89" s="115"/>
    </row>
    <row r="90" spans="1:44" x14ac:dyDescent="0.25">
      <c r="A90" s="149" t="s">
        <v>105</v>
      </c>
      <c r="B90" s="149"/>
      <c r="C90" s="169">
        <f>C109+C124+C139+C154</f>
        <v>706991944.07558155</v>
      </c>
      <c r="D90" s="175">
        <v>6.548</v>
      </c>
      <c r="E90" s="149" t="s">
        <v>89</v>
      </c>
      <c r="F90" s="111">
        <f>F109+F124+F139+F154</f>
        <v>46293832</v>
      </c>
      <c r="G90" s="175">
        <v>6.7170000000000005</v>
      </c>
      <c r="H90" s="149" t="s">
        <v>89</v>
      </c>
      <c r="I90" s="111">
        <f>I109+I124+I139+I154</f>
        <v>47488648</v>
      </c>
      <c r="J90" s="111"/>
      <c r="K90" s="175" t="e">
        <v>#DIV/0!</v>
      </c>
      <c r="L90" s="149" t="s">
        <v>89</v>
      </c>
      <c r="M90" s="111" t="e">
        <f>K90*C90/100</f>
        <v>#DIV/0!</v>
      </c>
      <c r="N90" s="149" t="s">
        <v>0</v>
      </c>
      <c r="O90" s="175" t="e">
        <v>#DIV/0!</v>
      </c>
      <c r="P90" s="149" t="s">
        <v>89</v>
      </c>
      <c r="Q90" s="111" t="e">
        <f>O90*C90/100</f>
        <v>#DIV/0!</v>
      </c>
      <c r="R90" s="111"/>
      <c r="S90" s="175" t="e">
        <v>#DIV/0!</v>
      </c>
      <c r="T90" s="149" t="s">
        <v>89</v>
      </c>
      <c r="U90" s="111" t="e">
        <f>(X104-U89-U92-U93-U94-U95-U96-U100)*I90/(I90+I91)</f>
        <v>#DIV/0!</v>
      </c>
      <c r="W90" s="176" t="s">
        <v>0</v>
      </c>
      <c r="X90" s="52">
        <f>((G90+G95)-D90)/D90</f>
        <v>2.5809407452657373E-2</v>
      </c>
      <c r="Y90" s="80">
        <f>(D91-D90)/D90</f>
        <v>0.58063530849114231</v>
      </c>
      <c r="Z90" s="80"/>
      <c r="AB90" s="80"/>
      <c r="AD90" s="115"/>
      <c r="AE90" s="115"/>
      <c r="AF90" s="80"/>
      <c r="AK90" s="44"/>
      <c r="AL90" s="44"/>
      <c r="AM90" s="44"/>
      <c r="AN90" s="44"/>
      <c r="AO90" s="44"/>
      <c r="AP90" s="44"/>
      <c r="AR90" s="115"/>
    </row>
    <row r="91" spans="1:44" x14ac:dyDescent="0.25">
      <c r="A91" s="149" t="s">
        <v>106</v>
      </c>
      <c r="B91" s="149"/>
      <c r="C91" s="169">
        <f>C110+C125+C140+C155</f>
        <v>843225109.61000884</v>
      </c>
      <c r="D91" s="175">
        <v>10.35</v>
      </c>
      <c r="E91" s="149" t="s">
        <v>89</v>
      </c>
      <c r="F91" s="111">
        <f>F110+F125+F140+F155</f>
        <v>87273799</v>
      </c>
      <c r="G91" s="175">
        <v>10.613</v>
      </c>
      <c r="H91" s="149" t="s">
        <v>89</v>
      </c>
      <c r="I91" s="111">
        <f>I110+I125+I140+I155</f>
        <v>89491481</v>
      </c>
      <c r="J91" s="111"/>
      <c r="K91" s="175" t="e">
        <v>#DIV/0!</v>
      </c>
      <c r="L91" s="149" t="s">
        <v>89</v>
      </c>
      <c r="M91" s="111" t="e">
        <f>K91*C91/100</f>
        <v>#DIV/0!</v>
      </c>
      <c r="N91" s="149" t="s">
        <v>0</v>
      </c>
      <c r="O91" s="175" t="e">
        <v>#DIV/0!</v>
      </c>
      <c r="P91" s="149" t="s">
        <v>89</v>
      </c>
      <c r="Q91" s="111" t="e">
        <f>O91*C91/100</f>
        <v>#DIV/0!</v>
      </c>
      <c r="R91" s="111"/>
      <c r="S91" s="175" t="e">
        <v>#DIV/0!</v>
      </c>
      <c r="T91" s="149" t="s">
        <v>89</v>
      </c>
      <c r="U91" s="111" t="e">
        <f>S91*C91/100</f>
        <v>#DIV/0!</v>
      </c>
      <c r="V91" s="177"/>
      <c r="X91" s="52">
        <f>((G91+G96)-D91)/D91</f>
        <v>2.5410628019323662E-2</v>
      </c>
      <c r="Y91" s="80">
        <f>(G91-G90)/G90</f>
        <v>0.58002084263808229</v>
      </c>
      <c r="Z91" s="80">
        <v>0.72450000000000003</v>
      </c>
      <c r="AB91" s="80"/>
      <c r="AD91" s="178"/>
      <c r="AE91" s="178"/>
      <c r="AF91" s="80"/>
      <c r="AK91" s="44"/>
      <c r="AL91" s="44"/>
      <c r="AM91" s="44"/>
      <c r="AN91" s="44"/>
      <c r="AO91" s="44"/>
      <c r="AP91" s="44"/>
      <c r="AR91" s="115"/>
    </row>
    <row r="92" spans="1:44" x14ac:dyDescent="0.25">
      <c r="A92" s="149" t="s">
        <v>107</v>
      </c>
      <c r="B92" s="149"/>
      <c r="C92" s="169">
        <f>C111+C126+C141+C156</f>
        <v>5306</v>
      </c>
      <c r="D92" s="173">
        <v>1.74</v>
      </c>
      <c r="E92" s="149"/>
      <c r="F92" s="111">
        <f>F111+F126+F141+F156</f>
        <v>9232</v>
      </c>
      <c r="G92" s="173">
        <v>1.78</v>
      </c>
      <c r="H92" s="149"/>
      <c r="I92" s="111">
        <f>I111+I126+I141+I156</f>
        <v>9444</v>
      </c>
      <c r="J92" s="111"/>
      <c r="K92" s="173" t="s">
        <v>0</v>
      </c>
      <c r="L92" s="149"/>
      <c r="M92" s="111">
        <f>K92*C92</f>
        <v>0</v>
      </c>
      <c r="N92" s="111"/>
      <c r="O92" s="173" t="s">
        <v>0</v>
      </c>
      <c r="P92" s="149"/>
      <c r="Q92" s="111">
        <f>O92*C92</f>
        <v>0</v>
      </c>
      <c r="R92" s="111"/>
      <c r="S92" s="175">
        <v>1.74</v>
      </c>
      <c r="T92" s="149"/>
      <c r="U92" s="111">
        <f>S92*C92</f>
        <v>9232.44</v>
      </c>
      <c r="X92" s="52">
        <f>(G92-D92)/D92</f>
        <v>2.2988505747126457E-2</v>
      </c>
      <c r="AD92" s="115"/>
      <c r="AE92" s="115"/>
      <c r="AF92" s="80"/>
      <c r="AK92" s="44"/>
      <c r="AL92" s="44"/>
      <c r="AM92" s="44"/>
      <c r="AN92" s="44"/>
      <c r="AO92" s="44"/>
      <c r="AP92" s="44"/>
      <c r="AR92" s="115"/>
    </row>
    <row r="93" spans="1:44" x14ac:dyDescent="0.25">
      <c r="A93" s="179" t="s">
        <v>108</v>
      </c>
      <c r="B93" s="179"/>
      <c r="C93" s="169">
        <f>C112+C127+C142+C157</f>
        <v>703</v>
      </c>
      <c r="D93" s="173">
        <v>3.4</v>
      </c>
      <c r="E93" s="179"/>
      <c r="F93" s="111">
        <f>F112+F127+F142+F157</f>
        <v>2390</v>
      </c>
      <c r="G93" s="173">
        <v>3.5</v>
      </c>
      <c r="H93" s="179"/>
      <c r="I93" s="111">
        <f>I112+I127+I142+I157</f>
        <v>2461</v>
      </c>
      <c r="J93" s="111"/>
      <c r="K93" s="173" t="s">
        <v>0</v>
      </c>
      <c r="L93" s="179"/>
      <c r="M93" s="111">
        <f>K93*C93</f>
        <v>0</v>
      </c>
      <c r="N93" s="111"/>
      <c r="O93" s="173" t="s">
        <v>0</v>
      </c>
      <c r="P93" s="179"/>
      <c r="Q93" s="111">
        <f>O93*C93</f>
        <v>0</v>
      </c>
      <c r="R93" s="111"/>
      <c r="S93" s="173">
        <v>3.4</v>
      </c>
      <c r="T93" s="179"/>
      <c r="U93" s="111">
        <f>S93*C93</f>
        <v>2390.1999999999998</v>
      </c>
      <c r="X93" s="52">
        <f>(G93-D93)/D93</f>
        <v>2.941176470588238E-2</v>
      </c>
      <c r="AK93" s="44"/>
      <c r="AL93" s="44"/>
      <c r="AM93" s="44"/>
      <c r="AN93" s="44"/>
      <c r="AO93" s="44"/>
      <c r="AP93" s="44"/>
      <c r="AR93" s="115"/>
    </row>
    <row r="94" spans="1:44" x14ac:dyDescent="0.25">
      <c r="A94" s="179" t="s">
        <v>109</v>
      </c>
      <c r="B94" s="179"/>
      <c r="C94" s="169">
        <f>C115+C128+C143+C158</f>
        <v>70.5</v>
      </c>
      <c r="D94" s="180">
        <v>-1.74</v>
      </c>
      <c r="E94" s="179"/>
      <c r="F94" s="111">
        <f>F115+F128+F143+F158</f>
        <v>-123</v>
      </c>
      <c r="G94" s="180">
        <f>-G92</f>
        <v>-1.78</v>
      </c>
      <c r="H94" s="179"/>
      <c r="I94" s="111">
        <f>I115+I128+I143+I158</f>
        <v>-126</v>
      </c>
      <c r="J94" s="111"/>
      <c r="K94" s="180" t="s">
        <v>0</v>
      </c>
      <c r="L94" s="179"/>
      <c r="M94" s="111">
        <f>K94*C94</f>
        <v>0</v>
      </c>
      <c r="N94" s="111"/>
      <c r="O94" s="180" t="s">
        <v>0</v>
      </c>
      <c r="P94" s="179"/>
      <c r="Q94" s="111">
        <f>O94*C94</f>
        <v>0</v>
      </c>
      <c r="R94" s="111"/>
      <c r="S94" s="180">
        <v>-1.74</v>
      </c>
      <c r="T94" s="179"/>
      <c r="U94" s="111">
        <f>S94*C94</f>
        <v>-122.67</v>
      </c>
      <c r="X94" s="52">
        <f>(G94-D94)/D94</f>
        <v>2.2988505747126457E-2</v>
      </c>
      <c r="AK94" s="44"/>
      <c r="AL94" s="44"/>
      <c r="AM94" s="44"/>
      <c r="AN94" s="44"/>
      <c r="AO94" s="44"/>
      <c r="AP94" s="44"/>
      <c r="AR94" s="115"/>
    </row>
    <row r="95" spans="1:44" s="120" customFormat="1" hidden="1" x14ac:dyDescent="0.25">
      <c r="A95" s="119" t="s">
        <v>110</v>
      </c>
      <c r="C95" s="181">
        <f>C90</f>
        <v>706991944.07558155</v>
      </c>
      <c r="D95" s="128">
        <v>0</v>
      </c>
      <c r="E95" s="122"/>
      <c r="F95" s="123"/>
      <c r="G95" s="124">
        <v>0</v>
      </c>
      <c r="H95" s="125" t="s">
        <v>89</v>
      </c>
      <c r="I95" s="123">
        <f>I113+I129+I144+I159</f>
        <v>0</v>
      </c>
      <c r="J95" s="123"/>
      <c r="K95" s="124" t="s">
        <v>0</v>
      </c>
      <c r="L95" s="125" t="s">
        <v>0</v>
      </c>
      <c r="M95" s="111">
        <f>K95*C95/100</f>
        <v>0</v>
      </c>
      <c r="N95" s="123"/>
      <c r="O95" s="124" t="s">
        <v>0</v>
      </c>
      <c r="P95" s="125" t="s">
        <v>0</v>
      </c>
      <c r="Q95" s="111">
        <f>O95*C95/100</f>
        <v>0</v>
      </c>
      <c r="R95" s="123"/>
      <c r="S95" s="175">
        <v>0</v>
      </c>
      <c r="T95" s="125" t="s">
        <v>89</v>
      </c>
      <c r="U95" s="111">
        <f>S95*C95/100</f>
        <v>0</v>
      </c>
      <c r="V95" s="126"/>
      <c r="W95" s="112"/>
      <c r="Z95" s="127"/>
      <c r="AA95" s="127"/>
      <c r="AF95" s="122"/>
      <c r="AG95" s="122"/>
      <c r="AH95" s="122"/>
      <c r="AI95" s="122"/>
      <c r="AJ95" s="122"/>
      <c r="AK95" s="122"/>
      <c r="AL95" s="122"/>
      <c r="AM95" s="122"/>
      <c r="AN95" s="122"/>
      <c r="AO95" s="122"/>
      <c r="AP95" s="122"/>
      <c r="AR95" s="126"/>
    </row>
    <row r="96" spans="1:44" s="120" customFormat="1" hidden="1" x14ac:dyDescent="0.25">
      <c r="A96" s="119" t="s">
        <v>111</v>
      </c>
      <c r="C96" s="181">
        <f>C91</f>
        <v>843225109.61000884</v>
      </c>
      <c r="D96" s="128">
        <v>0</v>
      </c>
      <c r="E96" s="122"/>
      <c r="F96" s="123"/>
      <c r="G96" s="124">
        <v>0</v>
      </c>
      <c r="H96" s="125" t="s">
        <v>89</v>
      </c>
      <c r="I96" s="123">
        <f>I114+I130+I145+I160</f>
        <v>0</v>
      </c>
      <c r="J96" s="123"/>
      <c r="K96" s="124" t="s">
        <v>0</v>
      </c>
      <c r="L96" s="125" t="s">
        <v>0</v>
      </c>
      <c r="M96" s="111">
        <f>K96*C96/100</f>
        <v>0</v>
      </c>
      <c r="N96" s="123"/>
      <c r="O96" s="124" t="s">
        <v>0</v>
      </c>
      <c r="P96" s="125" t="s">
        <v>0</v>
      </c>
      <c r="Q96" s="111">
        <f>O96*C96/100</f>
        <v>0</v>
      </c>
      <c r="R96" s="123"/>
      <c r="S96" s="175">
        <v>0</v>
      </c>
      <c r="T96" s="125" t="s">
        <v>89</v>
      </c>
      <c r="U96" s="111">
        <f>S96*C96/100</f>
        <v>0</v>
      </c>
      <c r="V96" s="126"/>
      <c r="W96" s="112"/>
      <c r="Z96" s="80" t="e">
        <f>(G96-G95)/G95</f>
        <v>#DIV/0!</v>
      </c>
      <c r="AA96" s="127"/>
      <c r="AF96" s="122"/>
      <c r="AG96" s="122"/>
      <c r="AH96" s="122"/>
      <c r="AI96" s="122"/>
      <c r="AJ96" s="122"/>
      <c r="AK96" s="122"/>
      <c r="AL96" s="122"/>
      <c r="AM96" s="122"/>
      <c r="AN96" s="122"/>
      <c r="AO96" s="122"/>
      <c r="AP96" s="122"/>
      <c r="AR96" s="126"/>
    </row>
    <row r="97" spans="1:44" s="120" customFormat="1" hidden="1" x14ac:dyDescent="0.25">
      <c r="A97" s="182" t="s">
        <v>112</v>
      </c>
      <c r="B97" s="183"/>
      <c r="C97" s="184"/>
      <c r="D97" s="185">
        <v>6.548</v>
      </c>
      <c r="E97" s="186" t="s">
        <v>89</v>
      </c>
      <c r="F97" s="187"/>
      <c r="G97" s="185">
        <f>G90+G95</f>
        <v>6.7170000000000005</v>
      </c>
      <c r="H97" s="186" t="s">
        <v>89</v>
      </c>
      <c r="I97" s="187"/>
      <c r="J97" s="187"/>
      <c r="K97" s="185" t="e">
        <f>K90+K95</f>
        <v>#DIV/0!</v>
      </c>
      <c r="L97" s="186" t="s">
        <v>89</v>
      </c>
      <c r="M97" s="187"/>
      <c r="N97" s="187"/>
      <c r="O97" s="185" t="e">
        <f>O90+O95</f>
        <v>#DIV/0!</v>
      </c>
      <c r="P97" s="186" t="s">
        <v>89</v>
      </c>
      <c r="Q97" s="187"/>
      <c r="R97" s="187"/>
      <c r="S97" s="185" t="e">
        <f>S90+S95</f>
        <v>#DIV/0!</v>
      </c>
      <c r="T97" s="186" t="s">
        <v>89</v>
      </c>
      <c r="U97" s="187"/>
      <c r="V97" s="126"/>
      <c r="W97" s="112"/>
      <c r="Z97" s="127"/>
      <c r="AA97" s="127"/>
      <c r="AF97" s="122"/>
      <c r="AG97" s="122"/>
      <c r="AH97" s="122"/>
      <c r="AI97" s="122"/>
      <c r="AJ97" s="122"/>
      <c r="AK97" s="122"/>
      <c r="AL97" s="122"/>
      <c r="AM97" s="122"/>
      <c r="AN97" s="122"/>
      <c r="AO97" s="122"/>
      <c r="AP97" s="122"/>
      <c r="AR97" s="126"/>
    </row>
    <row r="98" spans="1:44" s="120" customFormat="1" hidden="1" x14ac:dyDescent="0.25">
      <c r="A98" s="182" t="s">
        <v>113</v>
      </c>
      <c r="B98" s="183"/>
      <c r="C98" s="184"/>
      <c r="D98" s="185">
        <v>10.35</v>
      </c>
      <c r="E98" s="186" t="s">
        <v>89</v>
      </c>
      <c r="F98" s="187"/>
      <c r="G98" s="185">
        <f>G91+G96</f>
        <v>10.613</v>
      </c>
      <c r="H98" s="186" t="s">
        <v>89</v>
      </c>
      <c r="I98" s="187"/>
      <c r="J98" s="187"/>
      <c r="K98" s="185" t="e">
        <f>K91+K96</f>
        <v>#DIV/0!</v>
      </c>
      <c r="L98" s="186" t="s">
        <v>89</v>
      </c>
      <c r="M98" s="187"/>
      <c r="N98" s="187"/>
      <c r="O98" s="185" t="e">
        <f>O91+O96</f>
        <v>#DIV/0!</v>
      </c>
      <c r="P98" s="186" t="s">
        <v>89</v>
      </c>
      <c r="Q98" s="187"/>
      <c r="R98" s="187"/>
      <c r="S98" s="185" t="e">
        <f>S91+S96</f>
        <v>#DIV/0!</v>
      </c>
      <c r="T98" s="186" t="s">
        <v>89</v>
      </c>
      <c r="U98" s="187"/>
      <c r="V98" s="126"/>
      <c r="W98" s="112"/>
      <c r="Z98" s="80">
        <f>(G98-G97)/G97</f>
        <v>0.58002084263808229</v>
      </c>
      <c r="AA98" s="127"/>
      <c r="AF98" s="122"/>
      <c r="AG98" s="122"/>
      <c r="AH98" s="122"/>
      <c r="AI98" s="122"/>
      <c r="AJ98" s="122"/>
      <c r="AK98" s="122"/>
      <c r="AL98" s="122"/>
      <c r="AM98" s="122"/>
      <c r="AN98" s="122"/>
      <c r="AO98" s="122"/>
      <c r="AP98" s="122"/>
      <c r="AR98" s="126"/>
    </row>
    <row r="99" spans="1:44" x14ac:dyDescent="0.25">
      <c r="A99" s="149" t="s">
        <v>114</v>
      </c>
      <c r="B99" s="188"/>
      <c r="C99" s="169">
        <f>C116+C131+C146+C161</f>
        <v>1550217053.6855903</v>
      </c>
      <c r="D99" s="189"/>
      <c r="E99" s="111"/>
      <c r="F99" s="111">
        <f>F116+F131+F146+F161</f>
        <v>143368185</v>
      </c>
      <c r="G99" s="111"/>
      <c r="H99" s="111"/>
      <c r="I99" s="111">
        <f t="shared" ref="I99" si="17">I116+I131+I146+I161</f>
        <v>146780963</v>
      </c>
      <c r="J99" s="111"/>
      <c r="K99" s="111"/>
      <c r="L99" s="111"/>
      <c r="M99" s="111" t="e">
        <f>SUM(M89:M98)</f>
        <v>#DIV/0!</v>
      </c>
      <c r="N99" s="111"/>
      <c r="O99" s="111"/>
      <c r="P99" s="111"/>
      <c r="Q99" s="111" t="e">
        <f>SUM(Q89:Q98)</f>
        <v>#DIV/0!</v>
      </c>
      <c r="R99" s="111"/>
      <c r="S99" s="111"/>
      <c r="T99" s="111"/>
      <c r="U99" s="111" t="e">
        <f>SUM(U89:U98)</f>
        <v>#DIV/0!</v>
      </c>
      <c r="W99" s="52"/>
      <c r="AK99" s="44"/>
      <c r="AL99" s="44"/>
      <c r="AM99" s="44"/>
      <c r="AN99" s="44"/>
      <c r="AO99" s="44"/>
      <c r="AP99" s="44"/>
      <c r="AR99" s="115"/>
    </row>
    <row r="100" spans="1:44" x14ac:dyDescent="0.25">
      <c r="A100" s="149" t="s">
        <v>92</v>
      </c>
      <c r="B100" s="190"/>
      <c r="C100" s="191">
        <f>C117+C132+C147+C162</f>
        <v>19569583.803586423</v>
      </c>
      <c r="D100" s="134"/>
      <c r="E100" s="134"/>
      <c r="F100" s="132">
        <f>F117+F132+F147+F162</f>
        <v>1987055.0327333291</v>
      </c>
      <c r="G100" s="134"/>
      <c r="H100" s="134"/>
      <c r="I100" s="132">
        <f>F100</f>
        <v>1987055.0327333291</v>
      </c>
      <c r="J100" s="133"/>
      <c r="K100" s="134"/>
      <c r="L100" s="134"/>
      <c r="M100" s="132" t="e">
        <f>$I$100*V104/($V$104+$W$104+$X$104)</f>
        <v>#DIV/0!</v>
      </c>
      <c r="N100" s="133"/>
      <c r="O100" s="134"/>
      <c r="P100" s="134"/>
      <c r="Q100" s="132" t="e">
        <f>$I$100*W104/($V$104+$W$104+$X$104)</f>
        <v>#DIV/0!</v>
      </c>
      <c r="R100" s="133"/>
      <c r="S100" s="134"/>
      <c r="T100" s="134"/>
      <c r="U100" s="132" t="e">
        <f>$I$100*X104/($V$104+$W$104+$X$104)</f>
        <v>#DIV/0!</v>
      </c>
      <c r="AK100" s="44"/>
      <c r="AL100" s="44"/>
      <c r="AM100" s="44"/>
      <c r="AN100" s="44"/>
      <c r="AO100" s="44"/>
      <c r="AP100" s="44"/>
      <c r="AR100" s="115"/>
    </row>
    <row r="101" spans="1:44" ht="16.5" thickBot="1" x14ac:dyDescent="0.3">
      <c r="A101" s="149" t="s">
        <v>115</v>
      </c>
      <c r="B101" s="149"/>
      <c r="C101" s="192">
        <f>C99+C100</f>
        <v>1569786637.4891768</v>
      </c>
      <c r="D101" s="137"/>
      <c r="E101" s="137"/>
      <c r="F101" s="137">
        <f>F99+F100</f>
        <v>145355240.03273332</v>
      </c>
      <c r="G101" s="137"/>
      <c r="H101" s="137"/>
      <c r="I101" s="137">
        <f>I99+I100</f>
        <v>148768018.03273332</v>
      </c>
      <c r="J101" s="137"/>
      <c r="K101" s="137"/>
      <c r="L101" s="137"/>
      <c r="M101" s="137" t="e">
        <f>M99+M100</f>
        <v>#DIV/0!</v>
      </c>
      <c r="N101" s="137"/>
      <c r="O101" s="137"/>
      <c r="P101" s="137"/>
      <c r="Q101" s="137" t="e">
        <f>Q99+Q100</f>
        <v>#DIV/0!</v>
      </c>
      <c r="R101" s="137"/>
      <c r="S101" s="137"/>
      <c r="T101" s="137"/>
      <c r="U101" s="137" t="e">
        <f>U99+U100</f>
        <v>#DIV/0!</v>
      </c>
      <c r="V101" s="139" t="s">
        <v>94</v>
      </c>
      <c r="W101" s="140">
        <v>148767347.75518811</v>
      </c>
      <c r="X101" s="141">
        <v>1.6941448609556001E-2</v>
      </c>
      <c r="Y101" s="142"/>
      <c r="Z101" s="118" t="s">
        <v>0</v>
      </c>
      <c r="AA101" s="118" t="s">
        <v>0</v>
      </c>
      <c r="AK101" s="44"/>
      <c r="AL101" s="44"/>
      <c r="AM101" s="44"/>
      <c r="AN101" s="44"/>
      <c r="AO101" s="44"/>
      <c r="AP101" s="44"/>
      <c r="AR101" s="115"/>
    </row>
    <row r="102" spans="1:44" ht="16.5" thickTop="1" x14ac:dyDescent="0.25">
      <c r="A102" s="149"/>
      <c r="B102" s="149"/>
      <c r="C102" s="144"/>
      <c r="D102" s="133"/>
      <c r="E102" s="133"/>
      <c r="F102" s="133"/>
      <c r="G102" s="133"/>
      <c r="H102" s="133"/>
      <c r="I102" s="133"/>
      <c r="J102" s="133"/>
      <c r="K102" s="133"/>
      <c r="L102" s="133"/>
      <c r="M102" s="133"/>
      <c r="N102" s="133"/>
      <c r="O102" s="133"/>
      <c r="P102" s="133"/>
      <c r="Q102" s="133"/>
      <c r="R102" s="133"/>
      <c r="S102" s="133"/>
      <c r="T102" s="133"/>
      <c r="U102" s="133" t="s">
        <v>0</v>
      </c>
      <c r="V102" s="150" t="s">
        <v>96</v>
      </c>
      <c r="W102" s="151">
        <f>W101-I101</f>
        <v>-670.27754521369934</v>
      </c>
      <c r="X102" s="152">
        <v>1.6049999999999998E-2</v>
      </c>
      <c r="Y102" s="142"/>
      <c r="Z102" s="118"/>
      <c r="AA102" s="118"/>
      <c r="AK102" s="44"/>
      <c r="AL102" s="44"/>
      <c r="AM102" s="44"/>
      <c r="AN102" s="44"/>
      <c r="AO102" s="44"/>
      <c r="AP102" s="44"/>
      <c r="AR102" s="115"/>
    </row>
    <row r="103" spans="1:44" ht="15.75" hidden="1" customHeight="1" x14ac:dyDescent="0.25">
      <c r="A103" s="149"/>
      <c r="B103" s="149"/>
      <c r="C103" s="144"/>
      <c r="D103" s="133"/>
      <c r="E103" s="133"/>
      <c r="F103" s="133"/>
      <c r="G103" s="133"/>
      <c r="H103" s="133"/>
      <c r="I103" s="133"/>
      <c r="J103" s="133"/>
      <c r="K103" s="133"/>
      <c r="L103" s="133"/>
      <c r="M103" s="133"/>
      <c r="N103" s="133"/>
      <c r="O103" s="133"/>
      <c r="P103" s="133"/>
      <c r="Q103" s="133"/>
      <c r="R103" s="133"/>
      <c r="S103" s="133"/>
      <c r="T103" s="133"/>
      <c r="U103" s="133">
        <f>U102-I101</f>
        <v>-148768018.03273332</v>
      </c>
      <c r="V103" s="193"/>
      <c r="W103" s="153"/>
      <c r="X103" s="194"/>
      <c r="Y103" s="142"/>
      <c r="Z103" s="118"/>
      <c r="AA103" s="118"/>
      <c r="AK103" s="44"/>
      <c r="AL103" s="44"/>
      <c r="AM103" s="44"/>
      <c r="AN103" s="44"/>
      <c r="AO103" s="44"/>
      <c r="AP103" s="44"/>
      <c r="AR103" s="115"/>
    </row>
    <row r="104" spans="1:44" ht="15.75" hidden="1" customHeight="1" x14ac:dyDescent="0.25">
      <c r="A104" s="149"/>
      <c r="B104" s="195"/>
      <c r="C104" s="169"/>
      <c r="D104" s="149" t="s">
        <v>0</v>
      </c>
      <c r="E104" s="149"/>
      <c r="G104" s="149" t="s">
        <v>0</v>
      </c>
      <c r="H104" s="149"/>
      <c r="I104" s="111"/>
      <c r="J104" s="111"/>
      <c r="K104" s="149" t="s">
        <v>0</v>
      </c>
      <c r="L104" s="149"/>
      <c r="V104" s="126"/>
      <c r="W104" s="126"/>
      <c r="X104" s="126"/>
      <c r="Y104" s="196"/>
      <c r="AK104" s="44"/>
      <c r="AL104" s="44"/>
      <c r="AM104" s="44"/>
      <c r="AN104" s="44"/>
      <c r="AO104" s="44"/>
      <c r="AP104" s="44"/>
      <c r="AR104" s="115"/>
    </row>
    <row r="105" spans="1:44" x14ac:dyDescent="0.25">
      <c r="A105" s="168" t="s">
        <v>116</v>
      </c>
      <c r="B105" s="149"/>
      <c r="C105" s="149" t="s">
        <v>0</v>
      </c>
      <c r="D105" s="169"/>
      <c r="E105" s="149"/>
      <c r="F105" s="149"/>
      <c r="G105" s="169"/>
      <c r="H105" s="149"/>
      <c r="I105" s="197" t="s">
        <v>0</v>
      </c>
      <c r="J105" s="149"/>
      <c r="K105" s="169"/>
      <c r="L105" s="149"/>
      <c r="M105" s="149"/>
      <c r="N105" s="149"/>
      <c r="O105" s="169"/>
      <c r="P105" s="149"/>
      <c r="Q105" s="149"/>
      <c r="R105" s="149"/>
      <c r="S105" s="169"/>
      <c r="T105" s="149"/>
      <c r="U105" s="149"/>
      <c r="V105" s="111"/>
      <c r="W105" s="111"/>
      <c r="X105" s="111"/>
      <c r="Y105" s="149"/>
      <c r="AA105" s="111"/>
      <c r="AB105" s="149" t="s">
        <v>0</v>
      </c>
      <c r="AC105" s="149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R105" s="115"/>
    </row>
    <row r="106" spans="1:44" x14ac:dyDescent="0.25">
      <c r="A106" s="149" t="s">
        <v>41</v>
      </c>
      <c r="B106" s="149"/>
      <c r="C106" s="149" t="s">
        <v>0</v>
      </c>
      <c r="D106" s="169"/>
      <c r="E106" s="149"/>
      <c r="F106" s="149"/>
      <c r="G106" s="169"/>
      <c r="H106" s="149"/>
      <c r="I106" s="149"/>
      <c r="J106" s="149"/>
      <c r="K106" s="169"/>
      <c r="L106" s="149"/>
      <c r="M106" s="149" t="s">
        <v>0</v>
      </c>
      <c r="N106" s="149"/>
      <c r="O106" s="169"/>
      <c r="P106" s="149"/>
      <c r="Q106" s="149"/>
      <c r="R106" s="149"/>
      <c r="S106" s="169"/>
      <c r="T106" s="149"/>
      <c r="U106" s="149"/>
      <c r="V106" s="44"/>
      <c r="W106" s="91"/>
      <c r="X106" s="91"/>
      <c r="Y106" s="91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R106" s="115"/>
    </row>
    <row r="107" spans="1:44" x14ac:dyDescent="0.25">
      <c r="A107" s="198" t="s">
        <v>117</v>
      </c>
      <c r="B107" s="149"/>
      <c r="C107" s="149"/>
      <c r="D107" s="169"/>
      <c r="E107" s="149"/>
      <c r="F107" s="149"/>
      <c r="G107" s="169"/>
      <c r="H107" s="149"/>
      <c r="I107" s="149"/>
      <c r="J107" s="149"/>
      <c r="K107" s="169"/>
      <c r="L107" s="149"/>
      <c r="M107" s="149"/>
      <c r="N107" s="149"/>
      <c r="O107" s="169"/>
      <c r="P107" s="149"/>
      <c r="Q107" s="149"/>
      <c r="R107" s="149"/>
      <c r="S107" s="169"/>
      <c r="T107" s="149"/>
      <c r="U107" s="149"/>
      <c r="V107" s="44"/>
      <c r="W107" s="91"/>
      <c r="X107" s="91"/>
      <c r="Y107" s="91"/>
      <c r="Z107" s="199" t="s">
        <v>0</v>
      </c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R107" s="115"/>
    </row>
    <row r="108" spans="1:44" x14ac:dyDescent="0.25">
      <c r="A108" s="149" t="s">
        <v>104</v>
      </c>
      <c r="B108" s="149"/>
      <c r="C108" s="169">
        <v>1190382.0735483039</v>
      </c>
      <c r="D108" s="173">
        <v>7.75</v>
      </c>
      <c r="E108" s="149"/>
      <c r="F108" s="111">
        <f>ROUND(D108*C108,0)</f>
        <v>9225461</v>
      </c>
      <c r="G108" s="173">
        <f>$G$89</f>
        <v>7.75</v>
      </c>
      <c r="H108" s="149"/>
      <c r="I108" s="111">
        <f>ROUND(G108*$C108,0)</f>
        <v>9225461</v>
      </c>
      <c r="J108" s="111"/>
      <c r="K108" s="173">
        <f>K89</f>
        <v>7.75</v>
      </c>
      <c r="L108" s="149"/>
      <c r="M108" s="111">
        <v>9225461.0699993558</v>
      </c>
      <c r="N108" s="111"/>
      <c r="O108" s="173" t="str">
        <f>$O$89</f>
        <v xml:space="preserve"> </v>
      </c>
      <c r="P108" s="149"/>
      <c r="Q108" s="111">
        <v>0</v>
      </c>
      <c r="R108" s="111"/>
      <c r="S108" s="173" t="str">
        <f>$S$89</f>
        <v xml:space="preserve"> </v>
      </c>
      <c r="T108" s="149"/>
      <c r="U108" s="111">
        <v>0</v>
      </c>
      <c r="V108" s="44"/>
      <c r="W108" s="91"/>
      <c r="X108" s="91"/>
      <c r="Y108" s="91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R108" s="115"/>
    </row>
    <row r="109" spans="1:44" x14ac:dyDescent="0.25">
      <c r="A109" s="149" t="s">
        <v>105</v>
      </c>
      <c r="B109" s="149"/>
      <c r="C109" s="169">
        <v>664551696.22316003</v>
      </c>
      <c r="D109" s="175">
        <v>6.548</v>
      </c>
      <c r="E109" s="149" t="s">
        <v>89</v>
      </c>
      <c r="F109" s="111">
        <f>ROUND(C109*D109/100,0)</f>
        <v>43514845</v>
      </c>
      <c r="G109" s="175">
        <f>$G$90</f>
        <v>6.7170000000000005</v>
      </c>
      <c r="H109" s="149" t="s">
        <v>89</v>
      </c>
      <c r="I109" s="111">
        <f>ROUND(G109*$C109/100,0)</f>
        <v>44637937</v>
      </c>
      <c r="J109" s="111"/>
      <c r="K109" s="175" t="e">
        <f>K90</f>
        <v>#DIV/0!</v>
      </c>
      <c r="L109" s="149" t="s">
        <v>89</v>
      </c>
      <c r="M109" s="111" t="e">
        <v>#DIV/0!</v>
      </c>
      <c r="N109" s="111"/>
      <c r="O109" s="175" t="e">
        <f>O90</f>
        <v>#DIV/0!</v>
      </c>
      <c r="P109" s="149" t="s">
        <v>89</v>
      </c>
      <c r="Q109" s="111" t="e">
        <v>#DIV/0!</v>
      </c>
      <c r="R109" s="111"/>
      <c r="S109" s="175" t="e">
        <f>S90</f>
        <v>#DIV/0!</v>
      </c>
      <c r="T109" s="149" t="s">
        <v>89</v>
      </c>
      <c r="U109" s="111" t="e">
        <v>#DIV/0!</v>
      </c>
      <c r="V109" s="44"/>
      <c r="W109" s="91"/>
      <c r="X109" s="91"/>
      <c r="Y109" s="91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R109" s="115"/>
    </row>
    <row r="110" spans="1:44" x14ac:dyDescent="0.25">
      <c r="A110" s="149" t="s">
        <v>106</v>
      </c>
      <c r="B110" s="169"/>
      <c r="C110" s="169">
        <v>794267679.4665302</v>
      </c>
      <c r="D110" s="175">
        <v>10.35</v>
      </c>
      <c r="E110" s="149" t="s">
        <v>89</v>
      </c>
      <c r="F110" s="111">
        <f>ROUND(C110*D110/100,0)</f>
        <v>82206705</v>
      </c>
      <c r="G110" s="175">
        <f>$G$91</f>
        <v>10.613</v>
      </c>
      <c r="H110" s="149" t="s">
        <v>89</v>
      </c>
      <c r="I110" s="111">
        <f>ROUND(G110*$C110/100,0)</f>
        <v>84295629</v>
      </c>
      <c r="J110" s="111"/>
      <c r="K110" s="175" t="e">
        <f>K91</f>
        <v>#DIV/0!</v>
      </c>
      <c r="L110" s="149" t="s">
        <v>89</v>
      </c>
      <c r="M110" s="111" t="e">
        <v>#DIV/0!</v>
      </c>
      <c r="N110" s="111"/>
      <c r="O110" s="175" t="e">
        <f>O91</f>
        <v>#DIV/0!</v>
      </c>
      <c r="P110" s="149" t="s">
        <v>89</v>
      </c>
      <c r="Q110" s="111" t="e">
        <v>#DIV/0!</v>
      </c>
      <c r="R110" s="111"/>
      <c r="S110" s="175" t="e">
        <f>S91</f>
        <v>#DIV/0!</v>
      </c>
      <c r="T110" s="149" t="s">
        <v>89</v>
      </c>
      <c r="U110" s="111" t="e">
        <v>#DIV/0!</v>
      </c>
      <c r="V110" s="44"/>
      <c r="W110" s="91"/>
      <c r="X110" s="91"/>
      <c r="Y110" s="91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R110" s="115"/>
    </row>
    <row r="111" spans="1:44" x14ac:dyDescent="0.25">
      <c r="A111" s="149" t="s">
        <v>107</v>
      </c>
      <c r="B111" s="149"/>
      <c r="C111" s="169">
        <v>0</v>
      </c>
      <c r="D111" s="173">
        <v>1.74</v>
      </c>
      <c r="E111" s="149"/>
      <c r="F111" s="111">
        <v>0</v>
      </c>
      <c r="G111" s="173">
        <f>$G$92</f>
        <v>1.78</v>
      </c>
      <c r="H111" s="149"/>
      <c r="I111" s="111">
        <f>ROUND(G111*$C111,0)</f>
        <v>0</v>
      </c>
      <c r="J111" s="111"/>
      <c r="K111" s="173" t="str">
        <f>K92</f>
        <v xml:space="preserve"> </v>
      </c>
      <c r="L111" s="149"/>
      <c r="M111" s="111">
        <v>0</v>
      </c>
      <c r="N111" s="111"/>
      <c r="O111" s="173" t="str">
        <f>O92</f>
        <v xml:space="preserve"> </v>
      </c>
      <c r="P111" s="149"/>
      <c r="Q111" s="111">
        <v>0</v>
      </c>
      <c r="R111" s="111"/>
      <c r="S111" s="173">
        <f>S92</f>
        <v>1.74</v>
      </c>
      <c r="T111" s="149"/>
      <c r="U111" s="111">
        <v>0</v>
      </c>
      <c r="V111" s="44"/>
      <c r="W111" s="91"/>
      <c r="X111" s="91"/>
      <c r="Y111" s="91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R111" s="115"/>
    </row>
    <row r="112" spans="1:44" x14ac:dyDescent="0.25">
      <c r="A112" s="179" t="s">
        <v>108</v>
      </c>
      <c r="B112" s="179"/>
      <c r="C112" s="169">
        <v>0</v>
      </c>
      <c r="D112" s="173">
        <v>3.4</v>
      </c>
      <c r="E112" s="179"/>
      <c r="F112" s="111">
        <v>0</v>
      </c>
      <c r="G112" s="173">
        <f>$G$93</f>
        <v>3.5</v>
      </c>
      <c r="H112" s="179"/>
      <c r="I112" s="111">
        <f>ROUND(G112*$C112,0)</f>
        <v>0</v>
      </c>
      <c r="J112" s="111"/>
      <c r="K112" s="173" t="str">
        <f>K93</f>
        <v xml:space="preserve"> </v>
      </c>
      <c r="L112" s="179"/>
      <c r="M112" s="111">
        <v>0</v>
      </c>
      <c r="N112" s="111"/>
      <c r="O112" s="173" t="str">
        <f t="shared" ref="O112:O115" si="18">O93</f>
        <v xml:space="preserve"> </v>
      </c>
      <c r="P112" s="179"/>
      <c r="Q112" s="111">
        <v>0</v>
      </c>
      <c r="R112" s="111"/>
      <c r="S112" s="173">
        <f>S93</f>
        <v>3.4</v>
      </c>
      <c r="T112" s="179"/>
      <c r="U112" s="111">
        <v>0</v>
      </c>
      <c r="V112" s="44"/>
      <c r="W112" s="91"/>
      <c r="X112" s="91"/>
      <c r="Y112" s="91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R112" s="115"/>
    </row>
    <row r="113" spans="1:44" s="120" customFormat="1" hidden="1" x14ac:dyDescent="0.25">
      <c r="A113" s="119" t="s">
        <v>110</v>
      </c>
      <c r="C113" s="121">
        <f>C109</f>
        <v>664551696.22316003</v>
      </c>
      <c r="D113" s="128">
        <v>0</v>
      </c>
      <c r="E113" s="122"/>
      <c r="F113" s="123"/>
      <c r="G113" s="124">
        <f>G95</f>
        <v>0</v>
      </c>
      <c r="H113" s="125" t="s">
        <v>89</v>
      </c>
      <c r="I113" s="123">
        <f>G113*C113/100</f>
        <v>0</v>
      </c>
      <c r="J113" s="123"/>
      <c r="K113" s="124" t="str">
        <f>K95</f>
        <v xml:space="preserve"> </v>
      </c>
      <c r="L113" s="125" t="s">
        <v>0</v>
      </c>
      <c r="M113" s="111">
        <v>0</v>
      </c>
      <c r="N113" s="123"/>
      <c r="O113" s="173" t="str">
        <f t="shared" si="18"/>
        <v xml:space="preserve"> </v>
      </c>
      <c r="P113" s="125" t="s">
        <v>0</v>
      </c>
      <c r="Q113" s="111">
        <v>0</v>
      </c>
      <c r="R113" s="123"/>
      <c r="S113" s="124">
        <f>G113</f>
        <v>0</v>
      </c>
      <c r="T113" s="125" t="s">
        <v>89</v>
      </c>
      <c r="U113" s="111">
        <v>0</v>
      </c>
      <c r="W113" s="112"/>
      <c r="Z113" s="127"/>
      <c r="AA113" s="127"/>
      <c r="AF113" s="122"/>
      <c r="AG113" s="122"/>
      <c r="AH113" s="122"/>
      <c r="AI113" s="122"/>
      <c r="AJ113" s="122"/>
      <c r="AK113" s="122"/>
      <c r="AL113" s="122"/>
      <c r="AM113" s="122"/>
      <c r="AN113" s="122"/>
      <c r="AO113" s="122"/>
      <c r="AP113" s="122"/>
      <c r="AR113" s="126"/>
    </row>
    <row r="114" spans="1:44" s="120" customFormat="1" hidden="1" x14ac:dyDescent="0.25">
      <c r="A114" s="119" t="s">
        <v>111</v>
      </c>
      <c r="C114" s="121">
        <f>C110</f>
        <v>794267679.4665302</v>
      </c>
      <c r="D114" s="128">
        <v>0</v>
      </c>
      <c r="E114" s="122"/>
      <c r="F114" s="123"/>
      <c r="G114" s="124">
        <f>G96</f>
        <v>0</v>
      </c>
      <c r="H114" s="125" t="s">
        <v>89</v>
      </c>
      <c r="I114" s="123">
        <f>G114*C114/100</f>
        <v>0</v>
      </c>
      <c r="J114" s="123"/>
      <c r="K114" s="124" t="str">
        <f>K96</f>
        <v xml:space="preserve"> </v>
      </c>
      <c r="L114" s="125" t="s">
        <v>0</v>
      </c>
      <c r="M114" s="111">
        <v>0</v>
      </c>
      <c r="N114" s="123"/>
      <c r="O114" s="173" t="str">
        <f t="shared" si="18"/>
        <v xml:space="preserve"> </v>
      </c>
      <c r="P114" s="125" t="s">
        <v>0</v>
      </c>
      <c r="Q114" s="111">
        <v>0</v>
      </c>
      <c r="R114" s="123"/>
      <c r="S114" s="124">
        <f>G114</f>
        <v>0</v>
      </c>
      <c r="T114" s="125" t="s">
        <v>89</v>
      </c>
      <c r="U114" s="111">
        <v>0</v>
      </c>
      <c r="W114" s="112"/>
      <c r="Z114" s="127"/>
      <c r="AA114" s="127"/>
      <c r="AF114" s="122"/>
      <c r="AG114" s="122"/>
      <c r="AH114" s="122"/>
      <c r="AI114" s="122"/>
      <c r="AJ114" s="122"/>
      <c r="AK114" s="122"/>
      <c r="AL114" s="122"/>
      <c r="AM114" s="122"/>
      <c r="AN114" s="122"/>
      <c r="AO114" s="122"/>
      <c r="AP114" s="122"/>
      <c r="AR114" s="126"/>
    </row>
    <row r="115" spans="1:44" x14ac:dyDescent="0.25">
      <c r="A115" s="179" t="s">
        <v>109</v>
      </c>
      <c r="B115" s="179"/>
      <c r="C115" s="169">
        <v>0</v>
      </c>
      <c r="D115" s="180">
        <v>-1.74</v>
      </c>
      <c r="E115" s="179"/>
      <c r="F115" s="111">
        <v>0</v>
      </c>
      <c r="G115" s="180">
        <f>-G111</f>
        <v>-1.78</v>
      </c>
      <c r="H115" s="179"/>
      <c r="I115" s="111">
        <f>ROUND(G115*$C115,0)</f>
        <v>0</v>
      </c>
      <c r="J115" s="111"/>
      <c r="K115" s="180" t="str">
        <f>K94</f>
        <v xml:space="preserve"> </v>
      </c>
      <c r="L115" s="179"/>
      <c r="M115" s="111">
        <v>0</v>
      </c>
      <c r="N115" s="111"/>
      <c r="O115" s="173" t="str">
        <f t="shared" si="18"/>
        <v xml:space="preserve"> </v>
      </c>
      <c r="P115" s="179"/>
      <c r="Q115" s="111">
        <v>0</v>
      </c>
      <c r="R115" s="111"/>
      <c r="S115" s="180">
        <f>-S111</f>
        <v>-1.74</v>
      </c>
      <c r="T115" s="179"/>
      <c r="U115" s="111">
        <v>0</v>
      </c>
      <c r="V115" s="44"/>
      <c r="W115" s="91"/>
      <c r="X115" s="91"/>
      <c r="Y115" s="91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R115" s="115"/>
    </row>
    <row r="116" spans="1:44" x14ac:dyDescent="0.25">
      <c r="A116" s="149" t="s">
        <v>114</v>
      </c>
      <c r="B116" s="188"/>
      <c r="C116" s="169">
        <f>SUM(C109:C110)</f>
        <v>1458819375.6896901</v>
      </c>
      <c r="D116" s="189"/>
      <c r="E116" s="111"/>
      <c r="F116" s="111">
        <f>SUM(F108:F115)</f>
        <v>134947011</v>
      </c>
      <c r="G116" s="111"/>
      <c r="H116" s="111"/>
      <c r="I116" s="111">
        <f>SUM(I108:I115)</f>
        <v>138159027</v>
      </c>
      <c r="J116" s="111"/>
      <c r="K116" s="111"/>
      <c r="L116" s="111"/>
      <c r="M116" s="111" t="e">
        <f>SUM(M108:M115)</f>
        <v>#DIV/0!</v>
      </c>
      <c r="N116" s="111"/>
      <c r="O116" s="111"/>
      <c r="P116" s="111"/>
      <c r="Q116" s="111" t="e">
        <f>SUM(Q108:Q115)</f>
        <v>#DIV/0!</v>
      </c>
      <c r="R116" s="111"/>
      <c r="S116" s="111"/>
      <c r="T116" s="111"/>
      <c r="U116" s="111" t="e">
        <f>SUM(U108:U115)</f>
        <v>#DIV/0!</v>
      </c>
      <c r="V116" s="44"/>
      <c r="W116" s="133"/>
      <c r="X116" s="91"/>
      <c r="Y116" s="91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R116" s="115"/>
    </row>
    <row r="117" spans="1:44" x14ac:dyDescent="0.25">
      <c r="A117" s="149" t="s">
        <v>92</v>
      </c>
      <c r="B117" s="190"/>
      <c r="C117" s="200">
        <v>18426169.205008153</v>
      </c>
      <c r="D117" s="134"/>
      <c r="E117" s="134"/>
      <c r="F117" s="132">
        <v>1871290.0371091876</v>
      </c>
      <c r="G117" s="134"/>
      <c r="H117" s="134"/>
      <c r="I117" s="132">
        <f>F117</f>
        <v>1871290.0371091876</v>
      </c>
      <c r="J117" s="133"/>
      <c r="K117" s="134"/>
      <c r="L117" s="134"/>
      <c r="M117" s="132" t="e">
        <f>I117/$I$100*$M$100</f>
        <v>#DIV/0!</v>
      </c>
      <c r="N117" s="133"/>
      <c r="O117" s="134"/>
      <c r="P117" s="134"/>
      <c r="Q117" s="132" t="e">
        <f>I117/$I$100*$Q$100</f>
        <v>#DIV/0!</v>
      </c>
      <c r="R117" s="133"/>
      <c r="S117" s="134"/>
      <c r="T117" s="134"/>
      <c r="U117" s="132" t="e">
        <f>I117/$I$100*$U$100</f>
        <v>#DIV/0!</v>
      </c>
      <c r="V117" s="165"/>
      <c r="W117" s="163"/>
      <c r="X117" s="91"/>
      <c r="Y117" s="91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R117" s="115"/>
    </row>
    <row r="118" spans="1:44" ht="16.5" thickBot="1" x14ac:dyDescent="0.3">
      <c r="A118" s="149" t="s">
        <v>115</v>
      </c>
      <c r="B118" s="149"/>
      <c r="C118" s="192">
        <f>C116+C117</f>
        <v>1477245544.8946984</v>
      </c>
      <c r="D118" s="137"/>
      <c r="E118" s="137"/>
      <c r="F118" s="137">
        <f>SUM(F116:F117)</f>
        <v>136818301.0371092</v>
      </c>
      <c r="G118" s="137"/>
      <c r="H118" s="137"/>
      <c r="I118" s="137">
        <f>I116+I117</f>
        <v>140030317.0371092</v>
      </c>
      <c r="J118" s="133"/>
      <c r="K118" s="137"/>
      <c r="L118" s="137"/>
      <c r="M118" s="137" t="e">
        <f>M116+M117</f>
        <v>#DIV/0!</v>
      </c>
      <c r="N118" s="137"/>
      <c r="O118" s="137"/>
      <c r="P118" s="137"/>
      <c r="Q118" s="137" t="e">
        <f>Q116+Q117</f>
        <v>#DIV/0!</v>
      </c>
      <c r="R118" s="137"/>
      <c r="S118" s="137"/>
      <c r="T118" s="137"/>
      <c r="U118" s="137" t="e">
        <f>U116+$U$117</f>
        <v>#DIV/0!</v>
      </c>
      <c r="V118" s="166"/>
      <c r="W118" s="167"/>
      <c r="X118" s="91"/>
      <c r="Y118" s="91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R118" s="115"/>
    </row>
    <row r="119" spans="1:44" ht="16.5" thickTop="1" x14ac:dyDescent="0.25">
      <c r="A119" s="149"/>
      <c r="B119" s="195"/>
      <c r="C119" s="169"/>
      <c r="D119" s="149" t="s">
        <v>0</v>
      </c>
      <c r="E119" s="149"/>
      <c r="F119" s="115" t="s">
        <v>0</v>
      </c>
      <c r="G119" s="149" t="s">
        <v>0</v>
      </c>
      <c r="H119" s="149"/>
      <c r="I119" s="111" t="s">
        <v>0</v>
      </c>
      <c r="J119" s="111"/>
      <c r="K119" s="149" t="s">
        <v>0</v>
      </c>
      <c r="L119" s="149"/>
      <c r="M119" s="111" t="s">
        <v>0</v>
      </c>
      <c r="N119" s="111"/>
      <c r="O119" s="149" t="s">
        <v>0</v>
      </c>
      <c r="P119" s="149"/>
      <c r="Q119" s="111" t="s">
        <v>0</v>
      </c>
      <c r="R119" s="111"/>
      <c r="S119" s="149" t="s">
        <v>0</v>
      </c>
      <c r="T119" s="149"/>
      <c r="U119" s="111" t="s">
        <v>0</v>
      </c>
      <c r="V119" s="44"/>
      <c r="W119" s="91"/>
      <c r="X119" s="91"/>
      <c r="Y119" s="91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R119" s="115"/>
    </row>
    <row r="120" spans="1:44" x14ac:dyDescent="0.25">
      <c r="A120" s="168" t="s">
        <v>118</v>
      </c>
      <c r="B120" s="149"/>
      <c r="C120" s="149" t="s">
        <v>0</v>
      </c>
      <c r="D120" s="169"/>
      <c r="E120" s="149"/>
      <c r="F120" s="149"/>
      <c r="G120" s="169"/>
      <c r="H120" s="149"/>
      <c r="I120" s="149"/>
      <c r="J120" s="149"/>
      <c r="K120" s="169"/>
      <c r="L120" s="149"/>
      <c r="M120" s="149"/>
      <c r="N120" s="149"/>
      <c r="O120" s="169"/>
      <c r="P120" s="149"/>
      <c r="Q120" s="149"/>
      <c r="R120" s="149"/>
      <c r="S120" s="169"/>
      <c r="T120" s="149"/>
      <c r="U120" s="149"/>
      <c r="V120" s="44"/>
      <c r="W120" s="91"/>
      <c r="X120" s="91"/>
      <c r="Y120" s="91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R120" s="115"/>
    </row>
    <row r="121" spans="1:44" x14ac:dyDescent="0.25">
      <c r="A121" s="149" t="s">
        <v>41</v>
      </c>
      <c r="B121" s="149"/>
      <c r="C121" s="149"/>
      <c r="D121" s="169"/>
      <c r="E121" s="149"/>
      <c r="F121" s="149"/>
      <c r="G121" s="169"/>
      <c r="H121" s="149"/>
      <c r="I121" s="149"/>
      <c r="J121" s="149"/>
      <c r="K121" s="169"/>
      <c r="L121" s="149"/>
      <c r="M121" s="149"/>
      <c r="N121" s="149"/>
      <c r="O121" s="169"/>
      <c r="P121" s="149"/>
      <c r="Q121" s="149"/>
      <c r="R121" s="149"/>
      <c r="S121" s="169"/>
      <c r="T121" s="149"/>
      <c r="U121" s="149"/>
      <c r="V121" s="44"/>
      <c r="W121" s="91"/>
      <c r="X121" s="91"/>
      <c r="Y121" s="91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R121" s="115"/>
    </row>
    <row r="122" spans="1:44" x14ac:dyDescent="0.25">
      <c r="A122" s="171"/>
      <c r="B122" s="149"/>
      <c r="C122" s="149"/>
      <c r="D122" s="169"/>
      <c r="E122" s="149"/>
      <c r="F122" s="149"/>
      <c r="G122" s="169"/>
      <c r="H122" s="149"/>
      <c r="I122" s="149"/>
      <c r="J122" s="149"/>
      <c r="K122" s="169"/>
      <c r="L122" s="149"/>
      <c r="M122" s="149"/>
      <c r="N122" s="149"/>
      <c r="O122" s="169"/>
      <c r="P122" s="149"/>
      <c r="Q122" s="149"/>
      <c r="R122" s="149"/>
      <c r="S122" s="169"/>
      <c r="T122" s="149"/>
      <c r="U122" s="149"/>
      <c r="V122" s="44"/>
      <c r="W122" s="91"/>
      <c r="X122" s="91"/>
      <c r="Y122" s="91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R122" s="115"/>
    </row>
    <row r="123" spans="1:44" x14ac:dyDescent="0.25">
      <c r="A123" s="149" t="s">
        <v>104</v>
      </c>
      <c r="B123" s="149"/>
      <c r="C123" s="169">
        <v>71521.491612903294</v>
      </c>
      <c r="D123" s="173">
        <v>7.75</v>
      </c>
      <c r="E123" s="149"/>
      <c r="F123" s="111">
        <f>ROUND(D123*C123,0)</f>
        <v>554292</v>
      </c>
      <c r="G123" s="173">
        <f>D123</f>
        <v>7.75</v>
      </c>
      <c r="H123" s="149"/>
      <c r="I123" s="111">
        <f>ROUND(G123*$C123,0)</f>
        <v>554292</v>
      </c>
      <c r="J123" s="111"/>
      <c r="K123" s="173">
        <f>G123</f>
        <v>7.75</v>
      </c>
      <c r="L123" s="149"/>
      <c r="M123" s="111">
        <v>554291.56000000052</v>
      </c>
      <c r="N123" s="111"/>
      <c r="O123" s="173" t="str">
        <f>$O$89</f>
        <v xml:space="preserve"> </v>
      </c>
      <c r="P123" s="149"/>
      <c r="Q123" s="111">
        <v>0</v>
      </c>
      <c r="R123" s="111"/>
      <c r="S123" s="173" t="str">
        <f>$S$89</f>
        <v xml:space="preserve"> </v>
      </c>
      <c r="T123" s="149"/>
      <c r="U123" s="111">
        <v>0</v>
      </c>
      <c r="V123" s="44"/>
      <c r="W123" s="91"/>
      <c r="X123" s="91"/>
      <c r="Y123" s="91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R123" s="115"/>
    </row>
    <row r="124" spans="1:44" x14ac:dyDescent="0.25">
      <c r="A124" s="149" t="s">
        <v>105</v>
      </c>
      <c r="B124" s="149"/>
      <c r="C124" s="169">
        <v>41755519.776553854</v>
      </c>
      <c r="D124" s="175">
        <v>6.548</v>
      </c>
      <c r="E124" s="149" t="s">
        <v>89</v>
      </c>
      <c r="F124" s="111">
        <f>ROUND(C124*D124/100,0)</f>
        <v>2734151</v>
      </c>
      <c r="G124" s="175">
        <f>$G$90</f>
        <v>6.7170000000000005</v>
      </c>
      <c r="H124" s="149" t="s">
        <v>89</v>
      </c>
      <c r="I124" s="111">
        <f>ROUND(G124*$C124/100,0)</f>
        <v>2804718</v>
      </c>
      <c r="J124" s="111"/>
      <c r="K124" s="175" t="e">
        <f>K90</f>
        <v>#DIV/0!</v>
      </c>
      <c r="L124" s="149" t="s">
        <v>89</v>
      </c>
      <c r="M124" s="111" t="e">
        <v>#DIV/0!</v>
      </c>
      <c r="N124" s="111"/>
      <c r="O124" s="175" t="e">
        <f>O90</f>
        <v>#DIV/0!</v>
      </c>
      <c r="P124" s="149" t="s">
        <v>89</v>
      </c>
      <c r="Q124" s="111" t="e">
        <v>#DIV/0!</v>
      </c>
      <c r="R124" s="111"/>
      <c r="S124" s="175" t="e">
        <f>S90</f>
        <v>#DIV/0!</v>
      </c>
      <c r="T124" s="149" t="s">
        <v>89</v>
      </c>
      <c r="U124" s="111" t="e">
        <v>#DIV/0!</v>
      </c>
      <c r="V124" s="44"/>
      <c r="W124" s="91"/>
      <c r="X124" s="91"/>
      <c r="Y124" s="91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R124" s="115"/>
    </row>
    <row r="125" spans="1:44" x14ac:dyDescent="0.25">
      <c r="A125" s="149" t="s">
        <v>106</v>
      </c>
      <c r="B125" s="149"/>
      <c r="C125" s="169">
        <v>47018320.003545634</v>
      </c>
      <c r="D125" s="175">
        <v>10.35</v>
      </c>
      <c r="E125" s="149" t="s">
        <v>89</v>
      </c>
      <c r="F125" s="111">
        <f>ROUND(C125*D125/100,0)</f>
        <v>4866396</v>
      </c>
      <c r="G125" s="175">
        <f>$G$91</f>
        <v>10.613</v>
      </c>
      <c r="H125" s="149" t="s">
        <v>89</v>
      </c>
      <c r="I125" s="111">
        <f>ROUND(G125*$C125/100,0)</f>
        <v>4990054</v>
      </c>
      <c r="J125" s="111"/>
      <c r="K125" s="175" t="e">
        <f>K91</f>
        <v>#DIV/0!</v>
      </c>
      <c r="L125" s="149" t="s">
        <v>89</v>
      </c>
      <c r="M125" s="111" t="e">
        <v>#DIV/0!</v>
      </c>
      <c r="N125" s="111"/>
      <c r="O125" s="175" t="e">
        <f>O91</f>
        <v>#DIV/0!</v>
      </c>
      <c r="P125" s="149" t="s">
        <v>89</v>
      </c>
      <c r="Q125" s="111" t="e">
        <v>#DIV/0!</v>
      </c>
      <c r="R125" s="111"/>
      <c r="S125" s="175" t="e">
        <f>S91</f>
        <v>#DIV/0!</v>
      </c>
      <c r="T125" s="149" t="s">
        <v>89</v>
      </c>
      <c r="U125" s="111" t="e">
        <v>#DIV/0!</v>
      </c>
      <c r="V125" s="44"/>
      <c r="W125" s="91"/>
      <c r="X125" s="91"/>
      <c r="Y125" s="91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R125" s="115"/>
    </row>
    <row r="126" spans="1:44" x14ac:dyDescent="0.25">
      <c r="A126" s="149" t="s">
        <v>107</v>
      </c>
      <c r="B126" s="149"/>
      <c r="C126" s="169">
        <v>0</v>
      </c>
      <c r="D126" s="173">
        <v>1.74</v>
      </c>
      <c r="E126" s="149"/>
      <c r="F126" s="111">
        <v>0</v>
      </c>
      <c r="G126" s="173">
        <f>$G$92</f>
        <v>1.78</v>
      </c>
      <c r="H126" s="149"/>
      <c r="I126" s="111">
        <f>ROUND(G126*$C126,0)</f>
        <v>0</v>
      </c>
      <c r="J126" s="111"/>
      <c r="K126" s="173">
        <v>0</v>
      </c>
      <c r="L126" s="149"/>
      <c r="M126" s="111">
        <v>0</v>
      </c>
      <c r="N126" s="111"/>
      <c r="O126" s="173">
        <v>0</v>
      </c>
      <c r="P126" s="149"/>
      <c r="Q126" s="111">
        <v>0</v>
      </c>
      <c r="R126" s="111"/>
      <c r="S126" s="173">
        <f>S92</f>
        <v>1.74</v>
      </c>
      <c r="T126" s="149"/>
      <c r="U126" s="111">
        <v>0</v>
      </c>
      <c r="V126" s="44"/>
      <c r="W126" s="91"/>
      <c r="X126" s="91"/>
      <c r="Y126" s="91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/>
      <c r="AR126" s="115"/>
    </row>
    <row r="127" spans="1:44" x14ac:dyDescent="0.25">
      <c r="A127" s="179" t="s">
        <v>108</v>
      </c>
      <c r="B127" s="179"/>
      <c r="C127" s="169">
        <v>0</v>
      </c>
      <c r="D127" s="173">
        <v>3.4</v>
      </c>
      <c r="E127" s="179"/>
      <c r="F127" s="111">
        <v>0</v>
      </c>
      <c r="G127" s="173">
        <f>$G$93</f>
        <v>3.5</v>
      </c>
      <c r="H127" s="179"/>
      <c r="I127" s="111">
        <f>ROUND(G127*$C127,0)</f>
        <v>0</v>
      </c>
      <c r="J127" s="111"/>
      <c r="K127" s="173">
        <v>0</v>
      </c>
      <c r="L127" s="179"/>
      <c r="M127" s="111">
        <v>0</v>
      </c>
      <c r="N127" s="111"/>
      <c r="O127" s="173">
        <v>0</v>
      </c>
      <c r="P127" s="179"/>
      <c r="Q127" s="111">
        <v>0</v>
      </c>
      <c r="R127" s="111"/>
      <c r="S127" s="173">
        <f>S93</f>
        <v>3.4</v>
      </c>
      <c r="T127" s="179"/>
      <c r="U127" s="111">
        <v>0</v>
      </c>
      <c r="V127" s="44"/>
      <c r="W127" s="91"/>
      <c r="X127" s="91"/>
      <c r="Y127" s="91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R127" s="115"/>
    </row>
    <row r="128" spans="1:44" x14ac:dyDescent="0.25">
      <c r="A128" s="179" t="s">
        <v>109</v>
      </c>
      <c r="B128" s="179"/>
      <c r="C128" s="169">
        <v>0</v>
      </c>
      <c r="D128" s="180">
        <v>-1.74</v>
      </c>
      <c r="E128" s="179"/>
      <c r="F128" s="111">
        <v>0</v>
      </c>
      <c r="G128" s="180">
        <f>-G126</f>
        <v>-1.78</v>
      </c>
      <c r="H128" s="179"/>
      <c r="I128" s="111">
        <f>ROUND(G128*$C128,0)</f>
        <v>0</v>
      </c>
      <c r="J128" s="111"/>
      <c r="K128" s="180">
        <f>-K126</f>
        <v>0</v>
      </c>
      <c r="L128" s="179"/>
      <c r="M128" s="111">
        <v>0</v>
      </c>
      <c r="N128" s="111"/>
      <c r="O128" s="180">
        <f>-O126</f>
        <v>0</v>
      </c>
      <c r="P128" s="179"/>
      <c r="Q128" s="111">
        <v>0</v>
      </c>
      <c r="R128" s="111"/>
      <c r="S128" s="180">
        <f>-S126</f>
        <v>-1.74</v>
      </c>
      <c r="T128" s="179"/>
      <c r="U128" s="111">
        <v>0</v>
      </c>
      <c r="V128" s="44"/>
      <c r="W128" s="91"/>
      <c r="X128" s="91"/>
      <c r="Y128" s="91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R128" s="115"/>
    </row>
    <row r="129" spans="1:44" s="120" customFormat="1" hidden="1" x14ac:dyDescent="0.25">
      <c r="A129" s="119" t="s">
        <v>110</v>
      </c>
      <c r="C129" s="121">
        <f>C124</f>
        <v>41755519.776553854</v>
      </c>
      <c r="D129" s="128">
        <v>0</v>
      </c>
      <c r="E129" s="122"/>
      <c r="F129" s="123"/>
      <c r="G129" s="124">
        <f>G113</f>
        <v>0</v>
      </c>
      <c r="H129" s="125" t="s">
        <v>89</v>
      </c>
      <c r="I129" s="123">
        <f>G129*C129/100</f>
        <v>0</v>
      </c>
      <c r="J129" s="123"/>
      <c r="K129" s="124" t="str">
        <f>K113</f>
        <v xml:space="preserve"> </v>
      </c>
      <c r="L129" s="125" t="s">
        <v>89</v>
      </c>
      <c r="M129" s="111">
        <v>0</v>
      </c>
      <c r="N129" s="123"/>
      <c r="O129" s="124" t="str">
        <f>O113</f>
        <v xml:space="preserve"> </v>
      </c>
      <c r="P129" s="125" t="s">
        <v>89</v>
      </c>
      <c r="Q129" s="111">
        <v>0</v>
      </c>
      <c r="R129" s="123"/>
      <c r="S129" s="124">
        <f>S113</f>
        <v>0</v>
      </c>
      <c r="T129" s="125" t="s">
        <v>89</v>
      </c>
      <c r="U129" s="111">
        <v>0</v>
      </c>
      <c r="W129" s="112"/>
      <c r="Z129" s="127"/>
      <c r="AA129" s="127"/>
      <c r="AF129" s="122"/>
      <c r="AG129" s="122"/>
      <c r="AH129" s="122"/>
      <c r="AI129" s="122"/>
      <c r="AJ129" s="122"/>
      <c r="AK129" s="122"/>
      <c r="AL129" s="122"/>
      <c r="AM129" s="122"/>
      <c r="AN129" s="122"/>
      <c r="AO129" s="122"/>
      <c r="AP129" s="122"/>
      <c r="AR129" s="126"/>
    </row>
    <row r="130" spans="1:44" s="120" customFormat="1" hidden="1" x14ac:dyDescent="0.25">
      <c r="A130" s="119" t="s">
        <v>111</v>
      </c>
      <c r="C130" s="121">
        <f>C125</f>
        <v>47018320.003545634</v>
      </c>
      <c r="D130" s="128">
        <v>0</v>
      </c>
      <c r="E130" s="122"/>
      <c r="F130" s="123"/>
      <c r="G130" s="124">
        <f>G114</f>
        <v>0</v>
      </c>
      <c r="H130" s="125" t="s">
        <v>89</v>
      </c>
      <c r="I130" s="123">
        <f>G130*C130/100</f>
        <v>0</v>
      </c>
      <c r="J130" s="123"/>
      <c r="K130" s="124" t="str">
        <f>K114</f>
        <v xml:space="preserve"> </v>
      </c>
      <c r="L130" s="125" t="s">
        <v>89</v>
      </c>
      <c r="M130" s="111">
        <v>0</v>
      </c>
      <c r="N130" s="123"/>
      <c r="O130" s="124" t="str">
        <f>O114</f>
        <v xml:space="preserve"> </v>
      </c>
      <c r="P130" s="125" t="s">
        <v>89</v>
      </c>
      <c r="Q130" s="111">
        <v>0</v>
      </c>
      <c r="R130" s="123"/>
      <c r="S130" s="124">
        <f>S114</f>
        <v>0</v>
      </c>
      <c r="T130" s="125" t="s">
        <v>89</v>
      </c>
      <c r="U130" s="111">
        <v>0</v>
      </c>
      <c r="W130" s="112"/>
      <c r="Z130" s="127"/>
      <c r="AA130" s="127"/>
      <c r="AF130" s="122"/>
      <c r="AG130" s="122"/>
      <c r="AH130" s="122"/>
      <c r="AI130" s="122"/>
      <c r="AJ130" s="122"/>
      <c r="AK130" s="122"/>
      <c r="AL130" s="122"/>
      <c r="AM130" s="122"/>
      <c r="AN130" s="122"/>
      <c r="AO130" s="122"/>
      <c r="AP130" s="122"/>
      <c r="AR130" s="126"/>
    </row>
    <row r="131" spans="1:44" x14ac:dyDescent="0.25">
      <c r="A131" s="149" t="s">
        <v>114</v>
      </c>
      <c r="B131" s="149"/>
      <c r="C131" s="169">
        <f>SUM(C124:C125)</f>
        <v>88773839.780099481</v>
      </c>
      <c r="D131" s="189"/>
      <c r="E131" s="111"/>
      <c r="F131" s="111">
        <f>SUM(F123:F128)</f>
        <v>8154839</v>
      </c>
      <c r="G131" s="111"/>
      <c r="H131" s="111"/>
      <c r="I131" s="111">
        <f>SUM(I123:I130)</f>
        <v>8349064</v>
      </c>
      <c r="J131" s="111"/>
      <c r="K131" s="111"/>
      <c r="L131" s="111"/>
      <c r="M131" s="111" t="e">
        <f>SUM(M123:M130)</f>
        <v>#DIV/0!</v>
      </c>
      <c r="N131" s="111"/>
      <c r="O131" s="111"/>
      <c r="P131" s="111"/>
      <c r="Q131" s="111" t="e">
        <f>SUM(Q123:Q130)</f>
        <v>#DIV/0!</v>
      </c>
      <c r="R131" s="111"/>
      <c r="S131" s="111"/>
      <c r="T131" s="111"/>
      <c r="U131" s="111" t="e">
        <f>SUM(U123:U130)</f>
        <v>#DIV/0!</v>
      </c>
      <c r="V131" s="44"/>
      <c r="W131" s="91"/>
      <c r="X131" s="91"/>
      <c r="Y131" s="91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R131" s="115"/>
    </row>
    <row r="132" spans="1:44" x14ac:dyDescent="0.25">
      <c r="A132" s="149" t="s">
        <v>92</v>
      </c>
      <c r="B132" s="149"/>
      <c r="C132" s="200">
        <v>1109915.5774999433</v>
      </c>
      <c r="D132" s="134"/>
      <c r="E132" s="134"/>
      <c r="F132" s="132">
        <v>112036.90433211296</v>
      </c>
      <c r="G132" s="134"/>
      <c r="H132" s="134"/>
      <c r="I132" s="132">
        <f>F132</f>
        <v>112036.90433211296</v>
      </c>
      <c r="J132" s="133"/>
      <c r="K132" s="134"/>
      <c r="L132" s="134"/>
      <c r="M132" s="132" t="e">
        <f>I132/$I$100*$M$100</f>
        <v>#DIV/0!</v>
      </c>
      <c r="N132" s="133"/>
      <c r="O132" s="134"/>
      <c r="P132" s="134"/>
      <c r="Q132" s="132" t="e">
        <f>I132/$I$100*$Q$100</f>
        <v>#DIV/0!</v>
      </c>
      <c r="R132" s="133"/>
      <c r="S132" s="134"/>
      <c r="T132" s="134"/>
      <c r="U132" s="132" t="e">
        <f>I132/$I$100*$U$100</f>
        <v>#DIV/0!</v>
      </c>
      <c r="V132" s="165"/>
      <c r="W132" s="163"/>
      <c r="X132" s="91"/>
      <c r="Y132" s="91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R132" s="115"/>
    </row>
    <row r="133" spans="1:44" ht="16.5" thickBot="1" x14ac:dyDescent="0.3">
      <c r="A133" s="149" t="s">
        <v>115</v>
      </c>
      <c r="B133" s="149"/>
      <c r="C133" s="192">
        <f>C131+C132</f>
        <v>89883755.357599422</v>
      </c>
      <c r="D133" s="137"/>
      <c r="E133" s="137"/>
      <c r="F133" s="137">
        <f>SUM(F131:F132)</f>
        <v>8266875.9043321125</v>
      </c>
      <c r="G133" s="137"/>
      <c r="H133" s="137"/>
      <c r="I133" s="137">
        <f>I131+I132</f>
        <v>8461100.9043321125</v>
      </c>
      <c r="J133" s="133"/>
      <c r="K133" s="137"/>
      <c r="L133" s="137"/>
      <c r="M133" s="137" t="e">
        <f>M131+M132</f>
        <v>#DIV/0!</v>
      </c>
      <c r="N133" s="137"/>
      <c r="O133" s="137"/>
      <c r="P133" s="137"/>
      <c r="Q133" s="137" t="e">
        <f>Q131+Q132</f>
        <v>#DIV/0!</v>
      </c>
      <c r="R133" s="137"/>
      <c r="S133" s="137"/>
      <c r="T133" s="137"/>
      <c r="U133" s="137" t="e">
        <f>U131+U132</f>
        <v>#DIV/0!</v>
      </c>
      <c r="V133" s="166"/>
      <c r="W133" s="167"/>
      <c r="X133" s="91"/>
      <c r="Y133" s="91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  <c r="AP133" s="44"/>
      <c r="AR133" s="115"/>
    </row>
    <row r="134" spans="1:44" ht="16.5" hidden="1" thickTop="1" x14ac:dyDescent="0.25">
      <c r="A134" s="149"/>
      <c r="B134" s="195"/>
      <c r="C134" s="169"/>
      <c r="D134" s="149" t="s">
        <v>0</v>
      </c>
      <c r="E134" s="149"/>
      <c r="G134" s="149" t="s">
        <v>0</v>
      </c>
      <c r="H134" s="149"/>
      <c r="I134" s="111" t="s">
        <v>0</v>
      </c>
      <c r="J134" s="111"/>
      <c r="K134" s="149" t="s">
        <v>0</v>
      </c>
      <c r="L134" s="149"/>
      <c r="M134" s="111" t="s">
        <v>0</v>
      </c>
      <c r="N134" s="111"/>
      <c r="O134" s="149" t="s">
        <v>0</v>
      </c>
      <c r="P134" s="149"/>
      <c r="Q134" s="111" t="s">
        <v>0</v>
      </c>
      <c r="R134" s="111"/>
      <c r="S134" s="149" t="s">
        <v>0</v>
      </c>
      <c r="T134" s="149"/>
      <c r="U134" s="111" t="s">
        <v>0</v>
      </c>
      <c r="V134" s="44"/>
      <c r="W134" s="91"/>
      <c r="X134" s="91"/>
      <c r="Y134" s="91"/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  <c r="AJ134" s="44"/>
      <c r="AK134" s="44"/>
      <c r="AL134" s="44"/>
      <c r="AM134" s="44"/>
      <c r="AN134" s="44"/>
      <c r="AO134" s="44"/>
      <c r="AP134" s="44"/>
      <c r="AR134" s="115"/>
    </row>
    <row r="135" spans="1:44" ht="16.5" hidden="1" thickTop="1" x14ac:dyDescent="0.25">
      <c r="A135" s="168" t="s">
        <v>119</v>
      </c>
      <c r="B135" s="149"/>
      <c r="C135" s="149"/>
      <c r="D135" s="169"/>
      <c r="E135" s="149"/>
      <c r="F135" s="149"/>
      <c r="G135" s="169"/>
      <c r="H135" s="149"/>
      <c r="I135" s="149"/>
      <c r="J135" s="149"/>
      <c r="K135" s="169"/>
      <c r="L135" s="149"/>
      <c r="M135" s="149"/>
      <c r="N135" s="149"/>
      <c r="O135" s="169"/>
      <c r="P135" s="149"/>
      <c r="Q135" s="149"/>
      <c r="R135" s="149"/>
      <c r="S135" s="169"/>
      <c r="T135" s="149"/>
      <c r="U135" s="149"/>
      <c r="V135" s="44"/>
      <c r="W135" s="91"/>
      <c r="X135" s="91"/>
      <c r="Y135" s="91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  <c r="AK135" s="44"/>
      <c r="AL135" s="44"/>
      <c r="AM135" s="44"/>
      <c r="AN135" s="44"/>
      <c r="AO135" s="44"/>
      <c r="AP135" s="44"/>
      <c r="AR135" s="115"/>
    </row>
    <row r="136" spans="1:44" ht="16.5" hidden="1" thickTop="1" x14ac:dyDescent="0.25">
      <c r="A136" s="149" t="s">
        <v>41</v>
      </c>
      <c r="B136" s="149"/>
      <c r="C136" s="149"/>
      <c r="D136" s="169"/>
      <c r="E136" s="149"/>
      <c r="F136" s="149"/>
      <c r="G136" s="169"/>
      <c r="H136" s="149"/>
      <c r="I136" s="149"/>
      <c r="J136" s="149"/>
      <c r="K136" s="169"/>
      <c r="L136" s="149"/>
      <c r="M136" s="149"/>
      <c r="N136" s="149"/>
      <c r="O136" s="169"/>
      <c r="P136" s="149"/>
      <c r="Q136" s="149"/>
      <c r="R136" s="149"/>
      <c r="S136" s="169"/>
      <c r="T136" s="149"/>
      <c r="U136" s="149"/>
      <c r="V136" s="44"/>
      <c r="W136" s="91"/>
      <c r="X136" s="91"/>
      <c r="Y136" s="91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  <c r="AN136" s="44"/>
      <c r="AO136" s="44"/>
      <c r="AP136" s="44"/>
      <c r="AR136" s="115"/>
    </row>
    <row r="137" spans="1:44" ht="16.5" hidden="1" thickTop="1" x14ac:dyDescent="0.25">
      <c r="A137" s="171"/>
      <c r="B137" s="149"/>
      <c r="C137" s="149"/>
      <c r="D137" s="169"/>
      <c r="E137" s="149"/>
      <c r="F137" s="149"/>
      <c r="G137" s="169"/>
      <c r="H137" s="149"/>
      <c r="I137" s="149"/>
      <c r="J137" s="149"/>
      <c r="K137" s="169"/>
      <c r="L137" s="149"/>
      <c r="M137" s="149"/>
      <c r="N137" s="149"/>
      <c r="O137" s="169"/>
      <c r="P137" s="149"/>
      <c r="Q137" s="149"/>
      <c r="R137" s="149"/>
      <c r="S137" s="169"/>
      <c r="T137" s="149"/>
      <c r="U137" s="149"/>
      <c r="V137" s="44"/>
      <c r="W137" s="91"/>
      <c r="X137" s="91"/>
      <c r="Y137" s="91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R137" s="115"/>
    </row>
    <row r="138" spans="1:44" ht="16.5" hidden="1" thickTop="1" x14ac:dyDescent="0.25">
      <c r="A138" s="149" t="s">
        <v>104</v>
      </c>
      <c r="B138" s="149"/>
      <c r="C138" s="169">
        <v>995.23225806451603</v>
      </c>
      <c r="D138" s="173">
        <v>7.75</v>
      </c>
      <c r="E138" s="149"/>
      <c r="F138" s="111">
        <f>ROUND(D138*C138,0)</f>
        <v>7713</v>
      </c>
      <c r="G138" s="173">
        <f>$G$89</f>
        <v>7.75</v>
      </c>
      <c r="H138" s="149"/>
      <c r="I138" s="111">
        <f>ROUND(G138*$C138,0)</f>
        <v>7713</v>
      </c>
      <c r="J138" s="111"/>
      <c r="K138" s="173">
        <f>$K$89</f>
        <v>7.75</v>
      </c>
      <c r="L138" s="149"/>
      <c r="M138" s="111">
        <f>K138*$C138</f>
        <v>7713.0499999999993</v>
      </c>
      <c r="N138" s="111"/>
      <c r="O138" s="173" t="str">
        <f>$O$89</f>
        <v xml:space="preserve"> </v>
      </c>
      <c r="P138" s="149"/>
      <c r="Q138" s="111">
        <f>ROUND(O138*$C138,0)</f>
        <v>0</v>
      </c>
      <c r="R138" s="111"/>
      <c r="S138" s="173" t="str">
        <f>$S$89</f>
        <v xml:space="preserve"> </v>
      </c>
      <c r="T138" s="149"/>
      <c r="U138" s="111">
        <f>ROUND(S138*$C138,0)</f>
        <v>0</v>
      </c>
      <c r="V138" s="44"/>
      <c r="W138" s="91"/>
      <c r="X138" s="91"/>
      <c r="Y138" s="91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R138" s="115"/>
    </row>
    <row r="139" spans="1:44" ht="16.5" hidden="1" thickTop="1" x14ac:dyDescent="0.25">
      <c r="A139" s="149" t="s">
        <v>105</v>
      </c>
      <c r="B139" s="149"/>
      <c r="C139" s="169">
        <v>563242.07586769864</v>
      </c>
      <c r="D139" s="175">
        <v>6.548</v>
      </c>
      <c r="E139" s="149" t="s">
        <v>89</v>
      </c>
      <c r="F139" s="111">
        <f>ROUND(C139*D139/100,0)</f>
        <v>36881</v>
      </c>
      <c r="G139" s="175">
        <f>$G$90</f>
        <v>6.7170000000000005</v>
      </c>
      <c r="H139" s="149" t="s">
        <v>89</v>
      </c>
      <c r="I139" s="111">
        <f>ROUND(G139*$C139/100,0)</f>
        <v>37833</v>
      </c>
      <c r="J139" s="111"/>
      <c r="K139" s="175" t="e">
        <f>K90</f>
        <v>#DIV/0!</v>
      </c>
      <c r="L139" s="149" t="s">
        <v>89</v>
      </c>
      <c r="M139" s="111" t="e">
        <f>K139*$C139/100</f>
        <v>#DIV/0!</v>
      </c>
      <c r="N139" s="111"/>
      <c r="O139" s="175" t="e">
        <f>O90</f>
        <v>#DIV/0!</v>
      </c>
      <c r="P139" s="149" t="s">
        <v>89</v>
      </c>
      <c r="Q139" s="111" t="e">
        <f>ROUND(O139*$C139/100,0)</f>
        <v>#DIV/0!</v>
      </c>
      <c r="R139" s="111"/>
      <c r="S139" s="175" t="e">
        <f>S90</f>
        <v>#DIV/0!</v>
      </c>
      <c r="T139" s="149" t="s">
        <v>89</v>
      </c>
      <c r="U139" s="111" t="e">
        <f>ROUND(S139*$C139/100,0)</f>
        <v>#DIV/0!</v>
      </c>
      <c r="V139" s="44"/>
      <c r="W139" s="91"/>
      <c r="X139" s="91"/>
      <c r="Y139" s="91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R139" s="115"/>
    </row>
    <row r="140" spans="1:44" ht="16.5" hidden="1" thickTop="1" x14ac:dyDescent="0.25">
      <c r="A140" s="149" t="s">
        <v>106</v>
      </c>
      <c r="B140" s="149"/>
      <c r="C140" s="169">
        <v>1663533.139932974</v>
      </c>
      <c r="D140" s="175">
        <v>10.35</v>
      </c>
      <c r="E140" s="149" t="s">
        <v>89</v>
      </c>
      <c r="F140" s="111">
        <f>ROUND(C140*D140/100,0)</f>
        <v>172176</v>
      </c>
      <c r="G140" s="175">
        <f>$G$91</f>
        <v>10.613</v>
      </c>
      <c r="H140" s="149" t="s">
        <v>89</v>
      </c>
      <c r="I140" s="111">
        <f>ROUND(G140*$C140/100,0)</f>
        <v>176551</v>
      </c>
      <c r="J140" s="111"/>
      <c r="K140" s="175" t="e">
        <f>K110</f>
        <v>#DIV/0!</v>
      </c>
      <c r="L140" s="149" t="s">
        <v>89</v>
      </c>
      <c r="M140" s="111" t="e">
        <f>K140*$C140/100</f>
        <v>#DIV/0!</v>
      </c>
      <c r="N140" s="111"/>
      <c r="O140" s="175" t="e">
        <f>O110</f>
        <v>#DIV/0!</v>
      </c>
      <c r="P140" s="149" t="s">
        <v>89</v>
      </c>
      <c r="Q140" s="111" t="e">
        <f>ROUND(O140*$C140/100,0)</f>
        <v>#DIV/0!</v>
      </c>
      <c r="R140" s="111"/>
      <c r="S140" s="175" t="e">
        <f>S110</f>
        <v>#DIV/0!</v>
      </c>
      <c r="T140" s="149" t="s">
        <v>89</v>
      </c>
      <c r="U140" s="111" t="e">
        <f>ROUND(S140*$C140/100,0)</f>
        <v>#DIV/0!</v>
      </c>
      <c r="V140" s="44"/>
      <c r="W140" s="91"/>
      <c r="X140" s="91"/>
      <c r="Y140" s="91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  <c r="AK140" s="44"/>
      <c r="AL140" s="44"/>
      <c r="AM140" s="44"/>
      <c r="AN140" s="44"/>
      <c r="AO140" s="44"/>
      <c r="AP140" s="44"/>
      <c r="AR140" s="115"/>
    </row>
    <row r="141" spans="1:44" ht="16.5" hidden="1" thickTop="1" x14ac:dyDescent="0.25">
      <c r="A141" s="149" t="s">
        <v>107</v>
      </c>
      <c r="B141" s="149"/>
      <c r="C141" s="169">
        <v>4598.5</v>
      </c>
      <c r="D141" s="173">
        <v>1.74</v>
      </c>
      <c r="E141" s="149"/>
      <c r="F141" s="111">
        <f>ROUND(D141*C141,0)</f>
        <v>8001</v>
      </c>
      <c r="G141" s="173">
        <f>$G$92</f>
        <v>1.78</v>
      </c>
      <c r="H141" s="149"/>
      <c r="I141" s="111">
        <f>ROUND(G141*$C141,0)</f>
        <v>8185</v>
      </c>
      <c r="J141" s="111"/>
      <c r="K141" s="173">
        <v>0</v>
      </c>
      <c r="L141" s="149"/>
      <c r="M141" s="111">
        <f>ROUND(K141*$C141,0)</f>
        <v>0</v>
      </c>
      <c r="N141" s="111"/>
      <c r="O141" s="173">
        <v>0</v>
      </c>
      <c r="P141" s="149"/>
      <c r="Q141" s="111">
        <f>ROUND(O141*$C141,0)</f>
        <v>0</v>
      </c>
      <c r="R141" s="111"/>
      <c r="S141" s="173">
        <f>S92</f>
        <v>1.74</v>
      </c>
      <c r="T141" s="149"/>
      <c r="U141" s="111">
        <f>ROUND(S141*$C141,0)</f>
        <v>8001</v>
      </c>
      <c r="V141" s="44"/>
      <c r="W141" s="91"/>
      <c r="X141" s="91"/>
      <c r="Y141" s="91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R141" s="115"/>
    </row>
    <row r="142" spans="1:44" ht="16.5" hidden="1" thickTop="1" x14ac:dyDescent="0.25">
      <c r="A142" s="179" t="s">
        <v>108</v>
      </c>
      <c r="B142" s="179"/>
      <c r="C142" s="169">
        <v>605</v>
      </c>
      <c r="D142" s="173">
        <v>3.4</v>
      </c>
      <c r="E142" s="179"/>
      <c r="F142" s="111">
        <f>ROUND(D142*C142,0)</f>
        <v>2057</v>
      </c>
      <c r="G142" s="173">
        <f>$G$93</f>
        <v>3.5</v>
      </c>
      <c r="H142" s="179"/>
      <c r="I142" s="111">
        <f>ROUND(G142*$C142,0)</f>
        <v>2118</v>
      </c>
      <c r="J142" s="111"/>
      <c r="K142" s="173">
        <v>0</v>
      </c>
      <c r="L142" s="179"/>
      <c r="M142" s="111">
        <f>ROUND(K142*$C142,0)</f>
        <v>0</v>
      </c>
      <c r="N142" s="111"/>
      <c r="O142" s="173">
        <v>0</v>
      </c>
      <c r="P142" s="179"/>
      <c r="Q142" s="111">
        <f>ROUND(O142*$C142,0)</f>
        <v>0</v>
      </c>
      <c r="R142" s="111"/>
      <c r="S142" s="173">
        <f>S93</f>
        <v>3.4</v>
      </c>
      <c r="T142" s="179"/>
      <c r="U142" s="111">
        <f>ROUND(S142*$C142,0)</f>
        <v>2057</v>
      </c>
      <c r="V142" s="44"/>
      <c r="W142" s="91"/>
      <c r="X142" s="91"/>
      <c r="Y142" s="91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  <c r="AK142" s="44"/>
      <c r="AL142" s="44"/>
      <c r="AM142" s="44"/>
      <c r="AN142" s="44"/>
      <c r="AO142" s="44"/>
      <c r="AP142" s="44"/>
      <c r="AR142" s="115"/>
    </row>
    <row r="143" spans="1:44" ht="16.5" hidden="1" thickTop="1" x14ac:dyDescent="0.25">
      <c r="A143" s="179" t="s">
        <v>109</v>
      </c>
      <c r="B143" s="179"/>
      <c r="C143" s="169">
        <v>55.5</v>
      </c>
      <c r="D143" s="180">
        <v>-1.74</v>
      </c>
      <c r="E143" s="179"/>
      <c r="F143" s="111">
        <f>ROUND(D143*C143,0)</f>
        <v>-97</v>
      </c>
      <c r="G143" s="180">
        <f>-G141</f>
        <v>-1.78</v>
      </c>
      <c r="H143" s="179"/>
      <c r="I143" s="111">
        <f>ROUND(G143*$C143,0)</f>
        <v>-99</v>
      </c>
      <c r="J143" s="111"/>
      <c r="K143" s="180">
        <f>-K141</f>
        <v>0</v>
      </c>
      <c r="L143" s="179"/>
      <c r="M143" s="111">
        <f>ROUND(K143*$C143,0)</f>
        <v>0</v>
      </c>
      <c r="N143" s="111"/>
      <c r="O143" s="180">
        <f>-O141</f>
        <v>0</v>
      </c>
      <c r="P143" s="179"/>
      <c r="Q143" s="111">
        <f>ROUND(O143*$C143,0)</f>
        <v>0</v>
      </c>
      <c r="R143" s="111"/>
      <c r="S143" s="180">
        <f>-S141</f>
        <v>-1.74</v>
      </c>
      <c r="T143" s="179"/>
      <c r="U143" s="111">
        <f>ROUND(S143*$C143,0)</f>
        <v>-97</v>
      </c>
      <c r="V143" s="44"/>
      <c r="W143" s="91"/>
      <c r="X143" s="91"/>
      <c r="Y143" s="91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  <c r="AJ143" s="44"/>
      <c r="AK143" s="44"/>
      <c r="AL143" s="44"/>
      <c r="AM143" s="44"/>
      <c r="AN143" s="44"/>
      <c r="AO143" s="44"/>
      <c r="AP143" s="44"/>
      <c r="AR143" s="115"/>
    </row>
    <row r="144" spans="1:44" s="120" customFormat="1" ht="16.5" hidden="1" thickTop="1" x14ac:dyDescent="0.25">
      <c r="A144" s="119" t="s">
        <v>110</v>
      </c>
      <c r="C144" s="121">
        <f>C139</f>
        <v>563242.07586769864</v>
      </c>
      <c r="D144" s="128">
        <v>0</v>
      </c>
      <c r="E144" s="122"/>
      <c r="F144" s="123"/>
      <c r="G144" s="124">
        <f>G129</f>
        <v>0</v>
      </c>
      <c r="H144" s="125" t="s">
        <v>89</v>
      </c>
      <c r="I144" s="123">
        <f>G144*C144/100</f>
        <v>0</v>
      </c>
      <c r="J144" s="123"/>
      <c r="K144" s="124" t="str">
        <f>K129</f>
        <v xml:space="preserve"> </v>
      </c>
      <c r="L144" s="125" t="s">
        <v>89</v>
      </c>
      <c r="M144" s="123">
        <f>K144*C144/100</f>
        <v>0</v>
      </c>
      <c r="N144" s="123"/>
      <c r="O144" s="124" t="str">
        <f>O129</f>
        <v xml:space="preserve"> </v>
      </c>
      <c r="P144" s="125" t="s">
        <v>89</v>
      </c>
      <c r="Q144" s="123">
        <f>O144*C144/100</f>
        <v>0</v>
      </c>
      <c r="R144" s="123"/>
      <c r="S144" s="124">
        <f>S129</f>
        <v>0</v>
      </c>
      <c r="T144" s="125" t="s">
        <v>89</v>
      </c>
      <c r="U144" s="123">
        <f>S144*C144/100</f>
        <v>0</v>
      </c>
      <c r="W144" s="112"/>
      <c r="Z144" s="127"/>
      <c r="AA144" s="127"/>
      <c r="AF144" s="122"/>
      <c r="AG144" s="122"/>
      <c r="AH144" s="122"/>
      <c r="AI144" s="122"/>
      <c r="AJ144" s="122"/>
      <c r="AK144" s="122"/>
      <c r="AL144" s="122"/>
      <c r="AM144" s="122"/>
      <c r="AN144" s="122"/>
      <c r="AO144" s="122"/>
      <c r="AP144" s="122"/>
      <c r="AR144" s="126"/>
    </row>
    <row r="145" spans="1:44" s="120" customFormat="1" ht="16.5" hidden="1" thickTop="1" x14ac:dyDescent="0.25">
      <c r="A145" s="119" t="s">
        <v>111</v>
      </c>
      <c r="C145" s="121">
        <f>C140</f>
        <v>1663533.139932974</v>
      </c>
      <c r="D145" s="128">
        <v>0</v>
      </c>
      <c r="E145" s="122"/>
      <c r="F145" s="123"/>
      <c r="G145" s="124">
        <f>G130</f>
        <v>0</v>
      </c>
      <c r="H145" s="125" t="s">
        <v>89</v>
      </c>
      <c r="I145" s="123">
        <f>G145*C145/100</f>
        <v>0</v>
      </c>
      <c r="J145" s="123"/>
      <c r="K145" s="124" t="str">
        <f>K130</f>
        <v xml:space="preserve"> </v>
      </c>
      <c r="L145" s="125" t="s">
        <v>89</v>
      </c>
      <c r="M145" s="123">
        <f>K145*C145/100</f>
        <v>0</v>
      </c>
      <c r="N145" s="123"/>
      <c r="O145" s="124" t="str">
        <f>O130</f>
        <v xml:space="preserve"> </v>
      </c>
      <c r="P145" s="125" t="s">
        <v>89</v>
      </c>
      <c r="Q145" s="123">
        <f>O145*C145/100</f>
        <v>0</v>
      </c>
      <c r="R145" s="123"/>
      <c r="S145" s="124">
        <f>S130</f>
        <v>0</v>
      </c>
      <c r="T145" s="125" t="s">
        <v>89</v>
      </c>
      <c r="U145" s="123">
        <f>S145*C145/100</f>
        <v>0</v>
      </c>
      <c r="W145" s="112"/>
      <c r="Z145" s="127"/>
      <c r="AA145" s="127"/>
      <c r="AF145" s="122"/>
      <c r="AG145" s="122"/>
      <c r="AH145" s="122"/>
      <c r="AI145" s="122"/>
      <c r="AJ145" s="122"/>
      <c r="AK145" s="122"/>
      <c r="AL145" s="122"/>
      <c r="AM145" s="122"/>
      <c r="AN145" s="122"/>
      <c r="AO145" s="122"/>
      <c r="AP145" s="122"/>
      <c r="AR145" s="126"/>
    </row>
    <row r="146" spans="1:44" ht="16.5" hidden="1" thickTop="1" x14ac:dyDescent="0.25">
      <c r="A146" s="149" t="s">
        <v>114</v>
      </c>
      <c r="B146" s="188"/>
      <c r="C146" s="169">
        <f>SUM(C139:C140)</f>
        <v>2226775.2158006728</v>
      </c>
      <c r="D146" s="189"/>
      <c r="E146" s="111"/>
      <c r="F146" s="111">
        <f>SUM(F138:F143)</f>
        <v>226731</v>
      </c>
      <c r="G146" s="111"/>
      <c r="H146" s="111"/>
      <c r="I146" s="111">
        <f>SUM(I138:I145)</f>
        <v>232301</v>
      </c>
      <c r="J146" s="111"/>
      <c r="K146" s="111"/>
      <c r="L146" s="111"/>
      <c r="M146" s="111" t="e">
        <f>SUM(M138:M145)</f>
        <v>#DIV/0!</v>
      </c>
      <c r="N146" s="111"/>
      <c r="O146" s="111"/>
      <c r="P146" s="111"/>
      <c r="Q146" s="111" t="e">
        <f>SUM(Q138:Q145)</f>
        <v>#DIV/0!</v>
      </c>
      <c r="R146" s="111"/>
      <c r="S146" s="111"/>
      <c r="T146" s="111"/>
      <c r="U146" s="111" t="e">
        <f>SUM(U138:U145)</f>
        <v>#DIV/0!</v>
      </c>
      <c r="V146" s="44"/>
      <c r="W146" s="91"/>
      <c r="X146" s="91"/>
      <c r="Y146" s="91"/>
      <c r="Z146" s="44"/>
      <c r="AA146" s="44"/>
      <c r="AB146" s="44"/>
      <c r="AC146" s="44"/>
      <c r="AD146" s="44"/>
      <c r="AE146" s="44"/>
      <c r="AF146" s="44"/>
      <c r="AG146" s="44"/>
      <c r="AH146" s="44"/>
      <c r="AI146" s="44"/>
      <c r="AJ146" s="44"/>
      <c r="AK146" s="44"/>
      <c r="AL146" s="44"/>
      <c r="AM146" s="44"/>
      <c r="AN146" s="44"/>
      <c r="AO146" s="44"/>
      <c r="AP146" s="44"/>
      <c r="AR146" s="115"/>
    </row>
    <row r="147" spans="1:44" ht="16.5" hidden="1" thickTop="1" x14ac:dyDescent="0.25">
      <c r="A147" s="149" t="s">
        <v>92</v>
      </c>
      <c r="B147" s="201"/>
      <c r="C147" s="200">
        <v>28355.575910563297</v>
      </c>
      <c r="D147" s="134"/>
      <c r="E147" s="134"/>
      <c r="F147" s="132">
        <v>3166.5031041856219</v>
      </c>
      <c r="G147" s="134"/>
      <c r="H147" s="134"/>
      <c r="I147" s="132">
        <f>F147</f>
        <v>3166.5031041856219</v>
      </c>
      <c r="J147" s="133"/>
      <c r="K147" s="134"/>
      <c r="L147" s="134"/>
      <c r="M147" s="132" t="e">
        <f>I147/$I$100*$M$100</f>
        <v>#DIV/0!</v>
      </c>
      <c r="N147" s="133"/>
      <c r="O147" s="134"/>
      <c r="P147" s="134"/>
      <c r="Q147" s="132" t="e">
        <f>I147/$I$100*$Q$100</f>
        <v>#DIV/0!</v>
      </c>
      <c r="R147" s="133"/>
      <c r="S147" s="134"/>
      <c r="T147" s="134"/>
      <c r="U147" s="132" t="e">
        <f>I147/$I$100*$U$100</f>
        <v>#DIV/0!</v>
      </c>
      <c r="V147" s="165"/>
      <c r="W147" s="163"/>
      <c r="X147" s="91"/>
      <c r="Y147" s="91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  <c r="AN147" s="44"/>
      <c r="AO147" s="44"/>
      <c r="AP147" s="44"/>
      <c r="AR147" s="115"/>
    </row>
    <row r="148" spans="1:44" ht="17.25" hidden="1" thickTop="1" thickBot="1" x14ac:dyDescent="0.3">
      <c r="A148" s="149" t="s">
        <v>115</v>
      </c>
      <c r="B148" s="149"/>
      <c r="C148" s="192">
        <f>C146+C147</f>
        <v>2255130.7917112359</v>
      </c>
      <c r="D148" s="137"/>
      <c r="E148" s="137"/>
      <c r="F148" s="137">
        <f>F146+F147</f>
        <v>229897.50310418563</v>
      </c>
      <c r="G148" s="137"/>
      <c r="H148" s="137"/>
      <c r="I148" s="137">
        <f>I146+I147</f>
        <v>235467.50310418563</v>
      </c>
      <c r="J148" s="133"/>
      <c r="K148" s="137"/>
      <c r="L148" s="137"/>
      <c r="M148" s="137" t="e">
        <f>M146+M147</f>
        <v>#DIV/0!</v>
      </c>
      <c r="N148" s="137"/>
      <c r="O148" s="137"/>
      <c r="P148" s="137"/>
      <c r="Q148" s="137" t="e">
        <f>Q146+Q147</f>
        <v>#DIV/0!</v>
      </c>
      <c r="R148" s="137"/>
      <c r="S148" s="137"/>
      <c r="T148" s="137"/>
      <c r="U148" s="137" t="e">
        <f>U146+U147</f>
        <v>#DIV/0!</v>
      </c>
      <c r="V148" s="166"/>
      <c r="W148" s="167"/>
      <c r="X148" s="91"/>
      <c r="Y148" s="91"/>
      <c r="Z148" s="44"/>
      <c r="AA148" s="44"/>
      <c r="AB148" s="44"/>
      <c r="AC148" s="44"/>
      <c r="AD148" s="44"/>
      <c r="AE148" s="44"/>
      <c r="AF148" s="44"/>
      <c r="AG148" s="44"/>
      <c r="AH148" s="44"/>
      <c r="AI148" s="44"/>
      <c r="AJ148" s="44"/>
      <c r="AK148" s="44"/>
      <c r="AL148" s="44"/>
      <c r="AM148" s="44"/>
      <c r="AN148" s="44"/>
      <c r="AO148" s="44"/>
      <c r="AP148" s="44"/>
      <c r="AR148" s="115"/>
    </row>
    <row r="149" spans="1:44" ht="16.5" hidden="1" thickTop="1" x14ac:dyDescent="0.25">
      <c r="A149" s="149"/>
      <c r="B149" s="195"/>
      <c r="C149" s="169"/>
      <c r="D149" s="149" t="s">
        <v>0</v>
      </c>
      <c r="E149" s="149"/>
      <c r="G149" s="149" t="s">
        <v>0</v>
      </c>
      <c r="H149" s="149"/>
      <c r="I149" s="111" t="s">
        <v>0</v>
      </c>
      <c r="J149" s="111"/>
      <c r="K149" s="149" t="s">
        <v>0</v>
      </c>
      <c r="L149" s="149"/>
      <c r="M149" s="111" t="s">
        <v>0</v>
      </c>
      <c r="N149" s="111"/>
      <c r="O149" s="149" t="s">
        <v>0</v>
      </c>
      <c r="P149" s="149"/>
      <c r="Q149" s="111" t="s">
        <v>0</v>
      </c>
      <c r="R149" s="111"/>
      <c r="S149" s="149" t="s">
        <v>0</v>
      </c>
      <c r="T149" s="149"/>
      <c r="U149" s="111" t="s">
        <v>0</v>
      </c>
      <c r="V149" s="44"/>
      <c r="W149" s="91"/>
      <c r="X149" s="91"/>
      <c r="Y149" s="91"/>
      <c r="Z149" s="44"/>
      <c r="AA149" s="44"/>
      <c r="AB149" s="44"/>
      <c r="AC149" s="44"/>
      <c r="AD149" s="44"/>
      <c r="AE149" s="44"/>
      <c r="AF149" s="44"/>
      <c r="AG149" s="44"/>
      <c r="AH149" s="44"/>
      <c r="AI149" s="44"/>
      <c r="AJ149" s="44"/>
      <c r="AK149" s="44"/>
      <c r="AL149" s="44"/>
      <c r="AM149" s="44"/>
      <c r="AN149" s="44"/>
      <c r="AO149" s="44"/>
      <c r="AP149" s="44"/>
      <c r="AR149" s="115"/>
    </row>
    <row r="150" spans="1:44" ht="16.5" hidden="1" thickTop="1" x14ac:dyDescent="0.25">
      <c r="A150" s="168" t="s">
        <v>120</v>
      </c>
      <c r="B150" s="149"/>
      <c r="C150" s="149"/>
      <c r="D150" s="169"/>
      <c r="E150" s="149"/>
      <c r="F150" s="149"/>
      <c r="G150" s="169"/>
      <c r="H150" s="149"/>
      <c r="I150" s="149"/>
      <c r="J150" s="149"/>
      <c r="K150" s="169"/>
      <c r="L150" s="149"/>
      <c r="M150" s="149"/>
      <c r="N150" s="149"/>
      <c r="O150" s="169"/>
      <c r="P150" s="149"/>
      <c r="Q150" s="149"/>
      <c r="R150" s="149"/>
      <c r="S150" s="169"/>
      <c r="T150" s="149"/>
      <c r="U150" s="149"/>
      <c r="V150" s="44"/>
      <c r="W150" s="91"/>
      <c r="X150" s="91"/>
      <c r="Y150" s="91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R150" s="115"/>
    </row>
    <row r="151" spans="1:44" ht="16.5" hidden="1" thickTop="1" x14ac:dyDescent="0.25">
      <c r="A151" s="149" t="s">
        <v>41</v>
      </c>
      <c r="B151" s="149"/>
      <c r="C151" s="149"/>
      <c r="D151" s="169"/>
      <c r="E151" s="149"/>
      <c r="F151" s="149"/>
      <c r="G151" s="169"/>
      <c r="H151" s="149"/>
      <c r="I151" s="149"/>
      <c r="J151" s="149"/>
      <c r="K151" s="169"/>
      <c r="L151" s="149"/>
      <c r="M151" s="149"/>
      <c r="N151" s="149"/>
      <c r="O151" s="169"/>
      <c r="P151" s="149"/>
      <c r="Q151" s="149"/>
      <c r="R151" s="149"/>
      <c r="S151" s="169"/>
      <c r="T151" s="149"/>
      <c r="U151" s="149"/>
      <c r="V151" s="44"/>
      <c r="W151" s="91"/>
      <c r="X151" s="91"/>
      <c r="Y151" s="91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  <c r="AJ151" s="44"/>
      <c r="AK151" s="44"/>
      <c r="AL151" s="44"/>
      <c r="AM151" s="44"/>
      <c r="AN151" s="44"/>
      <c r="AO151" s="44"/>
      <c r="AP151" s="44"/>
      <c r="AR151" s="115"/>
    </row>
    <row r="152" spans="1:44" ht="16.5" hidden="1" thickTop="1" x14ac:dyDescent="0.25">
      <c r="A152" s="171"/>
      <c r="B152" s="149"/>
      <c r="C152" s="149"/>
      <c r="D152" s="169"/>
      <c r="E152" s="149"/>
      <c r="F152" s="149"/>
      <c r="G152" s="169"/>
      <c r="H152" s="149"/>
      <c r="I152" s="149"/>
      <c r="J152" s="149"/>
      <c r="K152" s="169"/>
      <c r="L152" s="149"/>
      <c r="M152" s="149"/>
      <c r="N152" s="149"/>
      <c r="O152" s="169"/>
      <c r="P152" s="149"/>
      <c r="Q152" s="149"/>
      <c r="R152" s="149"/>
      <c r="S152" s="169"/>
      <c r="T152" s="149"/>
      <c r="U152" s="149"/>
      <c r="V152" s="44"/>
      <c r="W152" s="91"/>
      <c r="X152" s="91"/>
      <c r="Y152" s="91"/>
      <c r="Z152" s="44"/>
      <c r="AA152" s="44"/>
      <c r="AB152" s="44"/>
      <c r="AC152" s="44"/>
      <c r="AD152" s="44"/>
      <c r="AE152" s="44"/>
      <c r="AF152" s="44"/>
      <c r="AG152" s="44"/>
      <c r="AH152" s="44"/>
      <c r="AI152" s="44"/>
      <c r="AJ152" s="44"/>
      <c r="AK152" s="44"/>
      <c r="AL152" s="44"/>
      <c r="AM152" s="44"/>
      <c r="AN152" s="44"/>
      <c r="AO152" s="44"/>
      <c r="AP152" s="44"/>
      <c r="AR152" s="115"/>
    </row>
    <row r="153" spans="1:44" ht="16.5" hidden="1" thickTop="1" x14ac:dyDescent="0.25">
      <c r="A153" s="149" t="s">
        <v>104</v>
      </c>
      <c r="B153" s="149"/>
      <c r="C153" s="169">
        <v>205</v>
      </c>
      <c r="D153" s="173">
        <v>7.75</v>
      </c>
      <c r="E153" s="149"/>
      <c r="F153" s="111">
        <f>ROUND(D153*C153,0)</f>
        <v>1589</v>
      </c>
      <c r="G153" s="173">
        <f>$G$89</f>
        <v>7.75</v>
      </c>
      <c r="H153" s="149"/>
      <c r="I153" s="111">
        <f>ROUND(G153*$C153,0)</f>
        <v>1589</v>
      </c>
      <c r="J153" s="111"/>
      <c r="K153" s="173">
        <f>$K$89</f>
        <v>7.75</v>
      </c>
      <c r="L153" s="149"/>
      <c r="M153" s="111">
        <f>K153*$C153</f>
        <v>1588.75</v>
      </c>
      <c r="N153" s="111"/>
      <c r="O153" s="173" t="str">
        <f>$O$89</f>
        <v xml:space="preserve"> </v>
      </c>
      <c r="P153" s="149"/>
      <c r="Q153" s="111">
        <f>ROUND(O153*$C153,0)</f>
        <v>0</v>
      </c>
      <c r="R153" s="111"/>
      <c r="S153" s="173" t="str">
        <f>$S$89</f>
        <v xml:space="preserve"> </v>
      </c>
      <c r="T153" s="149"/>
      <c r="U153" s="111">
        <f>ROUND(S153*$C153,0)</f>
        <v>0</v>
      </c>
      <c r="V153" s="44"/>
      <c r="W153" s="91"/>
      <c r="X153" s="91"/>
      <c r="Y153" s="91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/>
      <c r="AJ153" s="44"/>
      <c r="AK153" s="44"/>
      <c r="AL153" s="44"/>
      <c r="AM153" s="44"/>
      <c r="AN153" s="44"/>
      <c r="AO153" s="44"/>
      <c r="AP153" s="44"/>
      <c r="AR153" s="115"/>
    </row>
    <row r="154" spans="1:44" ht="16.5" hidden="1" thickTop="1" x14ac:dyDescent="0.25">
      <c r="A154" s="149" t="s">
        <v>105</v>
      </c>
      <c r="B154" s="149"/>
      <c r="C154" s="169">
        <v>121486</v>
      </c>
      <c r="D154" s="175">
        <v>6.548</v>
      </c>
      <c r="E154" s="149" t="s">
        <v>89</v>
      </c>
      <c r="F154" s="111">
        <f>ROUND(C154*D154/100,0)</f>
        <v>7955</v>
      </c>
      <c r="G154" s="175">
        <f>$G$90</f>
        <v>6.7170000000000005</v>
      </c>
      <c r="H154" s="149" t="s">
        <v>89</v>
      </c>
      <c r="I154" s="111">
        <f>ROUND(G154*$C154/100,0)</f>
        <v>8160</v>
      </c>
      <c r="J154" s="111"/>
      <c r="K154" s="175" t="e">
        <f>K90</f>
        <v>#DIV/0!</v>
      </c>
      <c r="L154" s="149" t="s">
        <v>89</v>
      </c>
      <c r="M154" s="111" t="e">
        <f>K154*$C154/100</f>
        <v>#DIV/0!</v>
      </c>
      <c r="N154" s="111"/>
      <c r="O154" s="175" t="e">
        <f>O90</f>
        <v>#DIV/0!</v>
      </c>
      <c r="P154" s="149" t="s">
        <v>89</v>
      </c>
      <c r="Q154" s="111" t="e">
        <f>ROUND(O154*$C154/100,0)</f>
        <v>#DIV/0!</v>
      </c>
      <c r="R154" s="111"/>
      <c r="S154" s="175" t="e">
        <f>S90</f>
        <v>#DIV/0!</v>
      </c>
      <c r="T154" s="149" t="s">
        <v>89</v>
      </c>
      <c r="U154" s="111" t="e">
        <f>ROUND(S154*$C154/100,0)</f>
        <v>#DIV/0!</v>
      </c>
      <c r="V154" s="44"/>
      <c r="W154" s="91"/>
      <c r="X154" s="91"/>
      <c r="Y154" s="91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  <c r="AK154" s="44"/>
      <c r="AL154" s="44"/>
      <c r="AM154" s="44"/>
      <c r="AN154" s="44"/>
      <c r="AO154" s="44"/>
      <c r="AP154" s="44"/>
      <c r="AR154" s="115"/>
    </row>
    <row r="155" spans="1:44" ht="16.5" hidden="1" thickTop="1" x14ac:dyDescent="0.25">
      <c r="A155" s="149" t="s">
        <v>106</v>
      </c>
      <c r="B155" s="149"/>
      <c r="C155" s="169">
        <v>275577</v>
      </c>
      <c r="D155" s="175">
        <v>10.35</v>
      </c>
      <c r="E155" s="149" t="s">
        <v>89</v>
      </c>
      <c r="F155" s="111">
        <f>ROUND(C155*D155/100,0)</f>
        <v>28522</v>
      </c>
      <c r="G155" s="175">
        <f>$G$91</f>
        <v>10.613</v>
      </c>
      <c r="H155" s="149" t="s">
        <v>89</v>
      </c>
      <c r="I155" s="111">
        <f>ROUND(G155*$C155/100,0)</f>
        <v>29247</v>
      </c>
      <c r="J155" s="111"/>
      <c r="K155" s="175" t="e">
        <f>K91</f>
        <v>#DIV/0!</v>
      </c>
      <c r="L155" s="149" t="s">
        <v>89</v>
      </c>
      <c r="M155" s="111" t="e">
        <f>K155*$C155/100</f>
        <v>#DIV/0!</v>
      </c>
      <c r="N155" s="111"/>
      <c r="O155" s="175" t="e">
        <f>O91</f>
        <v>#DIV/0!</v>
      </c>
      <c r="P155" s="149" t="s">
        <v>89</v>
      </c>
      <c r="Q155" s="111" t="e">
        <f>ROUND(O155*$C155/100,0)</f>
        <v>#DIV/0!</v>
      </c>
      <c r="R155" s="111"/>
      <c r="S155" s="175" t="e">
        <f>S91</f>
        <v>#DIV/0!</v>
      </c>
      <c r="T155" s="149" t="s">
        <v>89</v>
      </c>
      <c r="U155" s="111" t="e">
        <f>ROUND(S155*$C155/100,0)</f>
        <v>#DIV/0!</v>
      </c>
      <c r="V155" s="44"/>
      <c r="W155" s="91"/>
      <c r="X155" s="91"/>
      <c r="Y155" s="91"/>
      <c r="Z155" s="44"/>
      <c r="AA155" s="44"/>
      <c r="AB155" s="44"/>
      <c r="AC155" s="44"/>
      <c r="AD155" s="44"/>
      <c r="AE155" s="44"/>
      <c r="AF155" s="44"/>
      <c r="AG155" s="44"/>
      <c r="AH155" s="44"/>
      <c r="AI155" s="44"/>
      <c r="AJ155" s="44"/>
      <c r="AK155" s="44"/>
      <c r="AL155" s="44"/>
      <c r="AM155" s="44"/>
      <c r="AN155" s="44"/>
      <c r="AO155" s="44"/>
      <c r="AP155" s="44"/>
      <c r="AR155" s="115"/>
    </row>
    <row r="156" spans="1:44" ht="16.5" hidden="1" thickTop="1" x14ac:dyDescent="0.25">
      <c r="A156" s="149" t="s">
        <v>107</v>
      </c>
      <c r="B156" s="149"/>
      <c r="C156" s="169">
        <v>707.5</v>
      </c>
      <c r="D156" s="173">
        <v>1.74</v>
      </c>
      <c r="E156" s="149"/>
      <c r="F156" s="111">
        <f>ROUND(D156*C156,0)</f>
        <v>1231</v>
      </c>
      <c r="G156" s="173">
        <f>$G$92</f>
        <v>1.78</v>
      </c>
      <c r="H156" s="149"/>
      <c r="I156" s="111">
        <f>ROUND(G156*$C156,0)</f>
        <v>1259</v>
      </c>
      <c r="J156" s="111"/>
      <c r="K156" s="173">
        <v>0</v>
      </c>
      <c r="L156" s="149"/>
      <c r="M156" s="111">
        <f>ROUND(K156*$C156,0)</f>
        <v>0</v>
      </c>
      <c r="N156" s="111"/>
      <c r="O156" s="173">
        <v>0</v>
      </c>
      <c r="P156" s="149"/>
      <c r="Q156" s="111">
        <f>ROUND(O156*$C156,0)</f>
        <v>0</v>
      </c>
      <c r="R156" s="111"/>
      <c r="S156" s="173">
        <f>S92</f>
        <v>1.74</v>
      </c>
      <c r="T156" s="149"/>
      <c r="U156" s="111">
        <f>ROUND(S156*$C156,0)</f>
        <v>1231</v>
      </c>
      <c r="V156" s="44"/>
      <c r="W156" s="91"/>
      <c r="X156" s="91"/>
      <c r="Y156" s="91"/>
      <c r="Z156" s="44"/>
      <c r="AA156" s="44"/>
      <c r="AB156" s="44"/>
      <c r="AC156" s="44"/>
      <c r="AD156" s="44"/>
      <c r="AE156" s="44"/>
      <c r="AF156" s="44"/>
      <c r="AG156" s="44"/>
      <c r="AH156" s="44"/>
      <c r="AI156" s="44"/>
      <c r="AJ156" s="44"/>
      <c r="AK156" s="44"/>
      <c r="AL156" s="44"/>
      <c r="AM156" s="44"/>
      <c r="AN156" s="44"/>
      <c r="AO156" s="44"/>
      <c r="AP156" s="44"/>
      <c r="AR156" s="115"/>
    </row>
    <row r="157" spans="1:44" ht="16.5" hidden="1" thickTop="1" x14ac:dyDescent="0.25">
      <c r="A157" s="179" t="s">
        <v>108</v>
      </c>
      <c r="B157" s="179"/>
      <c r="C157" s="169">
        <v>98</v>
      </c>
      <c r="D157" s="173">
        <v>3.4</v>
      </c>
      <c r="E157" s="179"/>
      <c r="F157" s="111">
        <f>ROUND(D157*C157,0)</f>
        <v>333</v>
      </c>
      <c r="G157" s="173">
        <f>$G$93</f>
        <v>3.5</v>
      </c>
      <c r="H157" s="179"/>
      <c r="I157" s="111">
        <f>ROUND(G157*$C157,0)</f>
        <v>343</v>
      </c>
      <c r="J157" s="111"/>
      <c r="K157" s="173">
        <v>0</v>
      </c>
      <c r="L157" s="179"/>
      <c r="M157" s="111">
        <f>ROUND(K157*$C157,0)</f>
        <v>0</v>
      </c>
      <c r="N157" s="111"/>
      <c r="O157" s="173">
        <v>0</v>
      </c>
      <c r="P157" s="179"/>
      <c r="Q157" s="111">
        <f>ROUND(O157*$C157,0)</f>
        <v>0</v>
      </c>
      <c r="R157" s="111"/>
      <c r="S157" s="173">
        <f>S93</f>
        <v>3.4</v>
      </c>
      <c r="T157" s="179"/>
      <c r="U157" s="111">
        <f>ROUND(S157*$C157,0)</f>
        <v>333</v>
      </c>
      <c r="V157" s="44"/>
      <c r="W157" s="91"/>
      <c r="X157" s="91"/>
      <c r="Y157" s="91"/>
      <c r="Z157" s="44"/>
      <c r="AA157" s="44"/>
      <c r="AB157" s="44"/>
      <c r="AC157" s="44"/>
      <c r="AD157" s="44"/>
      <c r="AE157" s="44"/>
      <c r="AF157" s="44"/>
      <c r="AG157" s="44"/>
      <c r="AH157" s="44"/>
      <c r="AI157" s="44"/>
      <c r="AJ157" s="44"/>
      <c r="AK157" s="44"/>
      <c r="AL157" s="44"/>
      <c r="AM157" s="44"/>
      <c r="AN157" s="44"/>
      <c r="AO157" s="44"/>
      <c r="AP157" s="44"/>
      <c r="AR157" s="115"/>
    </row>
    <row r="158" spans="1:44" ht="16.5" hidden="1" thickTop="1" x14ac:dyDescent="0.25">
      <c r="A158" s="179" t="s">
        <v>109</v>
      </c>
      <c r="B158" s="179"/>
      <c r="C158" s="169">
        <v>15</v>
      </c>
      <c r="D158" s="180">
        <v>-1.74</v>
      </c>
      <c r="E158" s="179"/>
      <c r="F158" s="111">
        <f>ROUND(D158*C158,0)</f>
        <v>-26</v>
      </c>
      <c r="G158" s="180">
        <f>-G156</f>
        <v>-1.78</v>
      </c>
      <c r="H158" s="179"/>
      <c r="I158" s="111">
        <f>ROUND(G158*$C158,0)</f>
        <v>-27</v>
      </c>
      <c r="J158" s="111"/>
      <c r="K158" s="180">
        <f>-K156</f>
        <v>0</v>
      </c>
      <c r="L158" s="179"/>
      <c r="M158" s="111">
        <f>ROUND(K158*$C158,0)</f>
        <v>0</v>
      </c>
      <c r="N158" s="111"/>
      <c r="O158" s="180">
        <f>-O156</f>
        <v>0</v>
      </c>
      <c r="P158" s="179"/>
      <c r="Q158" s="111">
        <f>ROUND(O158*$C158,0)</f>
        <v>0</v>
      </c>
      <c r="R158" s="111"/>
      <c r="S158" s="180">
        <f>-S156</f>
        <v>-1.74</v>
      </c>
      <c r="T158" s="179"/>
      <c r="U158" s="111">
        <f>ROUND(S158*$C158,0)</f>
        <v>-26</v>
      </c>
      <c r="V158" s="44"/>
      <c r="W158" s="91"/>
      <c r="X158" s="91"/>
      <c r="Y158" s="91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  <c r="AJ158" s="44"/>
      <c r="AK158" s="44"/>
      <c r="AL158" s="44"/>
      <c r="AM158" s="44"/>
      <c r="AN158" s="44"/>
      <c r="AO158" s="44"/>
      <c r="AP158" s="44"/>
      <c r="AR158" s="115"/>
    </row>
    <row r="159" spans="1:44" s="120" customFormat="1" ht="16.5" hidden="1" thickTop="1" x14ac:dyDescent="0.25">
      <c r="A159" s="119" t="s">
        <v>110</v>
      </c>
      <c r="C159" s="121">
        <f>C154</f>
        <v>121486</v>
      </c>
      <c r="D159" s="128">
        <v>0</v>
      </c>
      <c r="E159" s="122"/>
      <c r="F159" s="123"/>
      <c r="G159" s="124">
        <f>G144</f>
        <v>0</v>
      </c>
      <c r="H159" s="125" t="s">
        <v>89</v>
      </c>
      <c r="I159" s="123">
        <f>G159*C159/100</f>
        <v>0</v>
      </c>
      <c r="J159" s="123"/>
      <c r="K159" s="124" t="str">
        <f>K144</f>
        <v xml:space="preserve"> </v>
      </c>
      <c r="L159" s="125" t="s">
        <v>89</v>
      </c>
      <c r="M159" s="123">
        <f>K159*C159/100</f>
        <v>0</v>
      </c>
      <c r="N159" s="123"/>
      <c r="O159" s="124" t="str">
        <f>O144</f>
        <v xml:space="preserve"> </v>
      </c>
      <c r="P159" s="125" t="s">
        <v>89</v>
      </c>
      <c r="Q159" s="123">
        <f>O159*C159/100</f>
        <v>0</v>
      </c>
      <c r="R159" s="123"/>
      <c r="S159" s="124">
        <f>S144</f>
        <v>0</v>
      </c>
      <c r="T159" s="125" t="s">
        <v>89</v>
      </c>
      <c r="U159" s="123">
        <f>S159*C159/100</f>
        <v>0</v>
      </c>
      <c r="W159" s="112"/>
      <c r="Z159" s="127"/>
      <c r="AA159" s="127"/>
      <c r="AF159" s="122"/>
      <c r="AG159" s="122"/>
      <c r="AH159" s="122"/>
      <c r="AI159" s="122"/>
      <c r="AJ159" s="122"/>
      <c r="AK159" s="122"/>
      <c r="AL159" s="122"/>
      <c r="AM159" s="122"/>
      <c r="AN159" s="122"/>
      <c r="AO159" s="122"/>
      <c r="AP159" s="122"/>
      <c r="AR159" s="126"/>
    </row>
    <row r="160" spans="1:44" s="120" customFormat="1" ht="16.5" hidden="1" thickTop="1" x14ac:dyDescent="0.25">
      <c r="A160" s="119" t="s">
        <v>111</v>
      </c>
      <c r="C160" s="121">
        <f>C155</f>
        <v>275577</v>
      </c>
      <c r="D160" s="128">
        <v>0</v>
      </c>
      <c r="E160" s="122"/>
      <c r="F160" s="123"/>
      <c r="G160" s="124">
        <f>G145</f>
        <v>0</v>
      </c>
      <c r="H160" s="125" t="s">
        <v>89</v>
      </c>
      <c r="I160" s="123">
        <f>G160*C160/100</f>
        <v>0</v>
      </c>
      <c r="J160" s="123"/>
      <c r="K160" s="124" t="str">
        <f>K145</f>
        <v xml:space="preserve"> </v>
      </c>
      <c r="L160" s="125" t="s">
        <v>89</v>
      </c>
      <c r="M160" s="123">
        <f>K160*C160/100</f>
        <v>0</v>
      </c>
      <c r="N160" s="123"/>
      <c r="O160" s="124" t="str">
        <f>O145</f>
        <v xml:space="preserve"> </v>
      </c>
      <c r="P160" s="125" t="s">
        <v>89</v>
      </c>
      <c r="Q160" s="123">
        <f>O160*C160/100</f>
        <v>0</v>
      </c>
      <c r="R160" s="123"/>
      <c r="S160" s="124">
        <f>S145</f>
        <v>0</v>
      </c>
      <c r="T160" s="125" t="s">
        <v>89</v>
      </c>
      <c r="U160" s="123">
        <f>S160*C160/100</f>
        <v>0</v>
      </c>
      <c r="W160" s="112"/>
      <c r="Z160" s="127"/>
      <c r="AA160" s="127"/>
      <c r="AF160" s="122"/>
      <c r="AG160" s="122"/>
      <c r="AH160" s="122"/>
      <c r="AI160" s="122"/>
      <c r="AJ160" s="122"/>
      <c r="AK160" s="122"/>
      <c r="AL160" s="122"/>
      <c r="AM160" s="122"/>
      <c r="AN160" s="122"/>
      <c r="AO160" s="122"/>
      <c r="AP160" s="122"/>
      <c r="AR160" s="126"/>
    </row>
    <row r="161" spans="1:51" ht="16.5" hidden="1" thickTop="1" x14ac:dyDescent="0.25">
      <c r="A161" s="149" t="s">
        <v>114</v>
      </c>
      <c r="B161" s="149"/>
      <c r="C161" s="169">
        <f>SUM(C154:C155)</f>
        <v>397063</v>
      </c>
      <c r="D161" s="189"/>
      <c r="E161" s="111"/>
      <c r="F161" s="111">
        <f>SUM(F153:F158)</f>
        <v>39604</v>
      </c>
      <c r="G161" s="111"/>
      <c r="H161" s="111"/>
      <c r="I161" s="111">
        <f>SUM(I153:I160)</f>
        <v>40571</v>
      </c>
      <c r="J161" s="111"/>
      <c r="K161" s="111"/>
      <c r="L161" s="111"/>
      <c r="M161" s="111" t="e">
        <f>SUM(M153:M160)</f>
        <v>#DIV/0!</v>
      </c>
      <c r="N161" s="111"/>
      <c r="O161" s="111"/>
      <c r="P161" s="111"/>
      <c r="Q161" s="111" t="e">
        <f>SUM(Q153:Q160)</f>
        <v>#DIV/0!</v>
      </c>
      <c r="R161" s="111"/>
      <c r="S161" s="111"/>
      <c r="T161" s="111"/>
      <c r="U161" s="111" t="e">
        <f>SUM(U153:U160)</f>
        <v>#DIV/0!</v>
      </c>
      <c r="V161" s="44"/>
      <c r="W161" s="91"/>
      <c r="X161" s="91"/>
      <c r="Y161" s="91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/>
      <c r="AK161" s="44"/>
      <c r="AL161" s="44"/>
      <c r="AM161" s="44"/>
      <c r="AN161" s="44"/>
      <c r="AO161" s="44"/>
      <c r="AP161" s="44"/>
      <c r="AR161" s="115"/>
    </row>
    <row r="162" spans="1:51" ht="16.5" hidden="1" thickTop="1" x14ac:dyDescent="0.25">
      <c r="A162" s="149" t="s">
        <v>92</v>
      </c>
      <c r="B162" s="149"/>
      <c r="C162" s="200">
        <v>5143.445167760472</v>
      </c>
      <c r="D162" s="134"/>
      <c r="E162" s="134"/>
      <c r="F162" s="132">
        <v>561.58818784280481</v>
      </c>
      <c r="G162" s="134"/>
      <c r="H162" s="134"/>
      <c r="I162" s="132">
        <f>F162</f>
        <v>561.58818784280481</v>
      </c>
      <c r="J162" s="133"/>
      <c r="K162" s="134"/>
      <c r="L162" s="134"/>
      <c r="M162" s="132" t="e">
        <f>I162/$I$100*$M$100</f>
        <v>#DIV/0!</v>
      </c>
      <c r="N162" s="133"/>
      <c r="O162" s="134"/>
      <c r="P162" s="134"/>
      <c r="Q162" s="132" t="e">
        <f>I162/$I$100*$Q$100</f>
        <v>#DIV/0!</v>
      </c>
      <c r="R162" s="133"/>
      <c r="S162" s="134"/>
      <c r="T162" s="134"/>
      <c r="U162" s="132" t="e">
        <f>I162/$I$100*$U$100</f>
        <v>#DIV/0!</v>
      </c>
      <c r="V162" s="165"/>
      <c r="W162" s="163"/>
      <c r="X162" s="91"/>
      <c r="Y162" s="91"/>
      <c r="Z162" s="44"/>
      <c r="AA162" s="44"/>
      <c r="AB162" s="44"/>
      <c r="AC162" s="44"/>
      <c r="AD162" s="44"/>
      <c r="AE162" s="44"/>
      <c r="AF162" s="44"/>
      <c r="AG162" s="44"/>
      <c r="AH162" s="44"/>
      <c r="AI162" s="44"/>
      <c r="AJ162" s="44"/>
      <c r="AK162" s="44"/>
      <c r="AL162" s="44"/>
      <c r="AM162" s="44"/>
      <c r="AN162" s="44"/>
      <c r="AO162" s="44"/>
      <c r="AP162" s="44"/>
      <c r="AR162" s="115"/>
    </row>
    <row r="163" spans="1:51" ht="17.25" hidden="1" thickTop="1" thickBot="1" x14ac:dyDescent="0.3">
      <c r="A163" s="149" t="s">
        <v>115</v>
      </c>
      <c r="B163" s="149"/>
      <c r="C163" s="192">
        <f>C161+C162</f>
        <v>402206.44516776048</v>
      </c>
      <c r="D163" s="137"/>
      <c r="E163" s="137"/>
      <c r="F163" s="137">
        <f>F161+F162</f>
        <v>40165.588187842804</v>
      </c>
      <c r="G163" s="137"/>
      <c r="H163" s="137"/>
      <c r="I163" s="137">
        <f>I161+I162</f>
        <v>41132.588187842804</v>
      </c>
      <c r="J163" s="133"/>
      <c r="K163" s="137"/>
      <c r="L163" s="137"/>
      <c r="M163" s="137" t="e">
        <f>M161+M162</f>
        <v>#DIV/0!</v>
      </c>
      <c r="N163" s="137"/>
      <c r="O163" s="137"/>
      <c r="P163" s="137"/>
      <c r="Q163" s="137" t="e">
        <f>Q161+Q162</f>
        <v>#DIV/0!</v>
      </c>
      <c r="R163" s="137"/>
      <c r="S163" s="137"/>
      <c r="T163" s="137"/>
      <c r="U163" s="137" t="e">
        <f>U161+U162</f>
        <v>#DIV/0!</v>
      </c>
      <c r="V163" s="166"/>
      <c r="W163" s="167"/>
      <c r="X163" s="91"/>
      <c r="Y163" s="91"/>
      <c r="Z163" s="44"/>
      <c r="AA163" s="44"/>
      <c r="AB163" s="44"/>
      <c r="AC163" s="44"/>
      <c r="AD163" s="44"/>
      <c r="AE163" s="44"/>
      <c r="AF163" s="44"/>
      <c r="AG163" s="44"/>
      <c r="AH163" s="44"/>
      <c r="AI163" s="44"/>
      <c r="AJ163" s="44"/>
      <c r="AK163" s="44"/>
      <c r="AL163" s="44"/>
      <c r="AM163" s="44"/>
      <c r="AN163" s="44"/>
      <c r="AO163" s="44"/>
      <c r="AP163" s="44"/>
      <c r="AR163" s="115"/>
    </row>
    <row r="164" spans="1:51" ht="16.5" hidden="1" thickTop="1" x14ac:dyDescent="0.25">
      <c r="A164" s="149"/>
      <c r="B164" s="195"/>
      <c r="C164" s="169"/>
      <c r="D164" s="149" t="s">
        <v>0</v>
      </c>
      <c r="E164" s="149"/>
      <c r="G164" s="149" t="s">
        <v>0</v>
      </c>
      <c r="H164" s="149"/>
      <c r="I164" s="111" t="s">
        <v>0</v>
      </c>
      <c r="J164" s="111"/>
      <c r="K164" s="149" t="s">
        <v>0</v>
      </c>
      <c r="L164" s="149"/>
      <c r="M164" s="111" t="s">
        <v>0</v>
      </c>
      <c r="N164" s="111"/>
      <c r="O164" s="149" t="s">
        <v>0</v>
      </c>
      <c r="P164" s="149"/>
      <c r="Q164" s="111" t="s">
        <v>0</v>
      </c>
      <c r="R164" s="111"/>
      <c r="S164" s="149" t="s">
        <v>0</v>
      </c>
      <c r="T164" s="149"/>
      <c r="U164" s="111" t="s">
        <v>0</v>
      </c>
      <c r="V164" s="44"/>
      <c r="W164" s="91"/>
      <c r="X164" s="91"/>
      <c r="Y164" s="91"/>
      <c r="Z164" s="44"/>
      <c r="AA164" s="44"/>
      <c r="AB164" s="44"/>
      <c r="AC164" s="44"/>
      <c r="AD164" s="44"/>
      <c r="AE164" s="44"/>
      <c r="AF164" s="44"/>
      <c r="AG164" s="44"/>
      <c r="AH164" s="44"/>
      <c r="AI164" s="44"/>
      <c r="AJ164" s="44"/>
      <c r="AK164" s="44"/>
      <c r="AL164" s="44"/>
      <c r="AM164" s="44"/>
      <c r="AN164" s="44"/>
      <c r="AO164" s="44"/>
      <c r="AP164" s="44"/>
      <c r="AR164" s="115"/>
    </row>
    <row r="165" spans="1:51" ht="16.5" thickTop="1" x14ac:dyDescent="0.25">
      <c r="A165" s="168" t="s">
        <v>121</v>
      </c>
      <c r="B165" s="149"/>
      <c r="C165" s="149" t="s">
        <v>0</v>
      </c>
      <c r="D165" s="111"/>
      <c r="E165" s="149"/>
      <c r="F165" s="149"/>
      <c r="G165" s="111"/>
      <c r="H165" s="149"/>
      <c r="I165" s="149"/>
      <c r="J165" s="149"/>
      <c r="K165" s="111"/>
      <c r="L165" s="149"/>
      <c r="M165" s="149"/>
      <c r="N165" s="149"/>
      <c r="O165" s="111"/>
      <c r="P165" s="149"/>
      <c r="Q165" s="149"/>
      <c r="R165" s="149"/>
      <c r="S165" s="111"/>
      <c r="T165" s="149"/>
      <c r="U165" s="149"/>
      <c r="V165" s="44"/>
      <c r="W165" s="91"/>
      <c r="X165" s="91"/>
      <c r="Y165" s="91"/>
      <c r="Z165" s="44"/>
      <c r="AA165" s="44"/>
      <c r="AB165" s="44"/>
      <c r="AC165" s="44"/>
      <c r="AD165" s="44"/>
      <c r="AE165" s="44"/>
      <c r="AF165" s="44"/>
      <c r="AG165" s="44"/>
      <c r="AH165" s="44"/>
      <c r="AI165" s="44"/>
      <c r="AJ165" s="44"/>
      <c r="AK165" s="44"/>
      <c r="AL165" s="44"/>
      <c r="AM165" s="44"/>
      <c r="AN165" s="44"/>
      <c r="AO165" s="44"/>
      <c r="AP165" s="44"/>
      <c r="AR165" s="115"/>
    </row>
    <row r="166" spans="1:51" x14ac:dyDescent="0.25">
      <c r="A166" s="149" t="s">
        <v>122</v>
      </c>
      <c r="B166" s="149"/>
      <c r="C166" s="149"/>
      <c r="D166" s="111"/>
      <c r="E166" s="149"/>
      <c r="F166" s="149"/>
      <c r="G166" s="111"/>
      <c r="H166" s="149"/>
      <c r="I166" s="149"/>
      <c r="J166" s="149"/>
      <c r="K166" s="111"/>
      <c r="L166" s="149"/>
      <c r="M166" s="149"/>
      <c r="N166" s="149"/>
      <c r="O166" s="111"/>
      <c r="P166" s="149"/>
      <c r="Q166" s="149"/>
      <c r="R166" s="149"/>
      <c r="S166" s="111"/>
      <c r="T166" s="149"/>
      <c r="U166" s="149"/>
      <c r="V166" s="44"/>
      <c r="W166" s="91"/>
      <c r="X166" s="91"/>
      <c r="Y166" s="91"/>
      <c r="Z166" s="44"/>
      <c r="AA166" s="44"/>
      <c r="AB166" s="44"/>
      <c r="AC166" s="44"/>
      <c r="AD166" s="44"/>
      <c r="AE166" s="44"/>
      <c r="AF166" s="44"/>
      <c r="AG166" s="44"/>
      <c r="AH166" s="44"/>
      <c r="AI166" s="44"/>
      <c r="AJ166" s="44"/>
      <c r="AK166" s="44"/>
      <c r="AL166" s="44"/>
      <c r="AM166" s="44"/>
      <c r="AN166" s="44"/>
      <c r="AO166" s="44"/>
      <c r="AP166" s="44"/>
      <c r="AR166" s="115"/>
    </row>
    <row r="167" spans="1:51" x14ac:dyDescent="0.25">
      <c r="A167" s="149"/>
      <c r="B167" s="149"/>
      <c r="C167" s="149"/>
      <c r="D167" s="111"/>
      <c r="E167" s="149"/>
      <c r="F167" s="149"/>
      <c r="G167" s="111"/>
      <c r="H167" s="149"/>
      <c r="I167" s="149"/>
      <c r="J167" s="149"/>
      <c r="K167" s="111"/>
      <c r="L167" s="149"/>
      <c r="M167" s="149"/>
      <c r="N167" s="149"/>
      <c r="O167" s="111"/>
      <c r="P167" s="149"/>
      <c r="Q167" s="149"/>
      <c r="R167" s="149"/>
      <c r="S167" s="111"/>
      <c r="T167" s="149"/>
      <c r="U167" s="149"/>
      <c r="V167" s="44"/>
      <c r="X167" s="91"/>
      <c r="Y167" s="91"/>
      <c r="Z167" s="44"/>
      <c r="AA167" s="44"/>
      <c r="AB167" s="44"/>
      <c r="AC167" s="44"/>
      <c r="AD167" s="44"/>
      <c r="AE167" s="44"/>
      <c r="AF167" s="44"/>
      <c r="AG167" s="44"/>
      <c r="AH167" s="44"/>
      <c r="AI167" s="44"/>
      <c r="AJ167" s="44"/>
      <c r="AK167" s="44"/>
      <c r="AL167" s="44"/>
      <c r="AM167" s="44"/>
      <c r="AN167" s="44"/>
      <c r="AO167" s="44"/>
      <c r="AP167" s="44"/>
      <c r="AR167" s="115"/>
    </row>
    <row r="168" spans="1:51" x14ac:dyDescent="0.25">
      <c r="A168" s="149" t="s">
        <v>123</v>
      </c>
      <c r="B168" s="149"/>
      <c r="C168" s="149"/>
      <c r="D168" s="111"/>
      <c r="E168" s="149"/>
      <c r="F168" s="149"/>
      <c r="G168" s="111"/>
      <c r="H168" s="149"/>
      <c r="I168" s="149"/>
      <c r="J168" s="149"/>
      <c r="K168" s="111"/>
      <c r="L168" s="149"/>
      <c r="M168" s="149"/>
      <c r="N168" s="149"/>
      <c r="O168" s="111"/>
      <c r="P168" s="149"/>
      <c r="Q168" s="149"/>
      <c r="R168" s="149"/>
      <c r="S168" s="111"/>
      <c r="T168" s="149"/>
      <c r="U168" s="149"/>
      <c r="V168" s="44"/>
      <c r="W168" s="91"/>
      <c r="X168" s="172" t="s">
        <v>103</v>
      </c>
      <c r="Y168" s="172"/>
      <c r="Z168" s="44"/>
      <c r="AA168" s="44"/>
      <c r="AB168" s="44"/>
      <c r="AC168" s="44"/>
      <c r="AD168" s="44"/>
      <c r="AE168" s="44"/>
      <c r="AF168" s="44"/>
      <c r="AG168" s="44"/>
      <c r="AH168" s="44"/>
      <c r="AI168" s="44"/>
      <c r="AJ168" s="44"/>
      <c r="AK168" s="44"/>
      <c r="AL168" s="44"/>
      <c r="AM168" s="44"/>
      <c r="AN168" s="44"/>
      <c r="AO168" s="44"/>
      <c r="AP168" s="44"/>
      <c r="AR168" s="115"/>
    </row>
    <row r="169" spans="1:51" x14ac:dyDescent="0.25">
      <c r="A169" s="149" t="s">
        <v>124</v>
      </c>
      <c r="B169" s="149"/>
      <c r="C169" s="169">
        <f>C492</f>
        <v>2</v>
      </c>
      <c r="D169" s="173">
        <v>117.12</v>
      </c>
      <c r="E169" s="149"/>
      <c r="F169" s="111">
        <f t="shared" ref="F169:F171" si="19">F457</f>
        <v>234</v>
      </c>
      <c r="G169" s="173">
        <v>119.88</v>
      </c>
      <c r="H169" s="149"/>
      <c r="I169" s="111">
        <f>I457</f>
        <v>240</v>
      </c>
      <c r="J169" s="111"/>
      <c r="K169" s="173">
        <v>117.12</v>
      </c>
      <c r="L169" s="149"/>
      <c r="M169" s="111">
        <v>234</v>
      </c>
      <c r="N169" s="111"/>
      <c r="O169" s="173" t="s">
        <v>0</v>
      </c>
      <c r="P169" s="149"/>
      <c r="Q169" s="111">
        <f>O169*C169</f>
        <v>0</v>
      </c>
      <c r="R169" s="111"/>
      <c r="S169" s="173" t="s">
        <v>0</v>
      </c>
      <c r="T169" s="149"/>
      <c r="U169" s="111">
        <f>S169*C169</f>
        <v>0</v>
      </c>
      <c r="X169" s="52">
        <f>(G169-D169)/D169</f>
        <v>2.3565573770491725E-2</v>
      </c>
      <c r="Y169" s="52"/>
      <c r="AB169" s="202"/>
      <c r="AD169" s="202"/>
      <c r="AF169" s="202"/>
      <c r="AG169" s="202"/>
      <c r="AR169" s="44"/>
      <c r="AS169" s="44"/>
      <c r="AT169" s="44"/>
      <c r="AU169" s="44"/>
      <c r="AV169" s="44"/>
      <c r="AW169" s="44"/>
      <c r="AY169" s="115"/>
    </row>
    <row r="170" spans="1:51" x14ac:dyDescent="0.25">
      <c r="A170" s="149" t="s">
        <v>125</v>
      </c>
      <c r="B170" s="149"/>
      <c r="C170" s="169">
        <f>C458</f>
        <v>82.084931506849301</v>
      </c>
      <c r="D170" s="173">
        <v>174.48</v>
      </c>
      <c r="E170" s="149"/>
      <c r="F170" s="111">
        <f t="shared" si="19"/>
        <v>14322</v>
      </c>
      <c r="G170" s="173">
        <v>178.68</v>
      </c>
      <c r="H170" s="149"/>
      <c r="I170" s="111">
        <f>I458</f>
        <v>14667</v>
      </c>
      <c r="J170" s="111"/>
      <c r="K170" s="173">
        <v>174.48</v>
      </c>
      <c r="L170" s="149"/>
      <c r="M170" s="111">
        <v>14322</v>
      </c>
      <c r="N170" s="111"/>
      <c r="O170" s="173" t="s">
        <v>0</v>
      </c>
      <c r="P170" s="149"/>
      <c r="Q170" s="111">
        <f>O170*C170</f>
        <v>0</v>
      </c>
      <c r="R170" s="111"/>
      <c r="S170" s="173" t="s">
        <v>0</v>
      </c>
      <c r="T170" s="149"/>
      <c r="U170" s="111">
        <f>S170*C170</f>
        <v>0</v>
      </c>
      <c r="V170" s="115"/>
      <c r="X170" s="52">
        <f>(G170-D170)/D170</f>
        <v>2.4071526822558559E-2</v>
      </c>
      <c r="Y170" s="52"/>
      <c r="AA170" s="115"/>
      <c r="AB170" s="203"/>
      <c r="AC170" s="115"/>
      <c r="AD170" s="203"/>
      <c r="AE170" s="115"/>
      <c r="AF170" s="115"/>
      <c r="AG170" s="203"/>
      <c r="AH170" s="80"/>
      <c r="AI170" s="115"/>
      <c r="AJ170" s="115"/>
      <c r="AR170" s="44"/>
      <c r="AS170" s="44"/>
      <c r="AT170" s="44"/>
      <c r="AU170" s="44"/>
      <c r="AV170" s="44"/>
      <c r="AW170" s="44"/>
      <c r="AY170" s="115"/>
    </row>
    <row r="171" spans="1:51" x14ac:dyDescent="0.25">
      <c r="A171" s="149" t="s">
        <v>126</v>
      </c>
      <c r="B171" s="149"/>
      <c r="C171" s="169">
        <f>C459</f>
        <v>2770.9452054794501</v>
      </c>
      <c r="D171" s="173">
        <v>12.24</v>
      </c>
      <c r="E171" s="149"/>
      <c r="F171" s="111">
        <f t="shared" si="19"/>
        <v>33916</v>
      </c>
      <c r="G171" s="173">
        <v>12.48</v>
      </c>
      <c r="H171" s="149"/>
      <c r="I171" s="111">
        <f>I459</f>
        <v>34581</v>
      </c>
      <c r="J171" s="111"/>
      <c r="K171" s="173">
        <v>12.24</v>
      </c>
      <c r="L171" s="149"/>
      <c r="M171" s="111">
        <v>33916</v>
      </c>
      <c r="N171" s="111"/>
      <c r="O171" s="173" t="s">
        <v>0</v>
      </c>
      <c r="P171" s="149"/>
      <c r="Q171" s="111">
        <f>O171*C171</f>
        <v>0</v>
      </c>
      <c r="R171" s="111"/>
      <c r="S171" s="173" t="s">
        <v>0</v>
      </c>
      <c r="T171" s="149"/>
      <c r="U171" s="111">
        <f>S171*C171</f>
        <v>0</v>
      </c>
      <c r="X171" s="52">
        <f>(G171-D171)/D171</f>
        <v>1.9607843137254919E-2</v>
      </c>
      <c r="Y171" s="52"/>
      <c r="AA171" s="115"/>
      <c r="AB171" s="203"/>
      <c r="AC171" s="115"/>
      <c r="AD171" s="203"/>
      <c r="AE171" s="115"/>
      <c r="AF171" s="115"/>
      <c r="AG171" s="203"/>
      <c r="AH171" s="80"/>
      <c r="AI171" s="115"/>
      <c r="AJ171" s="115"/>
      <c r="AR171" s="44"/>
      <c r="AS171" s="44"/>
      <c r="AT171" s="44"/>
      <c r="AU171" s="44"/>
      <c r="AV171" s="44"/>
      <c r="AW171" s="44"/>
      <c r="AY171" s="115"/>
    </row>
    <row r="172" spans="1:51" x14ac:dyDescent="0.25">
      <c r="A172" s="149" t="s">
        <v>127</v>
      </c>
      <c r="B172" s="149"/>
      <c r="C172" s="204"/>
      <c r="D172" s="111"/>
      <c r="E172" s="149"/>
      <c r="F172" s="149"/>
      <c r="G172" s="111"/>
      <c r="H172" s="149"/>
      <c r="I172" s="149"/>
      <c r="J172" s="149"/>
      <c r="K172" s="111"/>
      <c r="L172" s="149"/>
      <c r="M172" s="149"/>
      <c r="N172" s="149"/>
      <c r="O172" s="111"/>
      <c r="P172" s="149"/>
      <c r="Q172" s="149"/>
      <c r="R172" s="149"/>
      <c r="S172" s="111"/>
      <c r="T172" s="149"/>
      <c r="U172" s="149"/>
      <c r="X172" s="205"/>
      <c r="Y172" s="205"/>
      <c r="AA172" s="115"/>
      <c r="AB172" s="203"/>
      <c r="AC172" s="115"/>
      <c r="AD172" s="203"/>
      <c r="AE172" s="115"/>
      <c r="AF172" s="115"/>
      <c r="AG172" s="203"/>
      <c r="AH172" s="80"/>
      <c r="AI172" s="115"/>
      <c r="AJ172" s="115"/>
      <c r="AR172" s="44"/>
      <c r="AS172" s="44"/>
      <c r="AT172" s="44"/>
      <c r="AU172" s="44"/>
      <c r="AV172" s="44"/>
      <c r="AW172" s="44"/>
      <c r="AY172" s="115"/>
    </row>
    <row r="173" spans="1:51" x14ac:dyDescent="0.25">
      <c r="A173" s="149" t="s">
        <v>124</v>
      </c>
      <c r="B173" s="149"/>
      <c r="C173" s="204">
        <f>C214+C351</f>
        <v>166474.82968162166</v>
      </c>
      <c r="D173" s="173">
        <v>9.76</v>
      </c>
      <c r="E173" s="206"/>
      <c r="F173" s="207">
        <f>F214+F351</f>
        <v>1624794</v>
      </c>
      <c r="G173" s="173">
        <v>9.99</v>
      </c>
      <c r="H173" s="206"/>
      <c r="I173" s="207">
        <f>I214+I351</f>
        <v>1663084</v>
      </c>
      <c r="J173" s="207"/>
      <c r="K173" s="173">
        <v>9.76</v>
      </c>
      <c r="L173" s="206"/>
      <c r="M173" s="111">
        <v>1624795</v>
      </c>
      <c r="N173" s="207"/>
      <c r="O173" s="173" t="s">
        <v>0</v>
      </c>
      <c r="P173" s="206"/>
      <c r="Q173" s="111">
        <f>O173*C173</f>
        <v>0</v>
      </c>
      <c r="R173" s="207"/>
      <c r="S173" s="173" t="s">
        <v>0</v>
      </c>
      <c r="T173" s="206"/>
      <c r="U173" s="111">
        <f>S173*C173</f>
        <v>0</v>
      </c>
      <c r="X173" s="52">
        <f>(G173-D173)/D173</f>
        <v>2.3565573770491847E-2</v>
      </c>
      <c r="Y173" s="52"/>
      <c r="AA173" s="115"/>
      <c r="AB173" s="203"/>
      <c r="AC173" s="115"/>
      <c r="AD173" s="203"/>
      <c r="AE173" s="115"/>
      <c r="AF173" s="115"/>
      <c r="AG173" s="203"/>
      <c r="AH173" s="80"/>
      <c r="AI173" s="115"/>
      <c r="AJ173" s="115"/>
      <c r="AR173" s="44"/>
      <c r="AS173" s="44"/>
      <c r="AT173" s="44"/>
      <c r="AU173" s="44"/>
      <c r="AV173" s="44"/>
      <c r="AW173" s="44"/>
      <c r="AY173" s="115"/>
    </row>
    <row r="174" spans="1:51" x14ac:dyDescent="0.25">
      <c r="A174" s="149" t="s">
        <v>125</v>
      </c>
      <c r="B174" s="149"/>
      <c r="C174" s="204">
        <f>C215+C352</f>
        <v>64148.300000000723</v>
      </c>
      <c r="D174" s="173">
        <v>14.54</v>
      </c>
      <c r="E174" s="208"/>
      <c r="F174" s="207">
        <f>F215+F352</f>
        <v>932716</v>
      </c>
      <c r="G174" s="173">
        <v>14.89</v>
      </c>
      <c r="H174" s="208"/>
      <c r="I174" s="207">
        <f>I215+I352</f>
        <v>955168</v>
      </c>
      <c r="J174" s="207"/>
      <c r="K174" s="173">
        <v>14.54</v>
      </c>
      <c r="L174" s="208"/>
      <c r="M174" s="111">
        <v>932716</v>
      </c>
      <c r="N174" s="207"/>
      <c r="O174" s="173" t="s">
        <v>0</v>
      </c>
      <c r="P174" s="208"/>
      <c r="Q174" s="111">
        <f>O174*C174</f>
        <v>0</v>
      </c>
      <c r="R174" s="207"/>
      <c r="S174" s="173" t="s">
        <v>0</v>
      </c>
      <c r="T174" s="208"/>
      <c r="U174" s="111">
        <f>S174*C174</f>
        <v>0</v>
      </c>
      <c r="X174" s="52">
        <f>(G174-D174)/D174</f>
        <v>2.4071526822558559E-2</v>
      </c>
      <c r="Y174" s="52"/>
      <c r="Z174" s="98"/>
      <c r="AA174" s="115"/>
      <c r="AB174" s="203"/>
      <c r="AC174" s="115"/>
      <c r="AD174" s="209"/>
      <c r="AE174" s="115"/>
      <c r="AF174" s="115"/>
      <c r="AG174" s="209"/>
      <c r="AI174" s="44"/>
      <c r="AJ174" s="44"/>
      <c r="AK174" s="44"/>
      <c r="AL174" s="44"/>
      <c r="AM174" s="44"/>
      <c r="AN174" s="44"/>
      <c r="AO174" s="44"/>
      <c r="AP174" s="44"/>
      <c r="AR174" s="115"/>
    </row>
    <row r="175" spans="1:51" x14ac:dyDescent="0.25">
      <c r="A175" s="149" t="s">
        <v>126</v>
      </c>
      <c r="B175" s="149"/>
      <c r="C175" s="204">
        <f>C216+C353</f>
        <v>1035367</v>
      </c>
      <c r="D175" s="173">
        <v>1.02</v>
      </c>
      <c r="E175" s="208"/>
      <c r="F175" s="207">
        <f>F216+F353</f>
        <v>1056074</v>
      </c>
      <c r="G175" s="173">
        <v>1.04</v>
      </c>
      <c r="H175" s="208"/>
      <c r="I175" s="207">
        <f>I216+I353</f>
        <v>1076781</v>
      </c>
      <c r="J175" s="207"/>
      <c r="K175" s="173">
        <v>1.02</v>
      </c>
      <c r="L175" s="208"/>
      <c r="M175" s="111">
        <v>1056074</v>
      </c>
      <c r="N175" s="207"/>
      <c r="O175" s="173" t="s">
        <v>0</v>
      </c>
      <c r="P175" s="208"/>
      <c r="Q175" s="111">
        <f>O175*C175</f>
        <v>0</v>
      </c>
      <c r="R175" s="207"/>
      <c r="S175" s="173" t="s">
        <v>0</v>
      </c>
      <c r="T175" s="208"/>
      <c r="U175" s="111">
        <f>S175*C175</f>
        <v>0</v>
      </c>
      <c r="X175" s="52">
        <f>(G175-D175)/D175</f>
        <v>1.9607843137254919E-2</v>
      </c>
      <c r="Y175" s="52"/>
      <c r="Z175" s="98"/>
      <c r="AC175" s="210"/>
      <c r="AD175" s="210"/>
      <c r="AE175" s="210"/>
      <c r="AF175" s="210"/>
      <c r="AG175" s="210"/>
      <c r="AI175" s="44"/>
      <c r="AJ175" s="44"/>
      <c r="AK175" s="44"/>
      <c r="AL175" s="44"/>
      <c r="AM175" s="44"/>
      <c r="AN175" s="44"/>
      <c r="AO175" s="44"/>
      <c r="AP175" s="44"/>
      <c r="AR175" s="115"/>
    </row>
    <row r="176" spans="1:51" x14ac:dyDescent="0.25">
      <c r="A176" s="149" t="s">
        <v>128</v>
      </c>
      <c r="B176" s="149"/>
      <c r="C176" s="204">
        <f>SUM(C173:C174)</f>
        <v>230623.12968162238</v>
      </c>
      <c r="D176" s="173"/>
      <c r="E176" s="206"/>
      <c r="F176" s="207"/>
      <c r="G176" s="173"/>
      <c r="H176" s="206"/>
      <c r="I176" s="207"/>
      <c r="J176" s="207"/>
      <c r="K176" s="173"/>
      <c r="L176" s="206"/>
      <c r="M176" s="207"/>
      <c r="N176" s="207"/>
      <c r="O176" s="173"/>
      <c r="P176" s="206"/>
      <c r="Q176" s="207"/>
      <c r="R176" s="207"/>
      <c r="S176" s="173"/>
      <c r="T176" s="206"/>
      <c r="U176" s="207"/>
      <c r="X176" s="205"/>
      <c r="Y176" s="205"/>
      <c r="Z176" s="98"/>
      <c r="AI176" s="44"/>
      <c r="AJ176" s="44"/>
      <c r="AK176" s="44"/>
      <c r="AL176" s="44"/>
      <c r="AM176" s="44"/>
      <c r="AN176" s="44"/>
      <c r="AO176" s="44"/>
      <c r="AP176" s="44"/>
      <c r="AR176" s="115"/>
    </row>
    <row r="177" spans="1:44" x14ac:dyDescent="0.25">
      <c r="A177" s="149" t="s">
        <v>90</v>
      </c>
      <c r="B177" s="149"/>
      <c r="C177" s="204">
        <f t="shared" ref="C177:C182" si="20">C217+C355+C461</f>
        <v>228552.50150792321</v>
      </c>
      <c r="D177" s="173"/>
      <c r="E177" s="206"/>
      <c r="F177" s="207"/>
      <c r="G177" s="173"/>
      <c r="H177" s="206"/>
      <c r="I177" s="207"/>
      <c r="J177" s="207"/>
      <c r="K177" s="173"/>
      <c r="L177" s="206"/>
      <c r="M177" s="207"/>
      <c r="N177" s="207"/>
      <c r="O177" s="173"/>
      <c r="P177" s="206"/>
      <c r="Q177" s="207"/>
      <c r="R177" s="207"/>
      <c r="S177" s="173"/>
      <c r="T177" s="206"/>
      <c r="U177" s="207"/>
      <c r="X177" s="205"/>
      <c r="Y177" s="205"/>
      <c r="Z177" s="98"/>
      <c r="AI177" s="44"/>
      <c r="AJ177" s="44"/>
      <c r="AK177" s="44"/>
      <c r="AL177" s="44"/>
      <c r="AM177" s="44"/>
      <c r="AN177" s="44"/>
      <c r="AO177" s="44"/>
      <c r="AP177" s="44"/>
      <c r="AR177" s="115"/>
    </row>
    <row r="178" spans="1:44" x14ac:dyDescent="0.25">
      <c r="A178" s="149" t="s">
        <v>129</v>
      </c>
      <c r="B178" s="149"/>
      <c r="C178" s="204">
        <f t="shared" si="20"/>
        <v>844065.53671882139</v>
      </c>
      <c r="D178" s="173">
        <v>3.7</v>
      </c>
      <c r="E178" s="206"/>
      <c r="F178" s="207">
        <f>F218+F356+F462</f>
        <v>3123042</v>
      </c>
      <c r="G178" s="173">
        <v>3.8</v>
      </c>
      <c r="H178" s="206"/>
      <c r="I178" s="207">
        <f t="shared" ref="I178:I185" si="21">I218+I356+I462</f>
        <v>3207448</v>
      </c>
      <c r="J178" s="207"/>
      <c r="K178" s="173" t="e">
        <v>#REF!</v>
      </c>
      <c r="L178" s="149" t="s">
        <v>0</v>
      </c>
      <c r="M178" s="111" t="e">
        <v>#REF!</v>
      </c>
      <c r="N178" s="149" t="s">
        <v>0</v>
      </c>
      <c r="O178" s="173" t="e">
        <v>#DIV/0!</v>
      </c>
      <c r="P178" s="149" t="s">
        <v>0</v>
      </c>
      <c r="Q178" s="111" t="e">
        <v>#DIV/0!</v>
      </c>
      <c r="R178" s="111"/>
      <c r="S178" s="173" t="e">
        <v>#DIV/0!</v>
      </c>
      <c r="T178" s="149" t="s">
        <v>0</v>
      </c>
      <c r="U178" s="111" t="e">
        <v>#DIV/0!</v>
      </c>
      <c r="X178" s="52">
        <f>(G178-D178)/D178</f>
        <v>2.7027027027026931E-2</v>
      </c>
      <c r="Y178" s="52"/>
      <c r="Z178" s="98"/>
      <c r="AI178" s="44"/>
      <c r="AJ178" s="44"/>
      <c r="AK178" s="44"/>
      <c r="AL178" s="44"/>
      <c r="AM178" s="44"/>
      <c r="AN178" s="44"/>
      <c r="AO178" s="44"/>
      <c r="AP178" s="44"/>
      <c r="AR178" s="115"/>
    </row>
    <row r="179" spans="1:44" x14ac:dyDescent="0.25">
      <c r="A179" s="149" t="s">
        <v>130</v>
      </c>
      <c r="B179" s="149"/>
      <c r="C179" s="204">
        <f t="shared" si="20"/>
        <v>130952667.91217485</v>
      </c>
      <c r="D179" s="175">
        <v>10.628</v>
      </c>
      <c r="E179" s="206" t="s">
        <v>89</v>
      </c>
      <c r="F179" s="207">
        <f>F219+F357+F463</f>
        <v>13917649</v>
      </c>
      <c r="G179" s="175">
        <v>10.878</v>
      </c>
      <c r="H179" s="206" t="s">
        <v>89</v>
      </c>
      <c r="I179" s="207">
        <f t="shared" si="21"/>
        <v>14245033</v>
      </c>
      <c r="J179" s="207"/>
      <c r="K179" s="175" t="e">
        <v>#REF!</v>
      </c>
      <c r="L179" s="125" t="s">
        <v>89</v>
      </c>
      <c r="M179" s="111" t="e">
        <v>#REF!</v>
      </c>
      <c r="N179" s="207"/>
      <c r="O179" s="175" t="e">
        <v>#DIV/0!</v>
      </c>
      <c r="P179" s="206" t="s">
        <v>89</v>
      </c>
      <c r="Q179" s="111" t="e">
        <v>#DIV/0!</v>
      </c>
      <c r="R179" s="207"/>
      <c r="S179" s="175" t="e">
        <v>#DIV/0!</v>
      </c>
      <c r="T179" s="206" t="s">
        <v>89</v>
      </c>
      <c r="U179" s="111" t="e">
        <v>#DIV/0!</v>
      </c>
      <c r="X179" s="52">
        <f>((G179+G183)-D179)/D179</f>
        <v>2.3522770041400076E-2</v>
      </c>
      <c r="Y179" s="52"/>
      <c r="Z179" s="98"/>
      <c r="AA179" s="79"/>
      <c r="AB179" s="79"/>
      <c r="AC179" s="79"/>
      <c r="AD179" s="79"/>
      <c r="AE179" s="79"/>
      <c r="AF179" s="79"/>
      <c r="AI179" s="44"/>
      <c r="AJ179" s="44"/>
      <c r="AK179" s="44"/>
      <c r="AL179" s="44"/>
      <c r="AM179" s="44"/>
      <c r="AN179" s="44"/>
      <c r="AO179" s="44"/>
      <c r="AP179" s="44"/>
      <c r="AR179" s="115"/>
    </row>
    <row r="180" spans="1:44" x14ac:dyDescent="0.25">
      <c r="A180" s="149" t="s">
        <v>131</v>
      </c>
      <c r="B180" s="149"/>
      <c r="C180" s="204">
        <f t="shared" si="20"/>
        <v>281502228.69846565</v>
      </c>
      <c r="D180" s="175">
        <v>7.3410000000000002</v>
      </c>
      <c r="E180" s="206" t="s">
        <v>89</v>
      </c>
      <c r="F180" s="207">
        <f>F220+F358+F464</f>
        <v>20665077</v>
      </c>
      <c r="G180" s="175">
        <v>7.5140000000000002</v>
      </c>
      <c r="H180" s="206" t="s">
        <v>89</v>
      </c>
      <c r="I180" s="207">
        <f t="shared" si="21"/>
        <v>21152078</v>
      </c>
      <c r="J180" s="207"/>
      <c r="K180" s="175" t="e">
        <v>#REF!</v>
      </c>
      <c r="L180" s="125" t="s">
        <v>89</v>
      </c>
      <c r="M180" s="111" t="e">
        <v>#REF!</v>
      </c>
      <c r="N180" s="207"/>
      <c r="O180" s="175" t="e">
        <v>#DIV/0!</v>
      </c>
      <c r="P180" s="206" t="s">
        <v>89</v>
      </c>
      <c r="Q180" s="111" t="e">
        <v>#DIV/0!</v>
      </c>
      <c r="R180" s="207"/>
      <c r="S180" s="175" t="e">
        <v>#DIV/0!</v>
      </c>
      <c r="T180" s="206" t="s">
        <v>89</v>
      </c>
      <c r="U180" s="111" t="e">
        <v>#DIV/0!</v>
      </c>
      <c r="V180" s="211"/>
      <c r="X180" s="52">
        <f>((G180+G184)-D180)/D180</f>
        <v>2.3566271625119199E-2</v>
      </c>
      <c r="Y180" s="52"/>
      <c r="Z180" s="98"/>
      <c r="AI180" s="44"/>
      <c r="AJ180" s="44"/>
      <c r="AK180" s="44"/>
      <c r="AL180" s="44"/>
      <c r="AM180" s="44"/>
      <c r="AN180" s="44"/>
      <c r="AO180" s="44"/>
      <c r="AP180" s="44"/>
      <c r="AR180" s="115"/>
    </row>
    <row r="181" spans="1:44" x14ac:dyDescent="0.25">
      <c r="A181" s="149" t="s">
        <v>132</v>
      </c>
      <c r="B181" s="149"/>
      <c r="C181" s="204">
        <f t="shared" si="20"/>
        <v>119991272.36558694</v>
      </c>
      <c r="D181" s="175">
        <v>6.3240000000000007</v>
      </c>
      <c r="E181" s="206" t="s">
        <v>89</v>
      </c>
      <c r="F181" s="207">
        <f>F221+F359+F465</f>
        <v>7588248</v>
      </c>
      <c r="G181" s="175">
        <v>6.4720000000000004</v>
      </c>
      <c r="H181" s="206" t="s">
        <v>89</v>
      </c>
      <c r="I181" s="207">
        <f t="shared" si="21"/>
        <v>7765836</v>
      </c>
      <c r="J181" s="207"/>
      <c r="K181" s="175" t="e">
        <v>#REF!</v>
      </c>
      <c r="L181" s="125" t="s">
        <v>89</v>
      </c>
      <c r="M181" s="111" t="e">
        <v>#REF!</v>
      </c>
      <c r="N181" s="207"/>
      <c r="O181" s="175" t="e">
        <v>#DIV/0!</v>
      </c>
      <c r="P181" s="206" t="s">
        <v>89</v>
      </c>
      <c r="Q181" s="111" t="e">
        <v>#DIV/0!</v>
      </c>
      <c r="R181" s="207"/>
      <c r="S181" s="175" t="e">
        <v>#DIV/0!</v>
      </c>
      <c r="T181" s="206" t="s">
        <v>89</v>
      </c>
      <c r="U181" s="111" t="e">
        <v>#DIV/0!</v>
      </c>
      <c r="V181" s="177"/>
      <c r="X181" s="52">
        <f>((G181+G185)-D181)/D181</f>
        <v>2.3402909550917089E-2</v>
      </c>
      <c r="Y181" s="52"/>
      <c r="Z181" s="98"/>
      <c r="AA181" s="115"/>
      <c r="AB181" s="115"/>
      <c r="AI181" s="44"/>
      <c r="AJ181" s="44"/>
      <c r="AK181" s="44"/>
      <c r="AL181" s="44"/>
      <c r="AM181" s="44"/>
      <c r="AN181" s="44"/>
      <c r="AO181" s="44"/>
      <c r="AP181" s="44"/>
      <c r="AR181" s="115"/>
    </row>
    <row r="182" spans="1:44" x14ac:dyDescent="0.25">
      <c r="A182" s="149" t="s">
        <v>133</v>
      </c>
      <c r="B182" s="149"/>
      <c r="C182" s="204">
        <f t="shared" si="20"/>
        <v>122445.59285714269</v>
      </c>
      <c r="D182" s="212">
        <v>57</v>
      </c>
      <c r="E182" s="206" t="s">
        <v>89</v>
      </c>
      <c r="F182" s="207">
        <f>F222+F360+F466</f>
        <v>69794</v>
      </c>
      <c r="G182" s="212">
        <v>58</v>
      </c>
      <c r="H182" s="206" t="s">
        <v>89</v>
      </c>
      <c r="I182" s="207">
        <f t="shared" si="21"/>
        <v>71019</v>
      </c>
      <c r="J182" s="207"/>
      <c r="K182" s="212" t="s">
        <v>0</v>
      </c>
      <c r="L182" s="206"/>
      <c r="M182" s="213">
        <f>K182*C182</f>
        <v>0</v>
      </c>
      <c r="N182" s="207"/>
      <c r="O182" s="212" t="e">
        <v>#DIV/0!</v>
      </c>
      <c r="P182" s="206" t="s">
        <v>89</v>
      </c>
      <c r="Q182" s="111" t="e">
        <v>#DIV/0!</v>
      </c>
      <c r="R182" s="207"/>
      <c r="S182" s="212" t="e">
        <v>#DIV/0!</v>
      </c>
      <c r="T182" s="206" t="s">
        <v>89</v>
      </c>
      <c r="U182" s="111" t="e">
        <v>#DIV/0!</v>
      </c>
      <c r="X182" s="52">
        <f>(G182-D182)/D182</f>
        <v>1.7543859649122806E-2</v>
      </c>
      <c r="Y182" s="52"/>
      <c r="Z182" s="98"/>
      <c r="AI182" s="44"/>
      <c r="AJ182" s="44"/>
      <c r="AK182" s="44"/>
      <c r="AL182" s="44"/>
      <c r="AM182" s="44"/>
      <c r="AN182" s="44"/>
      <c r="AO182" s="44"/>
      <c r="AP182" s="44"/>
      <c r="AR182" s="115"/>
    </row>
    <row r="183" spans="1:44" s="120" customFormat="1" hidden="1" x14ac:dyDescent="0.25">
      <c r="A183" s="119" t="s">
        <v>134</v>
      </c>
      <c r="C183" s="214">
        <f>C179</f>
        <v>130952667.91217485</v>
      </c>
      <c r="D183" s="128">
        <v>0</v>
      </c>
      <c r="E183" s="122"/>
      <c r="F183" s="123"/>
      <c r="G183" s="175">
        <v>0</v>
      </c>
      <c r="H183" s="215" t="s">
        <v>89</v>
      </c>
      <c r="I183" s="213">
        <f t="shared" si="21"/>
        <v>0</v>
      </c>
      <c r="J183" s="213"/>
      <c r="K183" s="175" t="s">
        <v>0</v>
      </c>
      <c r="L183" s="215"/>
      <c r="M183" s="213">
        <f>K183*C183</f>
        <v>0</v>
      </c>
      <c r="N183" s="213"/>
      <c r="O183" s="175" t="s">
        <v>0</v>
      </c>
      <c r="P183" s="215" t="s">
        <v>0</v>
      </c>
      <c r="Q183" s="213">
        <f>O183*C183</f>
        <v>0</v>
      </c>
      <c r="R183" s="213"/>
      <c r="S183" s="175">
        <v>0</v>
      </c>
      <c r="T183" s="215" t="s">
        <v>89</v>
      </c>
      <c r="U183" s="111">
        <v>0</v>
      </c>
      <c r="V183" s="126"/>
      <c r="W183" s="112"/>
      <c r="Z183" s="127"/>
      <c r="AA183" s="127"/>
      <c r="AF183" s="122"/>
      <c r="AG183" s="122"/>
      <c r="AH183" s="122"/>
      <c r="AI183" s="122"/>
      <c r="AJ183" s="122"/>
      <c r="AK183" s="122"/>
      <c r="AL183" s="122"/>
      <c r="AM183" s="122"/>
      <c r="AN183" s="122"/>
      <c r="AO183" s="122"/>
      <c r="AP183" s="122"/>
      <c r="AR183" s="126"/>
    </row>
    <row r="184" spans="1:44" s="120" customFormat="1" hidden="1" x14ac:dyDescent="0.25">
      <c r="A184" s="119" t="s">
        <v>135</v>
      </c>
      <c r="C184" s="214">
        <f t="shared" ref="C184:C185" si="22">C180</f>
        <v>281502228.69846565</v>
      </c>
      <c r="D184" s="128">
        <v>0</v>
      </c>
      <c r="E184" s="122"/>
      <c r="F184" s="123"/>
      <c r="G184" s="175">
        <v>0</v>
      </c>
      <c r="H184" s="215" t="s">
        <v>89</v>
      </c>
      <c r="I184" s="213">
        <f t="shared" si="21"/>
        <v>0</v>
      </c>
      <c r="J184" s="213"/>
      <c r="K184" s="175" t="s">
        <v>0</v>
      </c>
      <c r="L184" s="215"/>
      <c r="M184" s="213">
        <f>K184*C184</f>
        <v>0</v>
      </c>
      <c r="N184" s="213"/>
      <c r="O184" s="175" t="s">
        <v>0</v>
      </c>
      <c r="P184" s="215" t="s">
        <v>0</v>
      </c>
      <c r="Q184" s="213">
        <f>O184*C184</f>
        <v>0</v>
      </c>
      <c r="R184" s="213"/>
      <c r="S184" s="175">
        <v>0</v>
      </c>
      <c r="T184" s="215" t="s">
        <v>89</v>
      </c>
      <c r="U184" s="111">
        <v>0</v>
      </c>
      <c r="W184" s="112"/>
      <c r="Z184" s="127"/>
      <c r="AA184" s="127"/>
      <c r="AF184" s="122"/>
      <c r="AG184" s="122"/>
      <c r="AH184" s="122"/>
      <c r="AI184" s="122"/>
      <c r="AJ184" s="122"/>
      <c r="AK184" s="122"/>
      <c r="AL184" s="122"/>
      <c r="AM184" s="122"/>
      <c r="AN184" s="122"/>
      <c r="AO184" s="122"/>
      <c r="AP184" s="122"/>
      <c r="AR184" s="126"/>
    </row>
    <row r="185" spans="1:44" s="120" customFormat="1" hidden="1" x14ac:dyDescent="0.25">
      <c r="A185" s="119" t="s">
        <v>136</v>
      </c>
      <c r="C185" s="214">
        <f t="shared" si="22"/>
        <v>119991272.36558694</v>
      </c>
      <c r="D185" s="128">
        <v>0</v>
      </c>
      <c r="E185" s="122"/>
      <c r="F185" s="123"/>
      <c r="G185" s="175">
        <v>0</v>
      </c>
      <c r="H185" s="215" t="s">
        <v>89</v>
      </c>
      <c r="I185" s="213">
        <f t="shared" si="21"/>
        <v>8774</v>
      </c>
      <c r="J185" s="213"/>
      <c r="K185" s="175" t="s">
        <v>0</v>
      </c>
      <c r="L185" s="215"/>
      <c r="M185" s="213">
        <f>K185*C185</f>
        <v>0</v>
      </c>
      <c r="N185" s="213"/>
      <c r="O185" s="175" t="s">
        <v>0</v>
      </c>
      <c r="P185" s="215" t="s">
        <v>0</v>
      </c>
      <c r="Q185" s="213">
        <f>O185*C185</f>
        <v>0</v>
      </c>
      <c r="R185" s="213"/>
      <c r="S185" s="175">
        <v>0</v>
      </c>
      <c r="T185" s="215" t="s">
        <v>89</v>
      </c>
      <c r="U185" s="111">
        <v>8572</v>
      </c>
      <c r="W185" s="112"/>
      <c r="Z185" s="127"/>
      <c r="AA185" s="127"/>
      <c r="AF185" s="122"/>
      <c r="AG185" s="122"/>
      <c r="AH185" s="122"/>
      <c r="AI185" s="122"/>
      <c r="AJ185" s="122"/>
      <c r="AK185" s="122"/>
      <c r="AL185" s="122"/>
      <c r="AM185" s="122"/>
      <c r="AN185" s="122"/>
      <c r="AO185" s="122"/>
      <c r="AP185" s="122"/>
      <c r="AR185" s="126"/>
    </row>
    <row r="186" spans="1:44" s="120" customFormat="1" hidden="1" x14ac:dyDescent="0.25">
      <c r="A186" s="182" t="s">
        <v>137</v>
      </c>
      <c r="B186" s="183"/>
      <c r="C186" s="216"/>
      <c r="D186" s="185">
        <v>10.628</v>
      </c>
      <c r="E186" s="217" t="s">
        <v>89</v>
      </c>
      <c r="F186" s="187"/>
      <c r="G186" s="185">
        <f>G179+G183</f>
        <v>10.878</v>
      </c>
      <c r="H186" s="217" t="s">
        <v>89</v>
      </c>
      <c r="I186" s="218"/>
      <c r="J186" s="218"/>
      <c r="K186" s="185" t="e">
        <f>K179+K183</f>
        <v>#REF!</v>
      </c>
      <c r="L186" s="217" t="s">
        <v>89</v>
      </c>
      <c r="M186" s="218"/>
      <c r="N186" s="218"/>
      <c r="O186" s="185" t="e">
        <f>O179+O183</f>
        <v>#DIV/0!</v>
      </c>
      <c r="P186" s="217" t="s">
        <v>89</v>
      </c>
      <c r="Q186" s="218"/>
      <c r="R186" s="218"/>
      <c r="S186" s="185" t="e">
        <f>S179+S183</f>
        <v>#DIV/0!</v>
      </c>
      <c r="T186" s="217" t="s">
        <v>89</v>
      </c>
      <c r="U186" s="218"/>
      <c r="W186" s="112"/>
      <c r="Z186" s="127"/>
      <c r="AA186" s="127"/>
      <c r="AF186" s="122"/>
      <c r="AG186" s="122"/>
      <c r="AH186" s="122"/>
      <c r="AI186" s="122"/>
      <c r="AJ186" s="122"/>
      <c r="AK186" s="122"/>
      <c r="AL186" s="122"/>
      <c r="AM186" s="122"/>
      <c r="AN186" s="122"/>
      <c r="AO186" s="122"/>
      <c r="AP186" s="122"/>
      <c r="AR186" s="126"/>
    </row>
    <row r="187" spans="1:44" s="120" customFormat="1" hidden="1" x14ac:dyDescent="0.25">
      <c r="A187" s="182" t="s">
        <v>138</v>
      </c>
      <c r="B187" s="183"/>
      <c r="C187" s="216"/>
      <c r="D187" s="185">
        <v>7.3410000000000002</v>
      </c>
      <c r="E187" s="217" t="s">
        <v>89</v>
      </c>
      <c r="F187" s="187"/>
      <c r="G187" s="185">
        <f t="shared" ref="G187:G188" si="23">G180+G184</f>
        <v>7.5140000000000002</v>
      </c>
      <c r="H187" s="217" t="s">
        <v>89</v>
      </c>
      <c r="I187" s="218"/>
      <c r="J187" s="218"/>
      <c r="K187" s="185" t="e">
        <f t="shared" ref="K187:K188" si="24">K180+K184</f>
        <v>#REF!</v>
      </c>
      <c r="L187" s="217" t="s">
        <v>89</v>
      </c>
      <c r="M187" s="218"/>
      <c r="N187" s="218"/>
      <c r="O187" s="185" t="e">
        <f t="shared" ref="O187:O188" si="25">O180+O184</f>
        <v>#DIV/0!</v>
      </c>
      <c r="P187" s="217" t="s">
        <v>89</v>
      </c>
      <c r="Q187" s="218"/>
      <c r="R187" s="218"/>
      <c r="S187" s="185" t="e">
        <f t="shared" ref="S187:S188" si="26">S180+S184</f>
        <v>#DIV/0!</v>
      </c>
      <c r="T187" s="217" t="s">
        <v>89</v>
      </c>
      <c r="U187" s="218"/>
      <c r="W187" s="112" t="s">
        <v>0</v>
      </c>
      <c r="Z187" s="127"/>
      <c r="AA187" s="127"/>
      <c r="AF187" s="122"/>
      <c r="AG187" s="122"/>
      <c r="AH187" s="122"/>
      <c r="AI187" s="122"/>
      <c r="AJ187" s="122"/>
      <c r="AK187" s="122"/>
      <c r="AL187" s="122"/>
      <c r="AM187" s="122"/>
      <c r="AN187" s="122"/>
      <c r="AO187" s="122"/>
      <c r="AP187" s="122"/>
      <c r="AR187" s="126"/>
    </row>
    <row r="188" spans="1:44" s="120" customFormat="1" hidden="1" x14ac:dyDescent="0.25">
      <c r="A188" s="182" t="s">
        <v>139</v>
      </c>
      <c r="B188" s="183"/>
      <c r="C188" s="216"/>
      <c r="D188" s="185">
        <v>6.3240000000000007</v>
      </c>
      <c r="E188" s="217" t="s">
        <v>89</v>
      </c>
      <c r="F188" s="187"/>
      <c r="G188" s="185">
        <f t="shared" si="23"/>
        <v>6.4720000000000004</v>
      </c>
      <c r="H188" s="217" t="s">
        <v>89</v>
      </c>
      <c r="I188" s="218"/>
      <c r="J188" s="218"/>
      <c r="K188" s="185" t="e">
        <f t="shared" si="24"/>
        <v>#REF!</v>
      </c>
      <c r="L188" s="217" t="s">
        <v>89</v>
      </c>
      <c r="M188" s="218"/>
      <c r="N188" s="218"/>
      <c r="O188" s="185" t="e">
        <f t="shared" si="25"/>
        <v>#DIV/0!</v>
      </c>
      <c r="P188" s="217" t="s">
        <v>89</v>
      </c>
      <c r="Q188" s="218"/>
      <c r="R188" s="218"/>
      <c r="S188" s="185" t="e">
        <f t="shared" si="26"/>
        <v>#DIV/0!</v>
      </c>
      <c r="T188" s="217" t="s">
        <v>89</v>
      </c>
      <c r="U188" s="218"/>
      <c r="W188" s="112"/>
      <c r="Z188" s="127"/>
      <c r="AA188" s="127"/>
      <c r="AF188" s="122"/>
      <c r="AG188" s="122"/>
      <c r="AH188" s="122"/>
      <c r="AI188" s="122"/>
      <c r="AJ188" s="122"/>
      <c r="AK188" s="122"/>
      <c r="AL188" s="122"/>
      <c r="AM188" s="122"/>
      <c r="AN188" s="122"/>
      <c r="AO188" s="122"/>
      <c r="AP188" s="122"/>
      <c r="AR188" s="126"/>
    </row>
    <row r="189" spans="1:44" x14ac:dyDescent="0.25">
      <c r="A189" s="219" t="s">
        <v>140</v>
      </c>
      <c r="B189" s="149"/>
      <c r="C189" s="204"/>
      <c r="D189" s="220">
        <v>-0.01</v>
      </c>
      <c r="E189" s="206"/>
      <c r="F189" s="207"/>
      <c r="G189" s="220">
        <v>-0.01</v>
      </c>
      <c r="H189" s="206"/>
      <c r="I189" s="207"/>
      <c r="J189" s="207"/>
      <c r="K189" s="220">
        <v>-0.01</v>
      </c>
      <c r="L189" s="206"/>
      <c r="M189" s="207"/>
      <c r="N189" s="207"/>
      <c r="O189" s="220">
        <v>-0.01</v>
      </c>
      <c r="P189" s="206"/>
      <c r="Q189" s="207"/>
      <c r="R189" s="207"/>
      <c r="S189" s="220">
        <v>-0.01</v>
      </c>
      <c r="T189" s="206"/>
      <c r="U189" s="207"/>
      <c r="W189" s="221"/>
      <c r="AI189" s="44"/>
      <c r="AJ189" s="44"/>
      <c r="AK189" s="44"/>
      <c r="AL189" s="44"/>
      <c r="AM189" s="44"/>
      <c r="AN189" s="44"/>
      <c r="AO189" s="44"/>
      <c r="AP189" s="44"/>
      <c r="AR189" s="115"/>
    </row>
    <row r="190" spans="1:44" x14ac:dyDescent="0.25">
      <c r="A190" s="149" t="s">
        <v>124</v>
      </c>
      <c r="B190" s="149"/>
      <c r="C190" s="204">
        <f t="shared" ref="C190:C199" si="27">C227+C365+C471</f>
        <v>74.633333333333297</v>
      </c>
      <c r="D190" s="222">
        <v>9.76</v>
      </c>
      <c r="E190" s="223"/>
      <c r="F190" s="207">
        <f t="shared" ref="F190:F199" si="28">F227+F365+F471</f>
        <v>-7</v>
      </c>
      <c r="G190" s="222">
        <f>G173</f>
        <v>9.99</v>
      </c>
      <c r="H190" s="223"/>
      <c r="I190" s="207">
        <f t="shared" ref="I190:I203" si="29">I227+I365+I471</f>
        <v>-7</v>
      </c>
      <c r="J190" s="207"/>
      <c r="K190" s="222">
        <f>K173</f>
        <v>9.76</v>
      </c>
      <c r="L190" s="223"/>
      <c r="M190" s="111">
        <v>-7.2842133333333301</v>
      </c>
      <c r="N190" s="207"/>
      <c r="O190" s="222" t="str">
        <f>O173</f>
        <v xml:space="preserve"> </v>
      </c>
      <c r="P190" s="223"/>
      <c r="Q190" s="111">
        <v>0</v>
      </c>
      <c r="R190" s="207"/>
      <c r="S190" s="222" t="str">
        <f>S173</f>
        <v xml:space="preserve"> </v>
      </c>
      <c r="T190" s="223"/>
      <c r="U190" s="111">
        <v>0</v>
      </c>
      <c r="AI190" s="44"/>
      <c r="AJ190" s="44"/>
      <c r="AK190" s="44"/>
      <c r="AL190" s="44"/>
      <c r="AM190" s="44"/>
      <c r="AN190" s="44"/>
      <c r="AO190" s="44"/>
      <c r="AP190" s="44"/>
      <c r="AR190" s="115"/>
    </row>
    <row r="191" spans="1:44" x14ac:dyDescent="0.25">
      <c r="A191" s="149" t="s">
        <v>125</v>
      </c>
      <c r="B191" s="149"/>
      <c r="C191" s="204">
        <f t="shared" si="27"/>
        <v>88.799999999999983</v>
      </c>
      <c r="D191" s="222">
        <v>14.54</v>
      </c>
      <c r="E191" s="223"/>
      <c r="F191" s="207">
        <f t="shared" si="28"/>
        <v>-12</v>
      </c>
      <c r="G191" s="222">
        <f>G174</f>
        <v>14.89</v>
      </c>
      <c r="H191" s="223"/>
      <c r="I191" s="207">
        <f t="shared" si="29"/>
        <v>-13</v>
      </c>
      <c r="J191" s="207"/>
      <c r="K191" s="222">
        <f>K174</f>
        <v>14.54</v>
      </c>
      <c r="L191" s="223"/>
      <c r="M191" s="111">
        <v>-11.602919999999997</v>
      </c>
      <c r="N191" s="207"/>
      <c r="O191" s="222" t="str">
        <f>O174</f>
        <v xml:space="preserve"> </v>
      </c>
      <c r="P191" s="223"/>
      <c r="Q191" s="111">
        <v>0</v>
      </c>
      <c r="R191" s="207"/>
      <c r="S191" s="222" t="str">
        <f>S174</f>
        <v xml:space="preserve"> </v>
      </c>
      <c r="T191" s="223"/>
      <c r="U191" s="111">
        <v>0</v>
      </c>
      <c r="W191" s="176" t="s">
        <v>0</v>
      </c>
      <c r="AK191" s="44"/>
      <c r="AL191" s="44"/>
      <c r="AM191" s="44"/>
      <c r="AN191" s="44"/>
      <c r="AO191" s="44"/>
      <c r="AP191" s="44"/>
      <c r="AR191" s="115"/>
    </row>
    <row r="192" spans="1:44" x14ac:dyDescent="0.25">
      <c r="A192" s="149" t="s">
        <v>141</v>
      </c>
      <c r="B192" s="149"/>
      <c r="C192" s="204">
        <f t="shared" si="27"/>
        <v>2161</v>
      </c>
      <c r="D192" s="222">
        <v>1.02</v>
      </c>
      <c r="E192" s="223"/>
      <c r="F192" s="207">
        <f t="shared" si="28"/>
        <v>-23</v>
      </c>
      <c r="G192" s="222">
        <f>G175</f>
        <v>1.04</v>
      </c>
      <c r="H192" s="223"/>
      <c r="I192" s="207">
        <f t="shared" si="29"/>
        <v>-23</v>
      </c>
      <c r="J192" s="207"/>
      <c r="K192" s="222">
        <f>K175</f>
        <v>1.02</v>
      </c>
      <c r="L192" s="223"/>
      <c r="M192" s="111">
        <v>-22.042200000000005</v>
      </c>
      <c r="N192" s="207"/>
      <c r="O192" s="222" t="str">
        <f>O175</f>
        <v xml:space="preserve"> </v>
      </c>
      <c r="P192" s="223"/>
      <c r="Q192" s="111">
        <v>0</v>
      </c>
      <c r="R192" s="207"/>
      <c r="S192" s="222" t="str">
        <f>S175</f>
        <v xml:space="preserve"> </v>
      </c>
      <c r="T192" s="223"/>
      <c r="U192" s="111">
        <v>0</v>
      </c>
      <c r="X192" s="176" t="s">
        <v>0</v>
      </c>
      <c r="Z192" s="118" t="s">
        <v>0</v>
      </c>
      <c r="AK192" s="44"/>
      <c r="AL192" s="44"/>
      <c r="AM192" s="44"/>
      <c r="AN192" s="44"/>
      <c r="AO192" s="44"/>
      <c r="AP192" s="44"/>
      <c r="AR192" s="115"/>
    </row>
    <row r="193" spans="1:44" x14ac:dyDescent="0.25">
      <c r="A193" s="149" t="s">
        <v>142</v>
      </c>
      <c r="B193" s="149"/>
      <c r="C193" s="204">
        <f t="shared" si="27"/>
        <v>1487</v>
      </c>
      <c r="D193" s="222">
        <v>3.7</v>
      </c>
      <c r="E193" s="206"/>
      <c r="F193" s="207">
        <f t="shared" si="28"/>
        <v>-55</v>
      </c>
      <c r="G193" s="222">
        <f>G178</f>
        <v>3.8</v>
      </c>
      <c r="H193" s="206"/>
      <c r="I193" s="207">
        <f t="shared" si="29"/>
        <v>-56</v>
      </c>
      <c r="J193" s="207"/>
      <c r="K193" s="222" t="e">
        <f>K178</f>
        <v>#REF!</v>
      </c>
      <c r="L193" s="206"/>
      <c r="M193" s="111" t="e">
        <v>#REF!</v>
      </c>
      <c r="N193" s="207"/>
      <c r="O193" s="222" t="e">
        <f>O178</f>
        <v>#DIV/0!</v>
      </c>
      <c r="P193" s="206"/>
      <c r="Q193" s="111" t="e">
        <v>#DIV/0!</v>
      </c>
      <c r="R193" s="207"/>
      <c r="S193" s="222" t="e">
        <f>S178</f>
        <v>#DIV/0!</v>
      </c>
      <c r="T193" s="206"/>
      <c r="U193" s="111" t="e">
        <v>#DIV/0!</v>
      </c>
      <c r="Y193" s="176" t="s">
        <v>0</v>
      </c>
      <c r="AK193" s="44"/>
      <c r="AL193" s="44"/>
      <c r="AM193" s="44"/>
      <c r="AN193" s="44"/>
      <c r="AO193" s="44"/>
      <c r="AP193" s="44"/>
      <c r="AR193" s="115"/>
    </row>
    <row r="194" spans="1:44" x14ac:dyDescent="0.25">
      <c r="A194" s="149" t="s">
        <v>143</v>
      </c>
      <c r="B194" s="149"/>
      <c r="C194" s="204">
        <f t="shared" si="27"/>
        <v>116452.33333333327</v>
      </c>
      <c r="D194" s="224">
        <v>10.628</v>
      </c>
      <c r="E194" s="206" t="s">
        <v>89</v>
      </c>
      <c r="F194" s="207">
        <f t="shared" si="28"/>
        <v>-123</v>
      </c>
      <c r="G194" s="224">
        <f>G179</f>
        <v>10.878</v>
      </c>
      <c r="H194" s="206" t="s">
        <v>89</v>
      </c>
      <c r="I194" s="207">
        <f t="shared" si="29"/>
        <v>-127</v>
      </c>
      <c r="J194" s="207"/>
      <c r="K194" s="224" t="e">
        <f>K179</f>
        <v>#REF!</v>
      </c>
      <c r="L194" s="206"/>
      <c r="M194" s="111" t="e">
        <v>#REF!</v>
      </c>
      <c r="N194" s="207"/>
      <c r="O194" s="224" t="e">
        <f>O179</f>
        <v>#DIV/0!</v>
      </c>
      <c r="P194" s="206" t="s">
        <v>89</v>
      </c>
      <c r="Q194" s="111" t="e">
        <v>#DIV/0!</v>
      </c>
      <c r="R194" s="207"/>
      <c r="S194" s="224" t="e">
        <f>S179</f>
        <v>#DIV/0!</v>
      </c>
      <c r="T194" s="206" t="s">
        <v>89</v>
      </c>
      <c r="U194" s="111" t="e">
        <v>#DIV/0!</v>
      </c>
      <c r="AK194" s="44"/>
      <c r="AL194" s="44"/>
      <c r="AM194" s="44"/>
      <c r="AN194" s="44"/>
      <c r="AO194" s="44"/>
      <c r="AP194" s="44"/>
      <c r="AR194" s="115"/>
    </row>
    <row r="195" spans="1:44" x14ac:dyDescent="0.25">
      <c r="A195" s="149" t="s">
        <v>131</v>
      </c>
      <c r="B195" s="149"/>
      <c r="C195" s="204">
        <f t="shared" si="27"/>
        <v>524872.66666666698</v>
      </c>
      <c r="D195" s="224">
        <v>7.3410000000000002</v>
      </c>
      <c r="E195" s="206" t="s">
        <v>89</v>
      </c>
      <c r="F195" s="207">
        <f t="shared" si="28"/>
        <v>-385</v>
      </c>
      <c r="G195" s="224">
        <f>G180</f>
        <v>7.5140000000000002</v>
      </c>
      <c r="H195" s="206" t="s">
        <v>89</v>
      </c>
      <c r="I195" s="207">
        <f t="shared" si="29"/>
        <v>-394</v>
      </c>
      <c r="J195" s="207"/>
      <c r="K195" s="224" t="e">
        <f>K180</f>
        <v>#REF!</v>
      </c>
      <c r="L195" s="206"/>
      <c r="M195" s="111" t="e">
        <v>#REF!</v>
      </c>
      <c r="N195" s="207"/>
      <c r="O195" s="224" t="e">
        <f>O180</f>
        <v>#DIV/0!</v>
      </c>
      <c r="P195" s="206" t="s">
        <v>89</v>
      </c>
      <c r="Q195" s="111" t="e">
        <v>#DIV/0!</v>
      </c>
      <c r="R195" s="207"/>
      <c r="S195" s="224" t="e">
        <f>S180</f>
        <v>#DIV/0!</v>
      </c>
      <c r="T195" s="206" t="s">
        <v>89</v>
      </c>
      <c r="U195" s="111" t="e">
        <v>#DIV/0!</v>
      </c>
      <c r="AK195" s="44"/>
      <c r="AL195" s="44"/>
      <c r="AM195" s="44"/>
      <c r="AN195" s="44"/>
      <c r="AO195" s="44"/>
      <c r="AP195" s="44"/>
      <c r="AR195" s="115"/>
    </row>
    <row r="196" spans="1:44" x14ac:dyDescent="0.25">
      <c r="A196" s="149" t="s">
        <v>132</v>
      </c>
      <c r="B196" s="149"/>
      <c r="C196" s="204">
        <f t="shared" si="27"/>
        <v>933865</v>
      </c>
      <c r="D196" s="224">
        <v>6.3240000000000007</v>
      </c>
      <c r="E196" s="206" t="s">
        <v>89</v>
      </c>
      <c r="F196" s="207">
        <f t="shared" si="28"/>
        <v>-591</v>
      </c>
      <c r="G196" s="224">
        <f>G181</f>
        <v>6.4720000000000004</v>
      </c>
      <c r="H196" s="206" t="s">
        <v>89</v>
      </c>
      <c r="I196" s="207">
        <f t="shared" si="29"/>
        <v>-604</v>
      </c>
      <c r="J196" s="207"/>
      <c r="K196" s="224" t="e">
        <f>K181</f>
        <v>#REF!</v>
      </c>
      <c r="L196" s="206"/>
      <c r="M196" s="111" t="e">
        <v>#REF!</v>
      </c>
      <c r="N196" s="207"/>
      <c r="O196" s="224" t="e">
        <f>O181</f>
        <v>#DIV/0!</v>
      </c>
      <c r="P196" s="206" t="s">
        <v>89</v>
      </c>
      <c r="Q196" s="111" t="e">
        <v>#DIV/0!</v>
      </c>
      <c r="R196" s="207"/>
      <c r="S196" s="224" t="e">
        <f>S181</f>
        <v>#DIV/0!</v>
      </c>
      <c r="T196" s="206" t="s">
        <v>89</v>
      </c>
      <c r="U196" s="111" t="e">
        <v>#DIV/0!</v>
      </c>
      <c r="AI196" s="44"/>
      <c r="AJ196" s="44"/>
      <c r="AK196" s="44"/>
      <c r="AL196" s="44"/>
      <c r="AM196" s="44"/>
      <c r="AN196" s="44"/>
      <c r="AO196" s="44"/>
      <c r="AP196" s="44"/>
      <c r="AR196" s="115"/>
    </row>
    <row r="197" spans="1:44" x14ac:dyDescent="0.25">
      <c r="A197" s="149" t="s">
        <v>133</v>
      </c>
      <c r="B197" s="149"/>
      <c r="C197" s="204">
        <f t="shared" si="27"/>
        <v>1389.3333333333335</v>
      </c>
      <c r="D197" s="225">
        <v>57</v>
      </c>
      <c r="E197" s="206" t="s">
        <v>89</v>
      </c>
      <c r="F197" s="207">
        <f t="shared" si="28"/>
        <v>-8</v>
      </c>
      <c r="G197" s="225">
        <f>G182</f>
        <v>58</v>
      </c>
      <c r="H197" s="206" t="s">
        <v>89</v>
      </c>
      <c r="I197" s="207">
        <f t="shared" si="29"/>
        <v>-8</v>
      </c>
      <c r="J197" s="207"/>
      <c r="K197" s="225" t="str">
        <f>K182</f>
        <v xml:space="preserve"> </v>
      </c>
      <c r="L197" s="206"/>
      <c r="M197" s="111">
        <v>0</v>
      </c>
      <c r="N197" s="207"/>
      <c r="O197" s="225" t="e">
        <f>O182</f>
        <v>#DIV/0!</v>
      </c>
      <c r="P197" s="206" t="s">
        <v>89</v>
      </c>
      <c r="Q197" s="111" t="e">
        <v>#DIV/0!</v>
      </c>
      <c r="R197" s="207"/>
      <c r="S197" s="225" t="e">
        <f>S182</f>
        <v>#DIV/0!</v>
      </c>
      <c r="T197" s="206" t="s">
        <v>89</v>
      </c>
      <c r="U197" s="111" t="e">
        <v>#DIV/0!</v>
      </c>
      <c r="AI197" s="44"/>
      <c r="AJ197" s="44"/>
      <c r="AK197" s="44"/>
      <c r="AL197" s="44"/>
      <c r="AM197" s="44"/>
      <c r="AN197" s="44"/>
      <c r="AO197" s="44"/>
      <c r="AP197" s="44"/>
      <c r="AR197" s="115"/>
    </row>
    <row r="198" spans="1:44" x14ac:dyDescent="0.25">
      <c r="A198" s="149" t="s">
        <v>144</v>
      </c>
      <c r="B198" s="149"/>
      <c r="C198" s="204">
        <f t="shared" si="27"/>
        <v>130.39999999999998</v>
      </c>
      <c r="D198" s="226">
        <v>60</v>
      </c>
      <c r="E198" s="206"/>
      <c r="F198" s="207">
        <f t="shared" si="28"/>
        <v>7824</v>
      </c>
      <c r="G198" s="226">
        <v>60</v>
      </c>
      <c r="H198" s="206"/>
      <c r="I198" s="207">
        <f t="shared" si="29"/>
        <v>7824</v>
      </c>
      <c r="J198" s="207"/>
      <c r="K198" s="226" t="s">
        <v>0</v>
      </c>
      <c r="L198" s="206"/>
      <c r="M198" s="111">
        <v>0</v>
      </c>
      <c r="N198" s="207"/>
      <c r="O198" s="173" t="e">
        <f>ROUND(Q198/$C$198,2)</f>
        <v>#DIV/0!</v>
      </c>
      <c r="P198" s="206"/>
      <c r="Q198" s="111" t="e">
        <v>#DIV/0!</v>
      </c>
      <c r="R198" s="207"/>
      <c r="S198" s="173" t="e">
        <f>ROUND(U198/$C$198,2)</f>
        <v>#DIV/0!</v>
      </c>
      <c r="T198" s="206"/>
      <c r="U198" s="111" t="e">
        <v>#DIV/0!</v>
      </c>
      <c r="X198" s="176" t="s">
        <v>0</v>
      </c>
      <c r="AI198" s="44"/>
      <c r="AJ198" s="44"/>
      <c r="AK198" s="44"/>
      <c r="AL198" s="44"/>
      <c r="AM198" s="44"/>
      <c r="AN198" s="44"/>
      <c r="AO198" s="44"/>
      <c r="AP198" s="44"/>
      <c r="AR198" s="115"/>
    </row>
    <row r="199" spans="1:44" x14ac:dyDescent="0.25">
      <c r="A199" s="149" t="s">
        <v>145</v>
      </c>
      <c r="B199" s="149"/>
      <c r="C199" s="204">
        <f t="shared" si="27"/>
        <v>709.3</v>
      </c>
      <c r="D199" s="227">
        <v>-30</v>
      </c>
      <c r="E199" s="206" t="s">
        <v>89</v>
      </c>
      <c r="F199" s="207">
        <f t="shared" si="28"/>
        <v>-213</v>
      </c>
      <c r="G199" s="227">
        <v>-30</v>
      </c>
      <c r="H199" s="206" t="s">
        <v>89</v>
      </c>
      <c r="I199" s="207">
        <f t="shared" si="29"/>
        <v>-213</v>
      </c>
      <c r="J199" s="207"/>
      <c r="K199" s="227">
        <v>-30</v>
      </c>
      <c r="L199" s="206" t="s">
        <v>89</v>
      </c>
      <c r="M199" s="111">
        <v>-213</v>
      </c>
      <c r="N199" s="207"/>
      <c r="O199" s="227" t="s">
        <v>0</v>
      </c>
      <c r="P199" s="206" t="s">
        <v>0</v>
      </c>
      <c r="Q199" s="111">
        <v>0</v>
      </c>
      <c r="R199" s="207"/>
      <c r="S199" s="227" t="s">
        <v>0</v>
      </c>
      <c r="T199" s="206" t="s">
        <v>0</v>
      </c>
      <c r="U199" s="111">
        <v>0</v>
      </c>
      <c r="X199" s="176" t="s">
        <v>0</v>
      </c>
      <c r="Z199" s="228"/>
      <c r="AA199" s="228"/>
      <c r="AI199" s="44"/>
      <c r="AJ199" s="44"/>
      <c r="AK199" s="44"/>
      <c r="AL199" s="44"/>
      <c r="AM199" s="44"/>
      <c r="AN199" s="44"/>
      <c r="AO199" s="44"/>
      <c r="AP199" s="44"/>
      <c r="AR199" s="115"/>
    </row>
    <row r="200" spans="1:44" s="120" customFormat="1" hidden="1" x14ac:dyDescent="0.25">
      <c r="A200" s="119" t="s">
        <v>134</v>
      </c>
      <c r="C200" s="214">
        <f>C194</f>
        <v>116452.33333333327</v>
      </c>
      <c r="D200" s="128">
        <v>0</v>
      </c>
      <c r="E200" s="122"/>
      <c r="F200" s="123"/>
      <c r="G200" s="124">
        <f>G183</f>
        <v>0</v>
      </c>
      <c r="H200" s="215" t="s">
        <v>89</v>
      </c>
      <c r="I200" s="207">
        <f t="shared" si="29"/>
        <v>0</v>
      </c>
      <c r="J200" s="207"/>
      <c r="K200" s="124" t="str">
        <f>K183</f>
        <v xml:space="preserve"> </v>
      </c>
      <c r="L200" s="215"/>
      <c r="M200" s="111" t="e">
        <v>#REF!</v>
      </c>
      <c r="N200" s="207"/>
      <c r="O200" s="124" t="str">
        <f>O183</f>
        <v xml:space="preserve"> </v>
      </c>
      <c r="P200" s="215" t="s">
        <v>0</v>
      </c>
      <c r="Q200" s="111" t="e">
        <v>#DIV/0!</v>
      </c>
      <c r="R200" s="207"/>
      <c r="S200" s="124">
        <f>S183</f>
        <v>0</v>
      </c>
      <c r="T200" s="215" t="s">
        <v>89</v>
      </c>
      <c r="U200" s="111">
        <v>0</v>
      </c>
      <c r="W200" s="112"/>
      <c r="Z200" s="127"/>
      <c r="AA200" s="127"/>
      <c r="AF200" s="122"/>
      <c r="AG200" s="122"/>
      <c r="AH200" s="122"/>
      <c r="AI200" s="122"/>
      <c r="AJ200" s="122"/>
      <c r="AK200" s="122"/>
      <c r="AL200" s="122"/>
      <c r="AM200" s="122"/>
      <c r="AN200" s="122"/>
      <c r="AO200" s="122"/>
      <c r="AP200" s="122"/>
      <c r="AR200" s="126"/>
    </row>
    <row r="201" spans="1:44" s="120" customFormat="1" hidden="1" x14ac:dyDescent="0.25">
      <c r="A201" s="119" t="s">
        <v>135</v>
      </c>
      <c r="C201" s="214">
        <f t="shared" ref="C201:C202" si="30">C195</f>
        <v>524872.66666666698</v>
      </c>
      <c r="D201" s="128">
        <v>0</v>
      </c>
      <c r="E201" s="122"/>
      <c r="F201" s="123"/>
      <c r="G201" s="124">
        <f>G184</f>
        <v>0</v>
      </c>
      <c r="H201" s="215" t="s">
        <v>89</v>
      </c>
      <c r="I201" s="207">
        <f t="shared" si="29"/>
        <v>0</v>
      </c>
      <c r="J201" s="207"/>
      <c r="K201" s="124" t="str">
        <f>K184</f>
        <v xml:space="preserve"> </v>
      </c>
      <c r="L201" s="215"/>
      <c r="M201" s="111" t="e">
        <v>#REF!</v>
      </c>
      <c r="N201" s="207"/>
      <c r="O201" s="124" t="str">
        <f>O184</f>
        <v xml:space="preserve"> </v>
      </c>
      <c r="P201" s="215" t="s">
        <v>0</v>
      </c>
      <c r="Q201" s="111" t="e">
        <v>#DIV/0!</v>
      </c>
      <c r="R201" s="207"/>
      <c r="S201" s="124">
        <f>S184</f>
        <v>0</v>
      </c>
      <c r="T201" s="215" t="s">
        <v>89</v>
      </c>
      <c r="U201" s="111">
        <v>0</v>
      </c>
      <c r="W201" s="112"/>
      <c r="Z201" s="127"/>
      <c r="AA201" s="127"/>
      <c r="AF201" s="122"/>
      <c r="AG201" s="122"/>
      <c r="AH201" s="122"/>
      <c r="AI201" s="122"/>
      <c r="AJ201" s="122"/>
      <c r="AK201" s="122"/>
      <c r="AL201" s="122"/>
      <c r="AM201" s="122"/>
      <c r="AN201" s="122"/>
      <c r="AO201" s="122"/>
      <c r="AP201" s="122"/>
      <c r="AR201" s="126"/>
    </row>
    <row r="202" spans="1:44" s="120" customFormat="1" hidden="1" x14ac:dyDescent="0.25">
      <c r="A202" s="119" t="s">
        <v>136</v>
      </c>
      <c r="C202" s="214">
        <f t="shared" si="30"/>
        <v>933865</v>
      </c>
      <c r="D202" s="128">
        <v>0</v>
      </c>
      <c r="E202" s="122"/>
      <c r="F202" s="123"/>
      <c r="G202" s="124">
        <f>G185</f>
        <v>0</v>
      </c>
      <c r="H202" s="215" t="s">
        <v>89</v>
      </c>
      <c r="I202" s="207">
        <f t="shared" si="29"/>
        <v>0</v>
      </c>
      <c r="J202" s="207"/>
      <c r="K202" s="124" t="str">
        <f>K185</f>
        <v xml:space="preserve"> </v>
      </c>
      <c r="L202" s="215"/>
      <c r="M202" s="111">
        <v>0</v>
      </c>
      <c r="N202" s="207"/>
      <c r="O202" s="124" t="str">
        <f>O185</f>
        <v xml:space="preserve"> </v>
      </c>
      <c r="P202" s="215" t="s">
        <v>0</v>
      </c>
      <c r="Q202" s="111" t="e">
        <v>#DIV/0!</v>
      </c>
      <c r="R202" s="207"/>
      <c r="S202" s="124">
        <f>S185</f>
        <v>0</v>
      </c>
      <c r="T202" s="215" t="s">
        <v>89</v>
      </c>
      <c r="U202" s="111">
        <v>0</v>
      </c>
      <c r="W202" s="112"/>
      <c r="Z202" s="127"/>
      <c r="AA202" s="127"/>
      <c r="AF202" s="122"/>
      <c r="AG202" s="122"/>
      <c r="AH202" s="122"/>
      <c r="AI202" s="122"/>
      <c r="AJ202" s="122"/>
      <c r="AK202" s="122"/>
      <c r="AL202" s="122"/>
      <c r="AM202" s="122"/>
      <c r="AN202" s="122"/>
      <c r="AO202" s="122"/>
      <c r="AP202" s="122"/>
      <c r="AR202" s="126"/>
    </row>
    <row r="203" spans="1:44" x14ac:dyDescent="0.25">
      <c r="A203" s="149" t="s">
        <v>114</v>
      </c>
      <c r="B203" s="109"/>
      <c r="C203" s="204">
        <f>C240+C378+C484</f>
        <v>532446168.97622746</v>
      </c>
      <c r="D203" s="212"/>
      <c r="E203" s="206"/>
      <c r="F203" s="207">
        <f>F240+F378+F484</f>
        <v>49032274</v>
      </c>
      <c r="G203" s="212"/>
      <c r="H203" s="206"/>
      <c r="I203" s="207">
        <f t="shared" si="29"/>
        <v>50192314</v>
      </c>
      <c r="J203" s="207"/>
      <c r="K203" s="212"/>
      <c r="L203" s="206"/>
      <c r="M203" s="207" t="e">
        <f>SUM(M169:M202)</f>
        <v>#REF!</v>
      </c>
      <c r="N203" s="207"/>
      <c r="O203" s="212"/>
      <c r="P203" s="206"/>
      <c r="Q203" s="207" t="e">
        <f>SUM(Q169:Q202)</f>
        <v>#DIV/0!</v>
      </c>
      <c r="R203" s="207"/>
      <c r="S203" s="212"/>
      <c r="T203" s="206"/>
      <c r="U203" s="207" t="e">
        <f>SUM(U169:U202)</f>
        <v>#DIV/0!</v>
      </c>
      <c r="AI203" s="44"/>
      <c r="AJ203" s="44"/>
      <c r="AK203" s="44"/>
      <c r="AL203" s="44"/>
      <c r="AM203" s="44"/>
      <c r="AN203" s="44"/>
      <c r="AO203" s="44"/>
      <c r="AP203" s="44"/>
      <c r="AR203" s="115"/>
    </row>
    <row r="204" spans="1:44" x14ac:dyDescent="0.25">
      <c r="A204" s="149" t="s">
        <v>92</v>
      </c>
      <c r="B204" s="201"/>
      <c r="C204" s="229">
        <f>C241+C379+C485</f>
        <v>3820431.375987567</v>
      </c>
      <c r="D204" s="134"/>
      <c r="E204" s="134"/>
      <c r="F204" s="230">
        <f>F241+F379+F485</f>
        <v>398180.89115916123</v>
      </c>
      <c r="G204" s="134"/>
      <c r="H204" s="134"/>
      <c r="I204" s="132">
        <f>F204</f>
        <v>398180.89115916123</v>
      </c>
      <c r="J204" s="133"/>
      <c r="K204" s="134"/>
      <c r="L204" s="134"/>
      <c r="M204" s="132" t="e">
        <f>$I$204*V208/($V$208+$W$208+$X$208)</f>
        <v>#DIV/0!</v>
      </c>
      <c r="N204" s="133"/>
      <c r="O204" s="134"/>
      <c r="P204" s="134"/>
      <c r="Q204" s="132" t="e">
        <f>$I$204*W208/($V$208+$W$208+$X$208)</f>
        <v>#DIV/0!</v>
      </c>
      <c r="R204" s="133"/>
      <c r="S204" s="134"/>
      <c r="T204" s="134"/>
      <c r="U204" s="132" t="e">
        <f>$I$204*X208/($V$208+$W$208+$X$208)</f>
        <v>#DIV/0!</v>
      </c>
      <c r="X204" s="80"/>
      <c r="Y204" s="80"/>
      <c r="AI204" s="44"/>
      <c r="AJ204" s="44"/>
      <c r="AK204" s="44"/>
      <c r="AL204" s="44"/>
      <c r="AM204" s="44"/>
      <c r="AN204" s="44"/>
      <c r="AO204" s="44"/>
      <c r="AP204" s="44"/>
      <c r="AR204" s="115"/>
    </row>
    <row r="205" spans="1:44" ht="16.5" thickBot="1" x14ac:dyDescent="0.3">
      <c r="A205" s="149" t="s">
        <v>115</v>
      </c>
      <c r="B205" s="149"/>
      <c r="C205" s="192">
        <f>SUM(C203:C204)</f>
        <v>536266600.35221505</v>
      </c>
      <c r="D205" s="231"/>
      <c r="E205" s="232"/>
      <c r="F205" s="233">
        <f>F203+F204</f>
        <v>49430454.891159162</v>
      </c>
      <c r="G205" s="234"/>
      <c r="H205" s="232"/>
      <c r="I205" s="233">
        <f>I203+I204</f>
        <v>50590494.891159162</v>
      </c>
      <c r="J205" s="233"/>
      <c r="K205" s="234"/>
      <c r="L205" s="232"/>
      <c r="M205" s="233" t="e">
        <f>M203+M204</f>
        <v>#REF!</v>
      </c>
      <c r="N205" s="233"/>
      <c r="O205" s="234"/>
      <c r="P205" s="232"/>
      <c r="Q205" s="233" t="e">
        <f>Q203+Q204</f>
        <v>#DIV/0!</v>
      </c>
      <c r="R205" s="233"/>
      <c r="S205" s="234"/>
      <c r="T205" s="232"/>
      <c r="U205" s="233" t="e">
        <f>U203+U204</f>
        <v>#DIV/0!</v>
      </c>
      <c r="V205" s="139" t="s">
        <v>146</v>
      </c>
      <c r="W205" s="140">
        <v>50590897.009019949</v>
      </c>
      <c r="X205" s="235">
        <v>-5.4058551390443993E-2</v>
      </c>
      <c r="Y205" s="236"/>
      <c r="Z205" s="52" t="s">
        <v>0</v>
      </c>
      <c r="AI205" s="44"/>
      <c r="AJ205" s="44"/>
      <c r="AK205" s="44"/>
      <c r="AL205" s="44"/>
      <c r="AM205" s="44"/>
      <c r="AN205" s="44"/>
      <c r="AO205" s="44"/>
      <c r="AP205" s="44"/>
      <c r="AR205" s="115"/>
    </row>
    <row r="206" spans="1:44" ht="16.5" thickTop="1" x14ac:dyDescent="0.25">
      <c r="A206" s="149"/>
      <c r="B206" s="149"/>
      <c r="C206" s="144"/>
      <c r="D206" s="237"/>
      <c r="E206" s="238"/>
      <c r="F206" s="207"/>
      <c r="G206" s="239"/>
      <c r="H206" s="238"/>
      <c r="I206" s="207"/>
      <c r="J206" s="207"/>
      <c r="K206" s="239"/>
      <c r="L206" s="238"/>
      <c r="M206" s="207"/>
      <c r="N206" s="207"/>
      <c r="O206" s="239"/>
      <c r="P206" s="238"/>
      <c r="Q206" s="207"/>
      <c r="R206" s="207"/>
      <c r="S206" s="239"/>
      <c r="T206" s="238"/>
      <c r="U206" s="207" t="s">
        <v>0</v>
      </c>
      <c r="V206" s="150" t="s">
        <v>96</v>
      </c>
      <c r="W206" s="151">
        <f>W205-I205</f>
        <v>402.1178607866168</v>
      </c>
      <c r="X206" s="240"/>
      <c r="Y206" s="236"/>
      <c r="Z206" s="52"/>
      <c r="AI206" s="44"/>
      <c r="AJ206" s="44"/>
      <c r="AK206" s="44"/>
      <c r="AL206" s="44"/>
      <c r="AM206" s="44"/>
      <c r="AN206" s="44"/>
      <c r="AO206" s="44"/>
      <c r="AP206" s="44"/>
      <c r="AR206" s="115"/>
    </row>
    <row r="207" spans="1:44" hidden="1" x14ac:dyDescent="0.25">
      <c r="A207" s="149"/>
      <c r="B207" s="149"/>
      <c r="C207" s="144"/>
      <c r="D207" s="237"/>
      <c r="E207" s="238"/>
      <c r="F207" s="207"/>
      <c r="G207" s="239"/>
      <c r="H207" s="238"/>
      <c r="I207" s="207"/>
      <c r="J207" s="207"/>
      <c r="K207" s="239"/>
      <c r="L207" s="238"/>
      <c r="M207" s="207"/>
      <c r="N207" s="207"/>
      <c r="O207" s="239"/>
      <c r="P207" s="238"/>
      <c r="Q207" s="207"/>
      <c r="R207" s="207"/>
      <c r="S207" s="239"/>
      <c r="T207" s="238"/>
      <c r="U207" s="207" t="s">
        <v>0</v>
      </c>
      <c r="V207" s="193"/>
      <c r="W207" s="193"/>
      <c r="X207" s="153"/>
      <c r="Y207" s="236"/>
      <c r="Z207" s="52"/>
      <c r="AI207" s="44"/>
      <c r="AJ207" s="44"/>
      <c r="AK207" s="44"/>
      <c r="AL207" s="44"/>
      <c r="AM207" s="44"/>
      <c r="AN207" s="44"/>
      <c r="AO207" s="44"/>
      <c r="AP207" s="44"/>
      <c r="AR207" s="115"/>
    </row>
    <row r="208" spans="1:44" hidden="1" x14ac:dyDescent="0.25">
      <c r="A208" s="149"/>
      <c r="B208" s="149"/>
      <c r="C208" s="169"/>
      <c r="D208" s="226"/>
      <c r="E208" s="149"/>
      <c r="F208" s="111" t="s">
        <v>0</v>
      </c>
      <c r="G208" s="226"/>
      <c r="H208" s="149"/>
      <c r="I208" s="111" t="s">
        <v>0</v>
      </c>
      <c r="J208" s="111"/>
      <c r="K208" s="226"/>
      <c r="L208" s="149"/>
      <c r="M208" s="111" t="s">
        <v>0</v>
      </c>
      <c r="N208" s="111"/>
      <c r="O208" s="226"/>
      <c r="P208" s="149"/>
      <c r="Q208" s="111" t="s">
        <v>0</v>
      </c>
      <c r="R208" s="111"/>
      <c r="S208" s="226"/>
      <c r="T208" s="149"/>
      <c r="U208" s="111" t="s">
        <v>0</v>
      </c>
      <c r="V208" s="126"/>
      <c r="W208" s="126"/>
      <c r="X208" s="126"/>
      <c r="Y208" s="241"/>
      <c r="AI208" s="44"/>
      <c r="AJ208" s="44"/>
      <c r="AK208" s="44"/>
      <c r="AL208" s="44"/>
      <c r="AM208" s="44"/>
      <c r="AN208" s="44"/>
      <c r="AO208" s="44"/>
      <c r="AP208" s="44"/>
      <c r="AR208" s="115"/>
    </row>
    <row r="209" spans="1:44" hidden="1" x14ac:dyDescent="0.25">
      <c r="A209" s="149"/>
      <c r="B209" s="149"/>
      <c r="C209" s="169"/>
      <c r="D209" s="226"/>
      <c r="E209" s="149"/>
      <c r="F209" s="111"/>
      <c r="G209" s="226"/>
      <c r="H209" s="149"/>
      <c r="K209" s="226"/>
      <c r="L209" s="149"/>
      <c r="O209" s="226"/>
      <c r="P209" s="149"/>
      <c r="S209" s="226"/>
      <c r="T209" s="149"/>
      <c r="AI209" s="44"/>
      <c r="AJ209" s="44"/>
      <c r="AK209" s="44"/>
      <c r="AL209" s="44"/>
      <c r="AM209" s="44"/>
      <c r="AN209" s="44"/>
      <c r="AO209" s="44"/>
      <c r="AP209" s="44"/>
      <c r="AR209" s="115"/>
    </row>
    <row r="210" spans="1:44" hidden="1" x14ac:dyDescent="0.25">
      <c r="A210" s="168" t="s">
        <v>121</v>
      </c>
      <c r="B210" s="149"/>
      <c r="C210" s="149"/>
      <c r="D210" s="111"/>
      <c r="E210" s="149"/>
      <c r="F210" s="149"/>
      <c r="G210" s="111"/>
      <c r="H210" s="149"/>
      <c r="I210" s="149"/>
      <c r="J210" s="149"/>
      <c r="K210" s="111"/>
      <c r="L210" s="149"/>
      <c r="M210" s="149"/>
      <c r="N210" s="149"/>
      <c r="O210" s="111"/>
      <c r="P210" s="149"/>
      <c r="Q210" s="149"/>
      <c r="R210" s="149"/>
      <c r="S210" s="111"/>
      <c r="T210" s="149"/>
      <c r="U210" s="149"/>
      <c r="W210" s="242" t="s">
        <v>0</v>
      </c>
      <c r="X210" s="52"/>
      <c r="Y210" s="52"/>
      <c r="AI210" s="44"/>
      <c r="AJ210" s="44"/>
      <c r="AK210" s="44"/>
      <c r="AL210" s="44"/>
      <c r="AM210" s="44"/>
      <c r="AN210" s="44"/>
      <c r="AO210" s="44"/>
      <c r="AP210" s="44"/>
      <c r="AR210" s="115"/>
    </row>
    <row r="211" spans="1:44" hidden="1" x14ac:dyDescent="0.25">
      <c r="A211" s="149" t="s">
        <v>147</v>
      </c>
      <c r="B211" s="149"/>
      <c r="C211" s="149"/>
      <c r="D211" s="111"/>
      <c r="E211" s="149"/>
      <c r="F211" s="149"/>
      <c r="G211" s="111"/>
      <c r="H211" s="149"/>
      <c r="I211" s="149"/>
      <c r="J211" s="149"/>
      <c r="K211" s="111"/>
      <c r="L211" s="149"/>
      <c r="M211" s="149"/>
      <c r="N211" s="149"/>
      <c r="O211" s="111"/>
      <c r="P211" s="149"/>
      <c r="Q211" s="149"/>
      <c r="R211" s="149"/>
      <c r="S211" s="111"/>
      <c r="T211" s="149"/>
      <c r="U211" s="149"/>
      <c r="V211" s="146"/>
      <c r="W211" s="91"/>
      <c r="X211" s="91"/>
      <c r="Y211" s="91"/>
      <c r="Z211" s="44"/>
      <c r="AA211" s="44"/>
      <c r="AB211" s="44"/>
      <c r="AC211" s="44"/>
      <c r="AD211" s="44"/>
      <c r="AE211" s="44"/>
      <c r="AF211" s="44"/>
      <c r="AG211" s="44"/>
      <c r="AH211" s="44"/>
      <c r="AI211" s="44"/>
      <c r="AJ211" s="44"/>
      <c r="AK211" s="44"/>
      <c r="AL211" s="44"/>
      <c r="AM211" s="44"/>
      <c r="AN211" s="44"/>
      <c r="AO211" s="44"/>
      <c r="AP211" s="44"/>
      <c r="AR211" s="115"/>
    </row>
    <row r="212" spans="1:44" hidden="1" x14ac:dyDescent="0.25">
      <c r="A212" s="149"/>
      <c r="B212" s="149"/>
      <c r="C212" s="149"/>
      <c r="D212" s="111"/>
      <c r="E212" s="149"/>
      <c r="F212" s="149"/>
      <c r="G212" s="111"/>
      <c r="H212" s="149"/>
      <c r="I212" s="149"/>
      <c r="J212" s="149"/>
      <c r="K212" s="111"/>
      <c r="L212" s="149"/>
      <c r="M212" s="149"/>
      <c r="N212" s="149"/>
      <c r="O212" s="111"/>
      <c r="P212" s="149"/>
      <c r="Q212" s="149"/>
      <c r="R212" s="149"/>
      <c r="S212" s="111"/>
      <c r="T212" s="149"/>
      <c r="U212" s="149"/>
      <c r="V212" s="146"/>
      <c r="W212" s="91"/>
      <c r="X212" s="91"/>
      <c r="Y212" s="91"/>
      <c r="Z212" s="44"/>
      <c r="AA212" s="44"/>
      <c r="AB212" s="44"/>
      <c r="AC212" s="44"/>
      <c r="AD212" s="44"/>
      <c r="AE212" s="44"/>
      <c r="AF212" s="44"/>
      <c r="AG212" s="44"/>
      <c r="AH212" s="44"/>
      <c r="AI212" s="44"/>
      <c r="AJ212" s="44"/>
      <c r="AK212" s="44"/>
      <c r="AL212" s="44"/>
      <c r="AM212" s="44"/>
      <c r="AN212" s="44"/>
      <c r="AO212" s="44"/>
      <c r="AP212" s="44"/>
      <c r="AR212" s="115"/>
    </row>
    <row r="213" spans="1:44" hidden="1" x14ac:dyDescent="0.25">
      <c r="A213" s="149" t="s">
        <v>127</v>
      </c>
      <c r="B213" s="149"/>
      <c r="C213" s="204"/>
      <c r="D213" s="111"/>
      <c r="E213" s="149"/>
      <c r="F213" s="149"/>
      <c r="G213" s="111"/>
      <c r="H213" s="149"/>
      <c r="I213" s="149"/>
      <c r="J213" s="149"/>
      <c r="K213" s="111"/>
      <c r="L213" s="149"/>
      <c r="M213" s="149"/>
      <c r="N213" s="149"/>
      <c r="O213" s="111"/>
      <c r="P213" s="149"/>
      <c r="Q213" s="149"/>
      <c r="R213" s="149"/>
      <c r="S213" s="111"/>
      <c r="T213" s="149"/>
      <c r="U213" s="149"/>
      <c r="V213" s="44"/>
      <c r="W213" s="91"/>
      <c r="X213" s="91"/>
      <c r="Y213" s="91"/>
      <c r="Z213" s="44"/>
      <c r="AA213" s="44"/>
      <c r="AB213" s="44"/>
      <c r="AC213" s="44"/>
      <c r="AD213" s="44"/>
      <c r="AE213" s="44"/>
      <c r="AF213" s="44"/>
      <c r="AG213" s="44"/>
      <c r="AH213" s="44"/>
      <c r="AI213" s="44"/>
      <c r="AJ213" s="44"/>
      <c r="AK213" s="44"/>
      <c r="AL213" s="44"/>
      <c r="AM213" s="44"/>
      <c r="AN213" s="44"/>
      <c r="AO213" s="44"/>
      <c r="AP213" s="44"/>
      <c r="AR213" s="115"/>
    </row>
    <row r="214" spans="1:44" hidden="1" x14ac:dyDescent="0.25">
      <c r="A214" s="149" t="s">
        <v>124</v>
      </c>
      <c r="B214" s="149"/>
      <c r="C214" s="204">
        <f>C283+C317+C248</f>
        <v>161975.73333331931</v>
      </c>
      <c r="D214" s="173">
        <v>9.76</v>
      </c>
      <c r="E214" s="206"/>
      <c r="F214" s="111">
        <f>F283+F317+F248</f>
        <v>1580883</v>
      </c>
      <c r="G214" s="173">
        <f>$G$173</f>
        <v>9.99</v>
      </c>
      <c r="H214" s="206"/>
      <c r="I214" s="111">
        <f>I283+I317+I248</f>
        <v>1618138</v>
      </c>
      <c r="J214" s="111"/>
      <c r="K214" s="173">
        <f>$K$173</f>
        <v>9.76</v>
      </c>
      <c r="L214" s="206"/>
      <c r="M214" s="111">
        <f>M283+M317+M248</f>
        <v>1580883</v>
      </c>
      <c r="N214" s="111"/>
      <c r="O214" s="173" t="str">
        <f>$O$173</f>
        <v xml:space="preserve"> </v>
      </c>
      <c r="P214" s="206"/>
      <c r="Q214" s="111">
        <f>Q283+Q317+Q248</f>
        <v>0</v>
      </c>
      <c r="R214" s="111"/>
      <c r="S214" s="173" t="str">
        <f>$S$173</f>
        <v xml:space="preserve"> </v>
      </c>
      <c r="T214" s="206"/>
      <c r="U214" s="111">
        <f>U283+U317+U248</f>
        <v>0</v>
      </c>
      <c r="V214" s="44"/>
      <c r="W214" s="91"/>
      <c r="X214" s="91"/>
      <c r="Y214" s="91"/>
      <c r="Z214" s="44"/>
      <c r="AA214" s="44"/>
      <c r="AB214" s="44"/>
      <c r="AC214" s="44"/>
      <c r="AD214" s="44"/>
      <c r="AE214" s="44"/>
      <c r="AF214" s="44"/>
      <c r="AG214" s="44"/>
      <c r="AH214" s="44"/>
      <c r="AI214" s="44"/>
      <c r="AJ214" s="44"/>
      <c r="AK214" s="44"/>
      <c r="AL214" s="44"/>
      <c r="AM214" s="44"/>
      <c r="AN214" s="44"/>
      <c r="AO214" s="44"/>
      <c r="AP214" s="44"/>
      <c r="AR214" s="115"/>
    </row>
    <row r="215" spans="1:44" hidden="1" x14ac:dyDescent="0.25">
      <c r="A215" s="149" t="s">
        <v>125</v>
      </c>
      <c r="B215" s="149"/>
      <c r="C215" s="204">
        <f>C284+C318+C249</f>
        <v>64148.300000000723</v>
      </c>
      <c r="D215" s="173">
        <v>14.54</v>
      </c>
      <c r="E215" s="208"/>
      <c r="F215" s="111">
        <f>F284+F318+F249</f>
        <v>932716</v>
      </c>
      <c r="G215" s="173">
        <f>$G$174</f>
        <v>14.89</v>
      </c>
      <c r="H215" s="208"/>
      <c r="I215" s="111">
        <f>I284+I318+I249</f>
        <v>955168</v>
      </c>
      <c r="J215" s="111"/>
      <c r="K215" s="173">
        <f>$K$174</f>
        <v>14.54</v>
      </c>
      <c r="L215" s="208"/>
      <c r="M215" s="111">
        <f>M284+M318+M249</f>
        <v>932716</v>
      </c>
      <c r="N215" s="111"/>
      <c r="O215" s="173" t="str">
        <f>$O$174</f>
        <v xml:space="preserve"> </v>
      </c>
      <c r="P215" s="208"/>
      <c r="Q215" s="111">
        <f>Q284+Q318+Q249</f>
        <v>0</v>
      </c>
      <c r="R215" s="111"/>
      <c r="S215" s="173" t="str">
        <f>$S$174</f>
        <v xml:space="preserve"> </v>
      </c>
      <c r="T215" s="208"/>
      <c r="U215" s="111">
        <f>U284+U318+U249</f>
        <v>0</v>
      </c>
      <c r="V215" s="44"/>
      <c r="W215" s="91"/>
      <c r="X215" s="91"/>
      <c r="Y215" s="91"/>
      <c r="Z215" s="44"/>
      <c r="AA215" s="44"/>
      <c r="AB215" s="44"/>
      <c r="AC215" s="44"/>
      <c r="AD215" s="44"/>
      <c r="AE215" s="44"/>
      <c r="AF215" s="44"/>
      <c r="AG215" s="44"/>
      <c r="AH215" s="44"/>
      <c r="AI215" s="44"/>
      <c r="AJ215" s="44"/>
      <c r="AK215" s="44"/>
      <c r="AL215" s="44"/>
      <c r="AM215" s="44"/>
      <c r="AN215" s="44"/>
      <c r="AO215" s="44"/>
      <c r="AP215" s="44"/>
      <c r="AR215" s="115"/>
    </row>
    <row r="216" spans="1:44" hidden="1" x14ac:dyDescent="0.25">
      <c r="A216" s="149" t="s">
        <v>126</v>
      </c>
      <c r="B216" s="149"/>
      <c r="C216" s="204">
        <f>C285+C319+C250</f>
        <v>1035367</v>
      </c>
      <c r="D216" s="173">
        <v>1.02</v>
      </c>
      <c r="E216" s="208"/>
      <c r="F216" s="111">
        <f>F285+F319+F250</f>
        <v>1056074</v>
      </c>
      <c r="G216" s="173">
        <f>$G$175</f>
        <v>1.04</v>
      </c>
      <c r="H216" s="208"/>
      <c r="I216" s="111">
        <f>I285+I319+I250</f>
        <v>1076781</v>
      </c>
      <c r="J216" s="111"/>
      <c r="K216" s="173">
        <f>$K$175</f>
        <v>1.02</v>
      </c>
      <c r="L216" s="208"/>
      <c r="M216" s="111">
        <f>M285+M319+M250</f>
        <v>1056074</v>
      </c>
      <c r="N216" s="111"/>
      <c r="O216" s="173" t="str">
        <f>$O$175</f>
        <v xml:space="preserve"> </v>
      </c>
      <c r="P216" s="208"/>
      <c r="Q216" s="111">
        <f>Q285+Q319+Q250</f>
        <v>0</v>
      </c>
      <c r="R216" s="111"/>
      <c r="S216" s="173" t="str">
        <f>$S$175</f>
        <v xml:space="preserve"> </v>
      </c>
      <c r="T216" s="208"/>
      <c r="U216" s="111">
        <f>U285+U319+U250</f>
        <v>0</v>
      </c>
      <c r="V216" s="44"/>
      <c r="W216" s="91"/>
      <c r="X216" s="91"/>
      <c r="Y216" s="91"/>
      <c r="Z216" s="44"/>
      <c r="AA216" s="44"/>
      <c r="AB216" s="44"/>
      <c r="AC216" s="44"/>
      <c r="AD216" s="44"/>
      <c r="AE216" s="44"/>
      <c r="AF216" s="44"/>
      <c r="AG216" s="44"/>
      <c r="AH216" s="44"/>
      <c r="AI216" s="44"/>
      <c r="AJ216" s="44"/>
      <c r="AK216" s="44"/>
      <c r="AL216" s="44"/>
      <c r="AM216" s="44"/>
      <c r="AN216" s="44"/>
      <c r="AO216" s="44"/>
      <c r="AP216" s="44"/>
      <c r="AR216" s="115"/>
    </row>
    <row r="217" spans="1:44" hidden="1" x14ac:dyDescent="0.25">
      <c r="A217" s="149" t="s">
        <v>128</v>
      </c>
      <c r="B217" s="149"/>
      <c r="C217" s="204">
        <f>SUM(C214:C215)</f>
        <v>226124.03333332003</v>
      </c>
      <c r="D217" s="173"/>
      <c r="E217" s="206"/>
      <c r="F217" s="111"/>
      <c r="G217" s="173"/>
      <c r="H217" s="206"/>
      <c r="I217" s="111"/>
      <c r="J217" s="111"/>
      <c r="K217" s="173"/>
      <c r="L217" s="206"/>
      <c r="M217" s="111"/>
      <c r="N217" s="111"/>
      <c r="O217" s="173"/>
      <c r="P217" s="206"/>
      <c r="Q217" s="111"/>
      <c r="R217" s="111"/>
      <c r="S217" s="173"/>
      <c r="T217" s="206"/>
      <c r="U217" s="111"/>
      <c r="V217" s="44"/>
      <c r="W217" s="91"/>
      <c r="X217" s="91"/>
      <c r="Y217" s="91"/>
      <c r="Z217" s="44"/>
      <c r="AA217" s="44"/>
      <c r="AB217" s="44"/>
      <c r="AC217" s="44"/>
      <c r="AD217" s="44"/>
      <c r="AE217" s="44"/>
      <c r="AF217" s="44"/>
      <c r="AG217" s="44"/>
      <c r="AH217" s="44"/>
      <c r="AI217" s="44"/>
      <c r="AJ217" s="44"/>
      <c r="AK217" s="44"/>
      <c r="AL217" s="44"/>
      <c r="AM217" s="44"/>
      <c r="AN217" s="44"/>
      <c r="AO217" s="44"/>
      <c r="AP217" s="44"/>
      <c r="AR217" s="115"/>
    </row>
    <row r="218" spans="1:44" hidden="1" x14ac:dyDescent="0.25">
      <c r="A218" s="149" t="s">
        <v>129</v>
      </c>
      <c r="B218" s="149"/>
      <c r="C218" s="204">
        <f>C287+C321+C252</f>
        <v>835989</v>
      </c>
      <c r="D218" s="226">
        <v>3.7</v>
      </c>
      <c r="E218" s="206"/>
      <c r="F218" s="111">
        <f>F287+F321+F252</f>
        <v>3093159</v>
      </c>
      <c r="G218" s="226">
        <f>$G$178</f>
        <v>3.8</v>
      </c>
      <c r="H218" s="206"/>
      <c r="I218" s="111">
        <f>I287+I321+I252</f>
        <v>3176757</v>
      </c>
      <c r="J218" s="111"/>
      <c r="K218" s="226" t="e">
        <f>$K$178</f>
        <v>#REF!</v>
      </c>
      <c r="L218" s="206"/>
      <c r="M218" s="111" t="e">
        <f>M287+M321+M252</f>
        <v>#REF!</v>
      </c>
      <c r="N218" s="111"/>
      <c r="O218" s="226" t="e">
        <f>$O$178</f>
        <v>#DIV/0!</v>
      </c>
      <c r="P218" s="206"/>
      <c r="Q218" s="111" t="e">
        <f>Q287+Q321+Q252</f>
        <v>#DIV/0!</v>
      </c>
      <c r="R218" s="111"/>
      <c r="S218" s="226" t="e">
        <f>$S$178</f>
        <v>#DIV/0!</v>
      </c>
      <c r="T218" s="206"/>
      <c r="U218" s="111" t="e">
        <f>U287+U321+U252</f>
        <v>#DIV/0!</v>
      </c>
      <c r="V218" s="44"/>
      <c r="W218" s="91"/>
      <c r="X218" s="91"/>
      <c r="Y218" s="91"/>
      <c r="Z218" s="44"/>
      <c r="AA218" s="44"/>
      <c r="AB218" s="44"/>
      <c r="AC218" s="44"/>
      <c r="AD218" s="44"/>
      <c r="AE218" s="44"/>
      <c r="AF218" s="44"/>
      <c r="AG218" s="44"/>
      <c r="AH218" s="44"/>
      <c r="AI218" s="44"/>
      <c r="AJ218" s="44"/>
      <c r="AK218" s="44"/>
      <c r="AL218" s="44"/>
      <c r="AM218" s="44"/>
      <c r="AN218" s="44"/>
      <c r="AO218" s="44"/>
      <c r="AP218" s="44"/>
      <c r="AR218" s="115"/>
    </row>
    <row r="219" spans="1:44" hidden="1" x14ac:dyDescent="0.25">
      <c r="A219" s="149" t="s">
        <v>130</v>
      </c>
      <c r="B219" s="149"/>
      <c r="C219" s="204">
        <f>C288+C322+C253</f>
        <v>129554839.11787954</v>
      </c>
      <c r="D219" s="175">
        <v>10.628</v>
      </c>
      <c r="E219" s="206" t="s">
        <v>89</v>
      </c>
      <c r="F219" s="111">
        <f>F288+F322+F253</f>
        <v>13769088</v>
      </c>
      <c r="G219" s="175">
        <f>$G$179</f>
        <v>10.878</v>
      </c>
      <c r="H219" s="206" t="s">
        <v>89</v>
      </c>
      <c r="I219" s="111">
        <f>I288+I322+I253</f>
        <v>14092976</v>
      </c>
      <c r="J219" s="111"/>
      <c r="K219" s="175" t="e">
        <f>$K$179</f>
        <v>#REF!</v>
      </c>
      <c r="L219" s="206" t="s">
        <v>89</v>
      </c>
      <c r="M219" s="111" t="e">
        <f>M288+M322+M253</f>
        <v>#REF!</v>
      </c>
      <c r="N219" s="111"/>
      <c r="O219" s="175" t="e">
        <f>$O$179</f>
        <v>#DIV/0!</v>
      </c>
      <c r="P219" s="206" t="s">
        <v>89</v>
      </c>
      <c r="Q219" s="111" t="e">
        <f>Q288+Q322+Q253</f>
        <v>#DIV/0!</v>
      </c>
      <c r="R219" s="111"/>
      <c r="S219" s="175" t="e">
        <f>$S$179</f>
        <v>#DIV/0!</v>
      </c>
      <c r="T219" s="206" t="s">
        <v>89</v>
      </c>
      <c r="U219" s="111" t="e">
        <f>U288+U322+U253</f>
        <v>#DIV/0!</v>
      </c>
      <c r="V219" s="44"/>
      <c r="W219" s="91"/>
      <c r="X219" s="91"/>
      <c r="Y219" s="91"/>
      <c r="Z219" s="44"/>
      <c r="AA219" s="44"/>
      <c r="AB219" s="44"/>
      <c r="AC219" s="44"/>
      <c r="AD219" s="44"/>
      <c r="AE219" s="44"/>
      <c r="AF219" s="44"/>
      <c r="AG219" s="44"/>
      <c r="AH219" s="44"/>
      <c r="AI219" s="44"/>
      <c r="AJ219" s="44"/>
      <c r="AK219" s="44"/>
      <c r="AL219" s="44"/>
      <c r="AM219" s="44"/>
      <c r="AN219" s="44"/>
      <c r="AO219" s="44"/>
      <c r="AP219" s="44"/>
      <c r="AR219" s="115"/>
    </row>
    <row r="220" spans="1:44" hidden="1" x14ac:dyDescent="0.25">
      <c r="A220" s="149" t="s">
        <v>131</v>
      </c>
      <c r="B220" s="149"/>
      <c r="C220" s="204">
        <f>C289+C323+C254</f>
        <v>281305509.69846565</v>
      </c>
      <c r="D220" s="175">
        <v>7.3410000000000002</v>
      </c>
      <c r="E220" s="206" t="s">
        <v>89</v>
      </c>
      <c r="F220" s="111">
        <f>F289+F323+F254</f>
        <v>20650637</v>
      </c>
      <c r="G220" s="175">
        <f>$G$180</f>
        <v>7.5140000000000002</v>
      </c>
      <c r="H220" s="206" t="s">
        <v>89</v>
      </c>
      <c r="I220" s="111">
        <f>I289+I323+I254</f>
        <v>21137296</v>
      </c>
      <c r="J220" s="111"/>
      <c r="K220" s="175" t="e">
        <f>$K$180</f>
        <v>#REF!</v>
      </c>
      <c r="L220" s="206" t="s">
        <v>89</v>
      </c>
      <c r="M220" s="111" t="e">
        <f>M289+M323+M254</f>
        <v>#REF!</v>
      </c>
      <c r="N220" s="111"/>
      <c r="O220" s="175" t="e">
        <f>$O$180</f>
        <v>#DIV/0!</v>
      </c>
      <c r="P220" s="206" t="s">
        <v>89</v>
      </c>
      <c r="Q220" s="111" t="e">
        <f>Q289+Q323+Q254</f>
        <v>#DIV/0!</v>
      </c>
      <c r="R220" s="111"/>
      <c r="S220" s="175" t="e">
        <f>$S$180</f>
        <v>#DIV/0!</v>
      </c>
      <c r="T220" s="206" t="s">
        <v>89</v>
      </c>
      <c r="U220" s="111" t="e">
        <f>U289+U323+U254</f>
        <v>#DIV/0!</v>
      </c>
      <c r="V220" s="44"/>
      <c r="W220" s="91"/>
      <c r="X220" s="91"/>
      <c r="Y220" s="91"/>
      <c r="Z220" s="44"/>
      <c r="AA220" s="44"/>
      <c r="AB220" s="44"/>
      <c r="AC220" s="44"/>
      <c r="AD220" s="44"/>
      <c r="AE220" s="44"/>
      <c r="AF220" s="44"/>
      <c r="AG220" s="44"/>
      <c r="AH220" s="44"/>
      <c r="AI220" s="44"/>
      <c r="AJ220" s="44"/>
      <c r="AK220" s="44"/>
      <c r="AL220" s="44"/>
      <c r="AM220" s="44"/>
      <c r="AN220" s="44"/>
      <c r="AO220" s="44"/>
      <c r="AP220" s="44"/>
      <c r="AR220" s="115"/>
    </row>
    <row r="221" spans="1:44" hidden="1" x14ac:dyDescent="0.25">
      <c r="A221" s="149" t="s">
        <v>132</v>
      </c>
      <c r="B221" s="149"/>
      <c r="C221" s="204">
        <f>C290+C324+C255</f>
        <v>119991272.36558694</v>
      </c>
      <c r="D221" s="175">
        <v>6.3240000000000007</v>
      </c>
      <c r="E221" s="206" t="s">
        <v>89</v>
      </c>
      <c r="F221" s="111">
        <f>F290+F324+F255</f>
        <v>7588248</v>
      </c>
      <c r="G221" s="175">
        <f>$G$181</f>
        <v>6.4720000000000004</v>
      </c>
      <c r="H221" s="206" t="s">
        <v>89</v>
      </c>
      <c r="I221" s="111">
        <f>I290+I324+I255</f>
        <v>7765836</v>
      </c>
      <c r="J221" s="111"/>
      <c r="K221" s="175" t="e">
        <f>$K$181</f>
        <v>#REF!</v>
      </c>
      <c r="L221" s="206" t="s">
        <v>89</v>
      </c>
      <c r="M221" s="111" t="e">
        <f>M290+M324+M255</f>
        <v>#REF!</v>
      </c>
      <c r="N221" s="111"/>
      <c r="O221" s="175" t="e">
        <f>$O$181</f>
        <v>#DIV/0!</v>
      </c>
      <c r="P221" s="206" t="s">
        <v>89</v>
      </c>
      <c r="Q221" s="111" t="e">
        <f>Q290+Q324+Q255</f>
        <v>#DIV/0!</v>
      </c>
      <c r="R221" s="111"/>
      <c r="S221" s="175" t="e">
        <f>$S$181</f>
        <v>#DIV/0!</v>
      </c>
      <c r="T221" s="206" t="s">
        <v>89</v>
      </c>
      <c r="U221" s="111" t="e">
        <f>U290+U324+U255</f>
        <v>#DIV/0!</v>
      </c>
      <c r="V221" s="44"/>
      <c r="W221" s="91"/>
      <c r="X221" s="91"/>
      <c r="Y221" s="91"/>
      <c r="Z221" s="44"/>
      <c r="AA221" s="44"/>
      <c r="AB221" s="44"/>
      <c r="AC221" s="44"/>
      <c r="AD221" s="44"/>
      <c r="AE221" s="44"/>
      <c r="AF221" s="44"/>
      <c r="AG221" s="44"/>
      <c r="AH221" s="44"/>
      <c r="AI221" s="44"/>
      <c r="AJ221" s="44"/>
      <c r="AK221" s="44"/>
      <c r="AL221" s="44"/>
      <c r="AM221" s="44"/>
      <c r="AN221" s="44"/>
      <c r="AO221" s="44"/>
      <c r="AP221" s="44"/>
      <c r="AR221" s="115"/>
    </row>
    <row r="222" spans="1:44" hidden="1" x14ac:dyDescent="0.25">
      <c r="A222" s="149" t="s">
        <v>133</v>
      </c>
      <c r="B222" s="149"/>
      <c r="C222" s="204">
        <f>C291+C325+C256</f>
        <v>120876.56666666651</v>
      </c>
      <c r="D222" s="212">
        <v>57</v>
      </c>
      <c r="E222" s="206" t="s">
        <v>89</v>
      </c>
      <c r="F222" s="111">
        <f>F291+F325+F256</f>
        <v>68900</v>
      </c>
      <c r="G222" s="212">
        <f>$G$182</f>
        <v>58</v>
      </c>
      <c r="H222" s="206" t="s">
        <v>89</v>
      </c>
      <c r="I222" s="111">
        <f>I291+I325+I256</f>
        <v>70109</v>
      </c>
      <c r="J222" s="111"/>
      <c r="K222" s="212" t="str">
        <f>$K$182</f>
        <v xml:space="preserve"> </v>
      </c>
      <c r="L222" s="206" t="s">
        <v>89</v>
      </c>
      <c r="M222" s="111">
        <f>M291+M325+M256</f>
        <v>0</v>
      </c>
      <c r="N222" s="111"/>
      <c r="O222" s="212" t="e">
        <f>$O$182</f>
        <v>#DIV/0!</v>
      </c>
      <c r="P222" s="206" t="s">
        <v>89</v>
      </c>
      <c r="Q222" s="111" t="e">
        <f>Q291+Q325+Q256</f>
        <v>#DIV/0!</v>
      </c>
      <c r="R222" s="111"/>
      <c r="S222" s="212" t="e">
        <f>$S$182</f>
        <v>#DIV/0!</v>
      </c>
      <c r="T222" s="206" t="s">
        <v>89</v>
      </c>
      <c r="U222" s="111" t="e">
        <f>U291+U325+U256</f>
        <v>#DIV/0!</v>
      </c>
      <c r="V222" s="44"/>
      <c r="W222" s="91"/>
      <c r="X222" s="91"/>
      <c r="Y222" s="91"/>
      <c r="Z222" s="44"/>
      <c r="AA222" s="44"/>
      <c r="AB222" s="44"/>
      <c r="AC222" s="44"/>
      <c r="AD222" s="44"/>
      <c r="AE222" s="44"/>
      <c r="AF222" s="44"/>
      <c r="AG222" s="44"/>
      <c r="AH222" s="44"/>
      <c r="AI222" s="44"/>
      <c r="AJ222" s="44"/>
      <c r="AK222" s="44"/>
      <c r="AL222" s="44"/>
      <c r="AM222" s="44"/>
      <c r="AN222" s="44"/>
      <c r="AO222" s="44"/>
      <c r="AP222" s="44"/>
      <c r="AR222" s="115"/>
    </row>
    <row r="223" spans="1:44" s="120" customFormat="1" hidden="1" x14ac:dyDescent="0.25">
      <c r="A223" s="119" t="s">
        <v>134</v>
      </c>
      <c r="C223" s="214">
        <f>C219</f>
        <v>129554839.11787954</v>
      </c>
      <c r="D223" s="128">
        <v>0</v>
      </c>
      <c r="E223" s="122"/>
      <c r="F223" s="123"/>
      <c r="G223" s="124">
        <f>G183</f>
        <v>0</v>
      </c>
      <c r="H223" s="215" t="s">
        <v>89</v>
      </c>
      <c r="I223" s="123">
        <f>I257+I292+I326</f>
        <v>0</v>
      </c>
      <c r="J223" s="123"/>
      <c r="K223" s="124" t="str">
        <f>K183</f>
        <v xml:space="preserve"> </v>
      </c>
      <c r="L223" s="215" t="s">
        <v>89</v>
      </c>
      <c r="M223" s="123">
        <f>M257+M292+M326</f>
        <v>0</v>
      </c>
      <c r="N223" s="123"/>
      <c r="O223" s="124" t="str">
        <f>O183</f>
        <v xml:space="preserve"> </v>
      </c>
      <c r="P223" s="215" t="s">
        <v>89</v>
      </c>
      <c r="Q223" s="123">
        <f>Q257+Q292+Q326</f>
        <v>0</v>
      </c>
      <c r="R223" s="123"/>
      <c r="S223" s="124">
        <f>S183</f>
        <v>0</v>
      </c>
      <c r="T223" s="215" t="s">
        <v>89</v>
      </c>
      <c r="U223" s="123">
        <f>U257+U292+U326</f>
        <v>0</v>
      </c>
      <c r="W223" s="112"/>
      <c r="Z223" s="127"/>
      <c r="AA223" s="127"/>
      <c r="AF223" s="122"/>
      <c r="AG223" s="122"/>
      <c r="AH223" s="122"/>
      <c r="AI223" s="122"/>
      <c r="AJ223" s="122"/>
      <c r="AK223" s="122"/>
      <c r="AL223" s="122"/>
      <c r="AM223" s="122"/>
      <c r="AN223" s="122"/>
      <c r="AO223" s="122"/>
      <c r="AP223" s="122"/>
      <c r="AR223" s="126"/>
    </row>
    <row r="224" spans="1:44" s="120" customFormat="1" hidden="1" x14ac:dyDescent="0.25">
      <c r="A224" s="119" t="s">
        <v>135</v>
      </c>
      <c r="C224" s="214">
        <f t="shared" ref="C224:C225" si="31">C220</f>
        <v>281305509.69846565</v>
      </c>
      <c r="D224" s="128">
        <v>0</v>
      </c>
      <c r="E224" s="122"/>
      <c r="F224" s="123"/>
      <c r="G224" s="124">
        <f>G184</f>
        <v>0</v>
      </c>
      <c r="H224" s="215" t="s">
        <v>89</v>
      </c>
      <c r="I224" s="123">
        <f t="shared" ref="I224:I225" si="32">I258+I293+I327</f>
        <v>0</v>
      </c>
      <c r="J224" s="123"/>
      <c r="K224" s="124" t="str">
        <f>K184</f>
        <v xml:space="preserve"> </v>
      </c>
      <c r="L224" s="215" t="s">
        <v>89</v>
      </c>
      <c r="M224" s="123">
        <f t="shared" ref="M224:M225" si="33">M258+M293+M327</f>
        <v>0</v>
      </c>
      <c r="N224" s="123"/>
      <c r="O224" s="124" t="str">
        <f>O184</f>
        <v xml:space="preserve"> </v>
      </c>
      <c r="P224" s="215" t="s">
        <v>89</v>
      </c>
      <c r="Q224" s="123">
        <f t="shared" ref="Q224:Q225" si="34">Q258+Q293+Q327</f>
        <v>0</v>
      </c>
      <c r="R224" s="123"/>
      <c r="S224" s="124">
        <f>S184</f>
        <v>0</v>
      </c>
      <c r="T224" s="215" t="s">
        <v>89</v>
      </c>
      <c r="U224" s="123">
        <f t="shared" ref="U224:U225" si="35">U258+U293+U327</f>
        <v>0</v>
      </c>
      <c r="W224" s="112"/>
      <c r="Z224" s="127"/>
      <c r="AA224" s="127"/>
      <c r="AF224" s="122"/>
      <c r="AG224" s="122"/>
      <c r="AH224" s="122"/>
      <c r="AI224" s="122"/>
      <c r="AJ224" s="122"/>
      <c r="AK224" s="122"/>
      <c r="AL224" s="122"/>
      <c r="AM224" s="122"/>
      <c r="AN224" s="122"/>
      <c r="AO224" s="122"/>
      <c r="AP224" s="122"/>
      <c r="AR224" s="126"/>
    </row>
    <row r="225" spans="1:44" s="120" customFormat="1" hidden="1" x14ac:dyDescent="0.25">
      <c r="A225" s="119" t="s">
        <v>136</v>
      </c>
      <c r="C225" s="214">
        <f t="shared" si="31"/>
        <v>119991272.36558694</v>
      </c>
      <c r="D225" s="128">
        <v>0</v>
      </c>
      <c r="E225" s="122"/>
      <c r="F225" s="123"/>
      <c r="G225" s="124">
        <f>G185</f>
        <v>0</v>
      </c>
      <c r="H225" s="215" t="s">
        <v>89</v>
      </c>
      <c r="I225" s="123">
        <f t="shared" si="32"/>
        <v>0</v>
      </c>
      <c r="J225" s="123"/>
      <c r="K225" s="124" t="str">
        <f>K185</f>
        <v xml:space="preserve"> </v>
      </c>
      <c r="L225" s="215" t="s">
        <v>89</v>
      </c>
      <c r="M225" s="123">
        <f t="shared" si="33"/>
        <v>0</v>
      </c>
      <c r="N225" s="123"/>
      <c r="O225" s="124" t="str">
        <f>O185</f>
        <v xml:space="preserve"> </v>
      </c>
      <c r="P225" s="215" t="s">
        <v>89</v>
      </c>
      <c r="Q225" s="123">
        <f t="shared" si="34"/>
        <v>0</v>
      </c>
      <c r="R225" s="123"/>
      <c r="S225" s="124">
        <f>S185</f>
        <v>0</v>
      </c>
      <c r="T225" s="215" t="s">
        <v>89</v>
      </c>
      <c r="U225" s="123">
        <f t="shared" si="35"/>
        <v>0</v>
      </c>
      <c r="W225" s="112" t="s">
        <v>0</v>
      </c>
      <c r="Z225" s="127"/>
      <c r="AA225" s="127"/>
      <c r="AF225" s="122"/>
      <c r="AG225" s="122"/>
      <c r="AH225" s="122"/>
      <c r="AI225" s="122"/>
      <c r="AJ225" s="122"/>
      <c r="AK225" s="122"/>
      <c r="AL225" s="122"/>
      <c r="AM225" s="122"/>
      <c r="AN225" s="122"/>
      <c r="AO225" s="122"/>
      <c r="AP225" s="122"/>
      <c r="AR225" s="126"/>
    </row>
    <row r="226" spans="1:44" hidden="1" x14ac:dyDescent="0.25">
      <c r="A226" s="219" t="s">
        <v>140</v>
      </c>
      <c r="B226" s="149"/>
      <c r="C226" s="204"/>
      <c r="D226" s="220">
        <v>-0.01</v>
      </c>
      <c r="E226" s="206"/>
      <c r="F226" s="111"/>
      <c r="G226" s="220">
        <v>-0.01</v>
      </c>
      <c r="H226" s="206"/>
      <c r="I226" s="111"/>
      <c r="J226" s="111"/>
      <c r="K226" s="220">
        <v>-0.01</v>
      </c>
      <c r="L226" s="206"/>
      <c r="M226" s="111"/>
      <c r="N226" s="111"/>
      <c r="O226" s="220">
        <v>-0.01</v>
      </c>
      <c r="P226" s="206"/>
      <c r="Q226" s="111"/>
      <c r="R226" s="111"/>
      <c r="S226" s="220">
        <v>-0.01</v>
      </c>
      <c r="T226" s="206"/>
      <c r="U226" s="111"/>
      <c r="V226" s="44"/>
      <c r="W226" s="243" t="s">
        <v>0</v>
      </c>
      <c r="X226" s="91"/>
      <c r="Y226" s="91"/>
      <c r="Z226" s="44"/>
      <c r="AA226" s="44"/>
      <c r="AB226" s="44"/>
      <c r="AC226" s="44"/>
      <c r="AD226" s="44"/>
      <c r="AE226" s="44"/>
      <c r="AF226" s="44"/>
      <c r="AG226" s="44"/>
      <c r="AH226" s="44"/>
      <c r="AI226" s="44"/>
      <c r="AJ226" s="44"/>
      <c r="AK226" s="44"/>
      <c r="AL226" s="44"/>
      <c r="AM226" s="44"/>
      <c r="AN226" s="44"/>
      <c r="AO226" s="44"/>
      <c r="AP226" s="44"/>
      <c r="AR226" s="115"/>
    </row>
    <row r="227" spans="1:44" hidden="1" x14ac:dyDescent="0.25">
      <c r="A227" s="149" t="s">
        <v>124</v>
      </c>
      <c r="B227" s="149"/>
      <c r="C227" s="204">
        <f t="shared" ref="C227:C236" si="36">C296+C330+C261</f>
        <v>74.633333333333297</v>
      </c>
      <c r="D227" s="222">
        <v>9.76</v>
      </c>
      <c r="E227" s="223"/>
      <c r="F227" s="111">
        <f t="shared" ref="F227:F236" si="37">F296+F330+F261</f>
        <v>-7</v>
      </c>
      <c r="G227" s="222">
        <f>G214</f>
        <v>9.99</v>
      </c>
      <c r="H227" s="223"/>
      <c r="I227" s="111">
        <f t="shared" ref="I227:I236" si="38">I296+I330+I261</f>
        <v>-7</v>
      </c>
      <c r="J227" s="111"/>
      <c r="K227" s="222">
        <f>K214</f>
        <v>9.76</v>
      </c>
      <c r="L227" s="223"/>
      <c r="M227" s="111">
        <f t="shared" ref="M227:M236" si="39">M296+M330+M261</f>
        <v>-7</v>
      </c>
      <c r="N227" s="111"/>
      <c r="O227" s="222" t="str">
        <f>O214</f>
        <v xml:space="preserve"> </v>
      </c>
      <c r="P227" s="223"/>
      <c r="Q227" s="111">
        <f t="shared" ref="Q227:Q236" si="40">Q296+Q330+Q261</f>
        <v>0</v>
      </c>
      <c r="R227" s="111"/>
      <c r="S227" s="222" t="str">
        <f>S214</f>
        <v xml:space="preserve"> </v>
      </c>
      <c r="T227" s="223"/>
      <c r="U227" s="111">
        <f t="shared" ref="U227:U236" si="41">U296+U330+U261</f>
        <v>0</v>
      </c>
      <c r="V227" s="44"/>
      <c r="W227" s="91"/>
      <c r="X227" s="91"/>
      <c r="Y227" s="91"/>
      <c r="Z227" s="44"/>
      <c r="AA227" s="44"/>
      <c r="AB227" s="44"/>
      <c r="AC227" s="44"/>
      <c r="AD227" s="44"/>
      <c r="AE227" s="44"/>
      <c r="AF227" s="44"/>
      <c r="AG227" s="44"/>
      <c r="AH227" s="44"/>
      <c r="AI227" s="44"/>
      <c r="AJ227" s="44"/>
      <c r="AK227" s="44"/>
      <c r="AL227" s="44"/>
      <c r="AM227" s="44"/>
      <c r="AN227" s="44"/>
      <c r="AO227" s="44"/>
      <c r="AP227" s="44"/>
      <c r="AR227" s="115"/>
    </row>
    <row r="228" spans="1:44" hidden="1" x14ac:dyDescent="0.25">
      <c r="A228" s="149" t="s">
        <v>125</v>
      </c>
      <c r="B228" s="149"/>
      <c r="C228" s="204">
        <f t="shared" si="36"/>
        <v>88.799999999999983</v>
      </c>
      <c r="D228" s="222">
        <v>14.54</v>
      </c>
      <c r="E228" s="223"/>
      <c r="F228" s="111">
        <f t="shared" si="37"/>
        <v>-12</v>
      </c>
      <c r="G228" s="222">
        <f>G215</f>
        <v>14.89</v>
      </c>
      <c r="H228" s="223"/>
      <c r="I228" s="111">
        <f t="shared" si="38"/>
        <v>-13</v>
      </c>
      <c r="J228" s="111"/>
      <c r="K228" s="222">
        <f>K215</f>
        <v>14.54</v>
      </c>
      <c r="L228" s="223"/>
      <c r="M228" s="111">
        <f t="shared" si="39"/>
        <v>-12</v>
      </c>
      <c r="N228" s="111"/>
      <c r="O228" s="222" t="str">
        <f>O215</f>
        <v xml:space="preserve"> </v>
      </c>
      <c r="P228" s="223"/>
      <c r="Q228" s="111">
        <f t="shared" si="40"/>
        <v>0</v>
      </c>
      <c r="R228" s="111"/>
      <c r="S228" s="222" t="str">
        <f>S215</f>
        <v xml:space="preserve"> </v>
      </c>
      <c r="T228" s="223"/>
      <c r="U228" s="111">
        <f t="shared" si="41"/>
        <v>0</v>
      </c>
      <c r="V228" s="44"/>
      <c r="W228" s="91"/>
      <c r="X228" s="91"/>
      <c r="Y228" s="91"/>
      <c r="Z228" s="44"/>
      <c r="AA228" s="44"/>
      <c r="AB228" s="44"/>
      <c r="AC228" s="44"/>
      <c r="AD228" s="44"/>
      <c r="AE228" s="44"/>
      <c r="AF228" s="44"/>
      <c r="AG228" s="44"/>
      <c r="AH228" s="44"/>
      <c r="AI228" s="44"/>
      <c r="AJ228" s="44"/>
      <c r="AK228" s="44"/>
      <c r="AL228" s="44"/>
      <c r="AM228" s="44"/>
      <c r="AN228" s="44"/>
      <c r="AO228" s="44"/>
      <c r="AP228" s="44"/>
      <c r="AR228" s="115"/>
    </row>
    <row r="229" spans="1:44" hidden="1" x14ac:dyDescent="0.25">
      <c r="A229" s="149" t="s">
        <v>141</v>
      </c>
      <c r="B229" s="149"/>
      <c r="C229" s="204">
        <f t="shared" si="36"/>
        <v>2161</v>
      </c>
      <c r="D229" s="222">
        <v>1.02</v>
      </c>
      <c r="E229" s="223"/>
      <c r="F229" s="111">
        <f t="shared" si="37"/>
        <v>-23</v>
      </c>
      <c r="G229" s="222">
        <f>G216</f>
        <v>1.04</v>
      </c>
      <c r="H229" s="223"/>
      <c r="I229" s="111">
        <f t="shared" si="38"/>
        <v>-23</v>
      </c>
      <c r="J229" s="111"/>
      <c r="K229" s="222">
        <f>K216</f>
        <v>1.02</v>
      </c>
      <c r="L229" s="223"/>
      <c r="M229" s="111">
        <f t="shared" si="39"/>
        <v>-23</v>
      </c>
      <c r="N229" s="111"/>
      <c r="O229" s="222" t="str">
        <f>O216</f>
        <v xml:space="preserve"> </v>
      </c>
      <c r="P229" s="223"/>
      <c r="Q229" s="111">
        <f t="shared" si="40"/>
        <v>0</v>
      </c>
      <c r="R229" s="111"/>
      <c r="S229" s="222" t="str">
        <f>S216</f>
        <v xml:space="preserve"> </v>
      </c>
      <c r="T229" s="223"/>
      <c r="U229" s="111">
        <f t="shared" si="41"/>
        <v>0</v>
      </c>
      <c r="V229" s="44"/>
      <c r="W229" s="91"/>
      <c r="X229" s="91"/>
      <c r="Y229" s="91"/>
      <c r="Z229" s="44"/>
      <c r="AA229" s="44"/>
      <c r="AB229" s="44"/>
      <c r="AC229" s="44"/>
      <c r="AD229" s="44"/>
      <c r="AE229" s="44"/>
      <c r="AF229" s="44"/>
      <c r="AG229" s="44"/>
      <c r="AH229" s="44"/>
      <c r="AI229" s="44"/>
      <c r="AJ229" s="44"/>
      <c r="AK229" s="44"/>
      <c r="AL229" s="44"/>
      <c r="AM229" s="44"/>
      <c r="AN229" s="44"/>
      <c r="AO229" s="44"/>
      <c r="AP229" s="44"/>
      <c r="AR229" s="115"/>
    </row>
    <row r="230" spans="1:44" hidden="1" x14ac:dyDescent="0.25">
      <c r="A230" s="149" t="s">
        <v>142</v>
      </c>
      <c r="B230" s="149"/>
      <c r="C230" s="204">
        <f t="shared" si="36"/>
        <v>1487</v>
      </c>
      <c r="D230" s="222">
        <v>3.7</v>
      </c>
      <c r="E230" s="206"/>
      <c r="F230" s="111">
        <f t="shared" si="37"/>
        <v>-55</v>
      </c>
      <c r="G230" s="222">
        <f>G218</f>
        <v>3.8</v>
      </c>
      <c r="H230" s="206"/>
      <c r="I230" s="111">
        <f t="shared" si="38"/>
        <v>-56</v>
      </c>
      <c r="J230" s="111"/>
      <c r="K230" s="222" t="e">
        <f>K218</f>
        <v>#REF!</v>
      </c>
      <c r="L230" s="206"/>
      <c r="M230" s="111" t="e">
        <f t="shared" si="39"/>
        <v>#REF!</v>
      </c>
      <c r="N230" s="111"/>
      <c r="O230" s="222" t="e">
        <f>O218</f>
        <v>#DIV/0!</v>
      </c>
      <c r="P230" s="206"/>
      <c r="Q230" s="111" t="e">
        <f t="shared" si="40"/>
        <v>#DIV/0!</v>
      </c>
      <c r="R230" s="111"/>
      <c r="S230" s="222" t="e">
        <f>S218</f>
        <v>#DIV/0!</v>
      </c>
      <c r="T230" s="206"/>
      <c r="U230" s="111" t="e">
        <f t="shared" si="41"/>
        <v>#DIV/0!</v>
      </c>
      <c r="V230" s="44"/>
      <c r="W230" s="91"/>
      <c r="X230" s="91"/>
      <c r="Y230" s="91"/>
      <c r="Z230" s="44"/>
      <c r="AA230" s="44"/>
      <c r="AB230" s="44"/>
      <c r="AC230" s="44"/>
      <c r="AD230" s="44"/>
      <c r="AE230" s="44"/>
      <c r="AF230" s="44"/>
      <c r="AG230" s="44"/>
      <c r="AH230" s="44"/>
      <c r="AI230" s="44"/>
      <c r="AJ230" s="44"/>
      <c r="AK230" s="44"/>
      <c r="AL230" s="44"/>
      <c r="AM230" s="44"/>
      <c r="AN230" s="44"/>
      <c r="AO230" s="44"/>
      <c r="AP230" s="44"/>
      <c r="AR230" s="115"/>
    </row>
    <row r="231" spans="1:44" hidden="1" x14ac:dyDescent="0.25">
      <c r="A231" s="149" t="s">
        <v>143</v>
      </c>
      <c r="B231" s="149"/>
      <c r="C231" s="204">
        <f t="shared" si="36"/>
        <v>116452.33333333327</v>
      </c>
      <c r="D231" s="224">
        <v>10.628</v>
      </c>
      <c r="E231" s="206" t="s">
        <v>89</v>
      </c>
      <c r="F231" s="111">
        <f t="shared" si="37"/>
        <v>-123</v>
      </c>
      <c r="G231" s="224">
        <f>G219</f>
        <v>10.878</v>
      </c>
      <c r="H231" s="206" t="s">
        <v>89</v>
      </c>
      <c r="I231" s="111">
        <f t="shared" si="38"/>
        <v>-127</v>
      </c>
      <c r="J231" s="111"/>
      <c r="K231" s="224" t="e">
        <f>K219</f>
        <v>#REF!</v>
      </c>
      <c r="L231" s="206" t="s">
        <v>89</v>
      </c>
      <c r="M231" s="111" t="e">
        <f t="shared" si="39"/>
        <v>#REF!</v>
      </c>
      <c r="N231" s="111"/>
      <c r="O231" s="224" t="e">
        <f>O219</f>
        <v>#DIV/0!</v>
      </c>
      <c r="P231" s="206" t="s">
        <v>89</v>
      </c>
      <c r="Q231" s="111" t="e">
        <f t="shared" si="40"/>
        <v>#DIV/0!</v>
      </c>
      <c r="R231" s="111"/>
      <c r="S231" s="224" t="e">
        <f>S219</f>
        <v>#DIV/0!</v>
      </c>
      <c r="T231" s="206" t="s">
        <v>89</v>
      </c>
      <c r="U231" s="111" t="e">
        <f t="shared" si="41"/>
        <v>#DIV/0!</v>
      </c>
      <c r="V231" s="44"/>
      <c r="W231" s="91"/>
      <c r="X231" s="91"/>
      <c r="Y231" s="91"/>
      <c r="Z231" s="44"/>
      <c r="AA231" s="44"/>
      <c r="AB231" s="44"/>
      <c r="AC231" s="44"/>
      <c r="AD231" s="44"/>
      <c r="AE231" s="44"/>
      <c r="AF231" s="44"/>
      <c r="AG231" s="44"/>
      <c r="AH231" s="44"/>
      <c r="AI231" s="44"/>
      <c r="AJ231" s="44"/>
      <c r="AK231" s="44"/>
      <c r="AL231" s="44"/>
      <c r="AM231" s="44"/>
      <c r="AN231" s="44"/>
      <c r="AO231" s="44"/>
      <c r="AP231" s="44"/>
      <c r="AR231" s="115"/>
    </row>
    <row r="232" spans="1:44" hidden="1" x14ac:dyDescent="0.25">
      <c r="A232" s="149" t="s">
        <v>131</v>
      </c>
      <c r="B232" s="149"/>
      <c r="C232" s="204">
        <f t="shared" si="36"/>
        <v>524872.66666666698</v>
      </c>
      <c r="D232" s="224">
        <v>7.3410000000000002</v>
      </c>
      <c r="E232" s="206" t="s">
        <v>89</v>
      </c>
      <c r="F232" s="111">
        <f t="shared" si="37"/>
        <v>-385</v>
      </c>
      <c r="G232" s="224">
        <f>G220</f>
        <v>7.5140000000000002</v>
      </c>
      <c r="H232" s="206" t="s">
        <v>89</v>
      </c>
      <c r="I232" s="111">
        <f t="shared" si="38"/>
        <v>-394</v>
      </c>
      <c r="J232" s="111"/>
      <c r="K232" s="224" t="e">
        <f>K220</f>
        <v>#REF!</v>
      </c>
      <c r="L232" s="206" t="s">
        <v>89</v>
      </c>
      <c r="M232" s="111" t="e">
        <f t="shared" si="39"/>
        <v>#REF!</v>
      </c>
      <c r="N232" s="111"/>
      <c r="O232" s="224" t="e">
        <f>O220</f>
        <v>#DIV/0!</v>
      </c>
      <c r="P232" s="206" t="s">
        <v>89</v>
      </c>
      <c r="Q232" s="111" t="e">
        <f t="shared" si="40"/>
        <v>#DIV/0!</v>
      </c>
      <c r="R232" s="111"/>
      <c r="S232" s="224" t="e">
        <f>S220</f>
        <v>#DIV/0!</v>
      </c>
      <c r="T232" s="206" t="s">
        <v>89</v>
      </c>
      <c r="U232" s="111" t="e">
        <f t="shared" si="41"/>
        <v>#DIV/0!</v>
      </c>
      <c r="V232" s="44"/>
      <c r="W232" s="91"/>
      <c r="X232" s="91"/>
      <c r="Y232" s="91"/>
      <c r="Z232" s="44"/>
      <c r="AA232" s="44"/>
      <c r="AB232" s="44"/>
      <c r="AC232" s="44"/>
      <c r="AD232" s="44"/>
      <c r="AE232" s="44"/>
      <c r="AF232" s="44"/>
      <c r="AG232" s="44"/>
      <c r="AH232" s="44"/>
      <c r="AI232" s="44"/>
      <c r="AJ232" s="44"/>
      <c r="AK232" s="44"/>
      <c r="AL232" s="44"/>
      <c r="AM232" s="44"/>
      <c r="AN232" s="44"/>
      <c r="AO232" s="44"/>
      <c r="AP232" s="44"/>
      <c r="AR232" s="115"/>
    </row>
    <row r="233" spans="1:44" hidden="1" x14ac:dyDescent="0.25">
      <c r="A233" s="149" t="s">
        <v>132</v>
      </c>
      <c r="B233" s="149"/>
      <c r="C233" s="204">
        <f t="shared" si="36"/>
        <v>933865</v>
      </c>
      <c r="D233" s="224">
        <v>6.3240000000000007</v>
      </c>
      <c r="E233" s="206" t="s">
        <v>89</v>
      </c>
      <c r="F233" s="111">
        <f t="shared" si="37"/>
        <v>-591</v>
      </c>
      <c r="G233" s="224">
        <f>G221</f>
        <v>6.4720000000000004</v>
      </c>
      <c r="H233" s="206" t="s">
        <v>89</v>
      </c>
      <c r="I233" s="111">
        <f t="shared" si="38"/>
        <v>-604</v>
      </c>
      <c r="J233" s="111"/>
      <c r="K233" s="224" t="e">
        <f>K221</f>
        <v>#REF!</v>
      </c>
      <c r="L233" s="206" t="s">
        <v>89</v>
      </c>
      <c r="M233" s="111" t="e">
        <f t="shared" si="39"/>
        <v>#REF!</v>
      </c>
      <c r="N233" s="111"/>
      <c r="O233" s="224" t="e">
        <f>O221</f>
        <v>#DIV/0!</v>
      </c>
      <c r="P233" s="206" t="s">
        <v>89</v>
      </c>
      <c r="Q233" s="111" t="e">
        <f t="shared" si="40"/>
        <v>#DIV/0!</v>
      </c>
      <c r="R233" s="111"/>
      <c r="S233" s="224" t="e">
        <f>S221</f>
        <v>#DIV/0!</v>
      </c>
      <c r="T233" s="206" t="s">
        <v>89</v>
      </c>
      <c r="U233" s="111" t="e">
        <f t="shared" si="41"/>
        <v>#DIV/0!</v>
      </c>
      <c r="V233" s="44"/>
      <c r="W233" s="91"/>
      <c r="X233" s="91"/>
      <c r="Y233" s="91"/>
      <c r="Z233" s="44"/>
      <c r="AA233" s="44"/>
      <c r="AB233" s="44"/>
      <c r="AC233" s="44"/>
      <c r="AD233" s="44"/>
      <c r="AE233" s="44"/>
      <c r="AF233" s="44"/>
      <c r="AG233" s="44"/>
      <c r="AH233" s="44"/>
      <c r="AI233" s="44"/>
      <c r="AJ233" s="44"/>
      <c r="AK233" s="44"/>
      <c r="AL233" s="44"/>
      <c r="AM233" s="44"/>
      <c r="AN233" s="44"/>
      <c r="AO233" s="44"/>
      <c r="AP233" s="44"/>
      <c r="AR233" s="115"/>
    </row>
    <row r="234" spans="1:44" hidden="1" x14ac:dyDescent="0.25">
      <c r="A234" s="149" t="s">
        <v>133</v>
      </c>
      <c r="B234" s="149"/>
      <c r="C234" s="204">
        <f t="shared" si="36"/>
        <v>1389.3333333333335</v>
      </c>
      <c r="D234" s="225">
        <v>57</v>
      </c>
      <c r="E234" s="206" t="s">
        <v>89</v>
      </c>
      <c r="F234" s="111">
        <f t="shared" si="37"/>
        <v>-8</v>
      </c>
      <c r="G234" s="225">
        <f>G222</f>
        <v>58</v>
      </c>
      <c r="H234" s="206" t="s">
        <v>89</v>
      </c>
      <c r="I234" s="111">
        <f t="shared" si="38"/>
        <v>-8</v>
      </c>
      <c r="J234" s="111"/>
      <c r="K234" s="225" t="str">
        <f>K222</f>
        <v xml:space="preserve"> </v>
      </c>
      <c r="L234" s="206" t="s">
        <v>89</v>
      </c>
      <c r="M234" s="111">
        <f t="shared" si="39"/>
        <v>0</v>
      </c>
      <c r="N234" s="111"/>
      <c r="O234" s="225" t="e">
        <f>O222</f>
        <v>#DIV/0!</v>
      </c>
      <c r="P234" s="206" t="s">
        <v>89</v>
      </c>
      <c r="Q234" s="111" t="e">
        <f t="shared" si="40"/>
        <v>#DIV/0!</v>
      </c>
      <c r="R234" s="111"/>
      <c r="S234" s="225" t="e">
        <f>S222</f>
        <v>#DIV/0!</v>
      </c>
      <c r="T234" s="206" t="s">
        <v>89</v>
      </c>
      <c r="U234" s="111" t="e">
        <f t="shared" si="41"/>
        <v>#DIV/0!</v>
      </c>
      <c r="V234" s="44"/>
      <c r="W234" s="91"/>
      <c r="X234" s="91"/>
      <c r="Y234" s="91"/>
      <c r="Z234" s="44"/>
      <c r="AA234" s="44"/>
      <c r="AB234" s="44"/>
      <c r="AC234" s="44"/>
      <c r="AD234" s="44"/>
      <c r="AE234" s="44"/>
      <c r="AF234" s="44"/>
      <c r="AG234" s="44"/>
      <c r="AH234" s="44"/>
      <c r="AI234" s="44"/>
      <c r="AJ234" s="44"/>
      <c r="AK234" s="44"/>
      <c r="AL234" s="44"/>
      <c r="AM234" s="44"/>
      <c r="AN234" s="44"/>
      <c r="AO234" s="44"/>
      <c r="AP234" s="44"/>
      <c r="AR234" s="115"/>
    </row>
    <row r="235" spans="1:44" hidden="1" x14ac:dyDescent="0.25">
      <c r="A235" s="149" t="s">
        <v>144</v>
      </c>
      <c r="B235" s="149"/>
      <c r="C235" s="204">
        <f t="shared" si="36"/>
        <v>130.39999999999998</v>
      </c>
      <c r="D235" s="226">
        <v>60</v>
      </c>
      <c r="E235" s="206"/>
      <c r="F235" s="111">
        <f t="shared" si="37"/>
        <v>7824</v>
      </c>
      <c r="G235" s="226">
        <f>$G$198</f>
        <v>60</v>
      </c>
      <c r="H235" s="206"/>
      <c r="I235" s="111">
        <f t="shared" si="38"/>
        <v>7824</v>
      </c>
      <c r="J235" s="111"/>
      <c r="K235" s="226">
        <f>$G$198</f>
        <v>60</v>
      </c>
      <c r="L235" s="206"/>
      <c r="M235" s="111">
        <f t="shared" si="39"/>
        <v>0</v>
      </c>
      <c r="N235" s="111"/>
      <c r="O235" s="226" t="e">
        <f>$O$198</f>
        <v>#DIV/0!</v>
      </c>
      <c r="P235" s="206"/>
      <c r="Q235" s="111" t="e">
        <f t="shared" si="40"/>
        <v>#DIV/0!</v>
      </c>
      <c r="R235" s="111"/>
      <c r="S235" s="226" t="e">
        <f>$S$198</f>
        <v>#DIV/0!</v>
      </c>
      <c r="T235" s="206"/>
      <c r="U235" s="111" t="e">
        <f t="shared" si="41"/>
        <v>#DIV/0!</v>
      </c>
      <c r="V235" s="44"/>
      <c r="W235" s="91"/>
      <c r="X235" s="91"/>
      <c r="Y235" s="91"/>
      <c r="Z235" s="44"/>
      <c r="AA235" s="44"/>
      <c r="AB235" s="44"/>
      <c r="AC235" s="44"/>
      <c r="AD235" s="44"/>
      <c r="AE235" s="44"/>
      <c r="AF235" s="44"/>
      <c r="AG235" s="44"/>
      <c r="AH235" s="44"/>
      <c r="AI235" s="44"/>
      <c r="AJ235" s="44"/>
      <c r="AK235" s="44"/>
      <c r="AL235" s="44"/>
      <c r="AM235" s="44"/>
      <c r="AN235" s="44"/>
      <c r="AO235" s="44"/>
      <c r="AP235" s="44"/>
      <c r="AR235" s="115"/>
    </row>
    <row r="236" spans="1:44" hidden="1" x14ac:dyDescent="0.25">
      <c r="A236" s="149" t="s">
        <v>145</v>
      </c>
      <c r="B236" s="149"/>
      <c r="C236" s="204">
        <f t="shared" si="36"/>
        <v>709.3</v>
      </c>
      <c r="D236" s="227">
        <v>-30</v>
      </c>
      <c r="E236" s="206" t="s">
        <v>89</v>
      </c>
      <c r="F236" s="111">
        <f t="shared" si="37"/>
        <v>-213</v>
      </c>
      <c r="G236" s="227">
        <f>$G$199</f>
        <v>-30</v>
      </c>
      <c r="H236" s="206" t="s">
        <v>89</v>
      </c>
      <c r="I236" s="111">
        <f t="shared" si="38"/>
        <v>-213</v>
      </c>
      <c r="J236" s="111"/>
      <c r="K236" s="227">
        <f>$K$199</f>
        <v>-30</v>
      </c>
      <c r="L236" s="206" t="s">
        <v>89</v>
      </c>
      <c r="M236" s="111">
        <f t="shared" si="39"/>
        <v>-213</v>
      </c>
      <c r="N236" s="111"/>
      <c r="O236" s="227" t="str">
        <f>$O$199</f>
        <v xml:space="preserve"> </v>
      </c>
      <c r="P236" s="206" t="s">
        <v>89</v>
      </c>
      <c r="Q236" s="111">
        <f t="shared" si="40"/>
        <v>0</v>
      </c>
      <c r="R236" s="111"/>
      <c r="S236" s="227" t="str">
        <f>$S$199</f>
        <v xml:space="preserve"> </v>
      </c>
      <c r="T236" s="206" t="s">
        <v>89</v>
      </c>
      <c r="U236" s="111">
        <f t="shared" si="41"/>
        <v>0</v>
      </c>
      <c r="V236" s="44"/>
      <c r="W236" s="91"/>
      <c r="X236" s="91"/>
      <c r="Y236" s="91"/>
      <c r="Z236" s="44"/>
      <c r="AA236" s="44"/>
      <c r="AB236" s="44"/>
      <c r="AC236" s="44"/>
      <c r="AD236" s="44"/>
      <c r="AE236" s="44"/>
      <c r="AF236" s="44"/>
      <c r="AG236" s="44"/>
      <c r="AH236" s="44"/>
      <c r="AI236" s="44"/>
      <c r="AJ236" s="44"/>
      <c r="AK236" s="44"/>
      <c r="AL236" s="44"/>
      <c r="AM236" s="44"/>
      <c r="AN236" s="44"/>
      <c r="AO236" s="44"/>
      <c r="AP236" s="44"/>
      <c r="AR236" s="115"/>
    </row>
    <row r="237" spans="1:44" s="120" customFormat="1" hidden="1" x14ac:dyDescent="0.25">
      <c r="A237" s="119" t="s">
        <v>134</v>
      </c>
      <c r="C237" s="214">
        <f>C231</f>
        <v>116452.33333333327</v>
      </c>
      <c r="D237" s="128">
        <v>0</v>
      </c>
      <c r="E237" s="122"/>
      <c r="F237" s="123"/>
      <c r="G237" s="124">
        <f>G183</f>
        <v>0</v>
      </c>
      <c r="H237" s="215" t="s">
        <v>89</v>
      </c>
      <c r="I237" s="123">
        <f t="shared" ref="I237:I239" si="42">I271+I306+I340</f>
        <v>0</v>
      </c>
      <c r="J237" s="123"/>
      <c r="K237" s="124" t="str">
        <f>K183</f>
        <v xml:space="preserve"> </v>
      </c>
      <c r="L237" s="215" t="s">
        <v>89</v>
      </c>
      <c r="M237" s="123">
        <f t="shared" ref="M237:M239" si="43">M271+M306+M340</f>
        <v>0</v>
      </c>
      <c r="N237" s="123"/>
      <c r="O237" s="124" t="str">
        <f>O183</f>
        <v xml:space="preserve"> </v>
      </c>
      <c r="P237" s="215" t="s">
        <v>89</v>
      </c>
      <c r="Q237" s="123">
        <f t="shared" ref="Q237:Q239" si="44">Q271+Q306+Q340</f>
        <v>0</v>
      </c>
      <c r="R237" s="123"/>
      <c r="S237" s="124">
        <f>S183</f>
        <v>0</v>
      </c>
      <c r="T237" s="215" t="s">
        <v>89</v>
      </c>
      <c r="U237" s="123">
        <f t="shared" ref="U237:U239" si="45">U271+U306+U340</f>
        <v>0</v>
      </c>
      <c r="W237" s="112"/>
      <c r="Z237" s="127"/>
      <c r="AA237" s="127"/>
      <c r="AF237" s="122"/>
      <c r="AG237" s="122"/>
      <c r="AH237" s="122"/>
      <c r="AI237" s="122"/>
      <c r="AJ237" s="122"/>
      <c r="AK237" s="122"/>
      <c r="AL237" s="122"/>
      <c r="AM237" s="122"/>
      <c r="AN237" s="122"/>
      <c r="AO237" s="122"/>
      <c r="AP237" s="122"/>
      <c r="AR237" s="126"/>
    </row>
    <row r="238" spans="1:44" s="120" customFormat="1" hidden="1" x14ac:dyDescent="0.25">
      <c r="A238" s="119" t="s">
        <v>135</v>
      </c>
      <c r="C238" s="214">
        <f t="shared" ref="C238:C239" si="46">C232</f>
        <v>524872.66666666698</v>
      </c>
      <c r="D238" s="128">
        <v>0</v>
      </c>
      <c r="E238" s="122"/>
      <c r="F238" s="123"/>
      <c r="G238" s="124">
        <f>G184</f>
        <v>0</v>
      </c>
      <c r="H238" s="215" t="s">
        <v>89</v>
      </c>
      <c r="I238" s="123">
        <f t="shared" si="42"/>
        <v>0</v>
      </c>
      <c r="J238" s="123"/>
      <c r="K238" s="124" t="str">
        <f>K184</f>
        <v xml:space="preserve"> </v>
      </c>
      <c r="L238" s="215" t="s">
        <v>89</v>
      </c>
      <c r="M238" s="123">
        <f t="shared" si="43"/>
        <v>0</v>
      </c>
      <c r="N238" s="123"/>
      <c r="O238" s="124" t="str">
        <f>O184</f>
        <v xml:space="preserve"> </v>
      </c>
      <c r="P238" s="215" t="s">
        <v>89</v>
      </c>
      <c r="Q238" s="123">
        <f t="shared" si="44"/>
        <v>0</v>
      </c>
      <c r="R238" s="123"/>
      <c r="S238" s="124">
        <f>S184</f>
        <v>0</v>
      </c>
      <c r="T238" s="215" t="s">
        <v>89</v>
      </c>
      <c r="U238" s="123">
        <f t="shared" si="45"/>
        <v>0</v>
      </c>
      <c r="W238" s="112"/>
      <c r="Z238" s="127"/>
      <c r="AA238" s="127"/>
      <c r="AF238" s="122"/>
      <c r="AG238" s="122"/>
      <c r="AH238" s="122"/>
      <c r="AI238" s="122"/>
      <c r="AJ238" s="122"/>
      <c r="AK238" s="122"/>
      <c r="AL238" s="122"/>
      <c r="AM238" s="122"/>
      <c r="AN238" s="122"/>
      <c r="AO238" s="122"/>
      <c r="AP238" s="122"/>
      <c r="AR238" s="126"/>
    </row>
    <row r="239" spans="1:44" s="120" customFormat="1" hidden="1" x14ac:dyDescent="0.25">
      <c r="A239" s="119" t="s">
        <v>136</v>
      </c>
      <c r="C239" s="214">
        <f t="shared" si="46"/>
        <v>933865</v>
      </c>
      <c r="D239" s="128">
        <v>0</v>
      </c>
      <c r="E239" s="122"/>
      <c r="F239" s="123"/>
      <c r="G239" s="124">
        <f>G185</f>
        <v>0</v>
      </c>
      <c r="H239" s="215" t="s">
        <v>89</v>
      </c>
      <c r="I239" s="123">
        <f t="shared" si="42"/>
        <v>0</v>
      </c>
      <c r="J239" s="123"/>
      <c r="K239" s="124" t="str">
        <f>K185</f>
        <v xml:space="preserve"> </v>
      </c>
      <c r="L239" s="215" t="s">
        <v>89</v>
      </c>
      <c r="M239" s="123">
        <f t="shared" si="43"/>
        <v>0</v>
      </c>
      <c r="N239" s="123"/>
      <c r="O239" s="124" t="str">
        <f>O185</f>
        <v xml:space="preserve"> </v>
      </c>
      <c r="P239" s="215" t="s">
        <v>89</v>
      </c>
      <c r="Q239" s="123">
        <f t="shared" si="44"/>
        <v>0</v>
      </c>
      <c r="R239" s="123"/>
      <c r="S239" s="124">
        <f>S185</f>
        <v>0</v>
      </c>
      <c r="T239" s="215" t="s">
        <v>89</v>
      </c>
      <c r="U239" s="123">
        <f t="shared" si="45"/>
        <v>0</v>
      </c>
      <c r="W239" s="112"/>
      <c r="Z239" s="127"/>
      <c r="AA239" s="127"/>
      <c r="AF239" s="122"/>
      <c r="AG239" s="122"/>
      <c r="AH239" s="122"/>
      <c r="AI239" s="122"/>
      <c r="AJ239" s="122"/>
      <c r="AK239" s="122"/>
      <c r="AL239" s="122"/>
      <c r="AM239" s="122"/>
      <c r="AN239" s="122"/>
      <c r="AO239" s="122"/>
      <c r="AP239" s="122"/>
      <c r="AR239" s="126"/>
    </row>
    <row r="240" spans="1:44" hidden="1" x14ac:dyDescent="0.25">
      <c r="A240" s="149" t="s">
        <v>114</v>
      </c>
      <c r="B240" s="109"/>
      <c r="C240" s="204">
        <f t="shared" ref="C240" si="47">C309+C343+C274</f>
        <v>530851621.18193215</v>
      </c>
      <c r="D240" s="212"/>
      <c r="E240" s="206"/>
      <c r="F240" s="111">
        <f t="shared" ref="F240" si="48">F309+F343+F274</f>
        <v>48746112</v>
      </c>
      <c r="G240" s="212"/>
      <c r="H240" s="206"/>
      <c r="I240" s="111">
        <f t="shared" ref="I240" si="49">I309+I343+I274</f>
        <v>49899440</v>
      </c>
      <c r="J240" s="111"/>
      <c r="K240" s="212"/>
      <c r="L240" s="206"/>
      <c r="M240" s="111" t="e">
        <f t="shared" ref="M240" si="50">M309+M343+M274</f>
        <v>#REF!</v>
      </c>
      <c r="N240" s="111"/>
      <c r="O240" s="212"/>
      <c r="P240" s="206"/>
      <c r="Q240" s="111" t="e">
        <f t="shared" ref="Q240" si="51">Q309+Q343+Q274</f>
        <v>#DIV/0!</v>
      </c>
      <c r="R240" s="111"/>
      <c r="S240" s="212"/>
      <c r="T240" s="206"/>
      <c r="U240" s="111" t="e">
        <f t="shared" ref="U240" si="52">U309+U343+U274</f>
        <v>#DIV/0!</v>
      </c>
      <c r="V240" s="44"/>
      <c r="W240" s="91"/>
      <c r="X240" s="91"/>
      <c r="Y240" s="91"/>
      <c r="Z240" s="44"/>
      <c r="AA240" s="44"/>
      <c r="AB240" s="44"/>
      <c r="AC240" s="44"/>
      <c r="AD240" s="44"/>
      <c r="AE240" s="44"/>
      <c r="AF240" s="44"/>
      <c r="AG240" s="44"/>
      <c r="AH240" s="44"/>
      <c r="AI240" s="44"/>
      <c r="AJ240" s="44"/>
      <c r="AK240" s="44"/>
      <c r="AL240" s="44"/>
      <c r="AM240" s="44"/>
      <c r="AN240" s="44"/>
      <c r="AO240" s="44"/>
      <c r="AP240" s="44"/>
      <c r="AR240" s="115"/>
    </row>
    <row r="241" spans="1:44" hidden="1" x14ac:dyDescent="0.25">
      <c r="A241" s="149" t="s">
        <v>92</v>
      </c>
      <c r="B241" s="244"/>
      <c r="C241" s="229">
        <f>C275+C310+C344</f>
        <v>3809581.6993984496</v>
      </c>
      <c r="D241" s="134"/>
      <c r="E241" s="134"/>
      <c r="F241" s="230">
        <f>F275+F310+F344</f>
        <v>396041.247892012</v>
      </c>
      <c r="G241" s="134"/>
      <c r="H241" s="134"/>
      <c r="I241" s="230">
        <f>F241</f>
        <v>396041.247892012</v>
      </c>
      <c r="J241" s="207"/>
      <c r="K241" s="134"/>
      <c r="L241" s="134"/>
      <c r="M241" s="230" t="e">
        <f>M204/I204*I241</f>
        <v>#DIV/0!</v>
      </c>
      <c r="N241" s="207"/>
      <c r="O241" s="134"/>
      <c r="P241" s="134"/>
      <c r="Q241" s="230" t="e">
        <f>Q204/I204*I241</f>
        <v>#DIV/0!</v>
      </c>
      <c r="R241" s="207"/>
      <c r="S241" s="134"/>
      <c r="T241" s="134"/>
      <c r="U241" s="230" t="e">
        <f>U204/I204*I241</f>
        <v>#DIV/0!</v>
      </c>
      <c r="V241" s="165"/>
      <c r="W241" s="163"/>
      <c r="X241" s="91"/>
      <c r="Y241" s="91"/>
      <c r="Z241" s="44"/>
      <c r="AA241" s="44"/>
      <c r="AB241" s="44"/>
      <c r="AC241" s="44"/>
      <c r="AD241" s="44"/>
      <c r="AE241" s="44"/>
      <c r="AF241" s="44"/>
      <c r="AG241" s="44"/>
      <c r="AH241" s="44"/>
      <c r="AI241" s="44"/>
      <c r="AJ241" s="44"/>
      <c r="AK241" s="44"/>
      <c r="AL241" s="44"/>
      <c r="AM241" s="44"/>
      <c r="AN241" s="44"/>
      <c r="AO241" s="44"/>
      <c r="AP241" s="44"/>
      <c r="AR241" s="115"/>
    </row>
    <row r="242" spans="1:44" ht="16.5" hidden="1" thickBot="1" x14ac:dyDescent="0.3">
      <c r="A242" s="149" t="s">
        <v>115</v>
      </c>
      <c r="B242" s="149"/>
      <c r="C242" s="192">
        <f>SUM(C240:C241)</f>
        <v>534661202.88133061</v>
      </c>
      <c r="D242" s="245"/>
      <c r="E242" s="232"/>
      <c r="F242" s="233">
        <f>F240+F241</f>
        <v>49142153.247892015</v>
      </c>
      <c r="G242" s="245"/>
      <c r="H242" s="232"/>
      <c r="I242" s="233">
        <f>I240+I241</f>
        <v>50295481.247892015</v>
      </c>
      <c r="J242" s="207"/>
      <c r="K242" s="245"/>
      <c r="L242" s="232"/>
      <c r="M242" s="233" t="e">
        <f>M240+M241</f>
        <v>#REF!</v>
      </c>
      <c r="N242" s="233"/>
      <c r="O242" s="245"/>
      <c r="P242" s="232"/>
      <c r="Q242" s="233" t="e">
        <f>Q240+Q241</f>
        <v>#DIV/0!</v>
      </c>
      <c r="R242" s="233"/>
      <c r="S242" s="245"/>
      <c r="T242" s="232"/>
      <c r="U242" s="233" t="e">
        <f>U240+U241</f>
        <v>#DIV/0!</v>
      </c>
      <c r="V242" s="166"/>
      <c r="W242" s="167"/>
      <c r="X242" s="91"/>
      <c r="Y242" s="91"/>
      <c r="Z242" s="44"/>
      <c r="AA242" s="44"/>
      <c r="AB242" s="44"/>
      <c r="AC242" s="44"/>
      <c r="AD242" s="44"/>
      <c r="AE242" s="44"/>
      <c r="AF242" s="44"/>
      <c r="AG242" s="44"/>
      <c r="AH242" s="44"/>
      <c r="AI242" s="44"/>
      <c r="AJ242" s="44"/>
      <c r="AK242" s="44"/>
      <c r="AL242" s="44"/>
      <c r="AM242" s="44"/>
      <c r="AN242" s="44"/>
      <c r="AO242" s="44"/>
      <c r="AP242" s="44"/>
      <c r="AR242" s="115"/>
    </row>
    <row r="243" spans="1:44" hidden="1" x14ac:dyDescent="0.25">
      <c r="A243" s="149"/>
      <c r="B243" s="149"/>
      <c r="C243" s="169"/>
      <c r="D243" s="226"/>
      <c r="E243" s="149"/>
      <c r="F243" s="111"/>
      <c r="G243" s="226"/>
      <c r="H243" s="149"/>
      <c r="I243" s="111" t="s">
        <v>0</v>
      </c>
      <c r="J243" s="111"/>
      <c r="K243" s="226"/>
      <c r="L243" s="149"/>
      <c r="M243" s="111" t="s">
        <v>0</v>
      </c>
      <c r="N243" s="111"/>
      <c r="O243" s="226"/>
      <c r="P243" s="149"/>
      <c r="Q243" s="111" t="s">
        <v>0</v>
      </c>
      <c r="R243" s="111"/>
      <c r="S243" s="226"/>
      <c r="T243" s="149"/>
      <c r="U243" s="111" t="s">
        <v>0</v>
      </c>
      <c r="V243" s="44"/>
      <c r="W243" s="91"/>
      <c r="X243" s="91"/>
      <c r="Y243" s="91"/>
      <c r="Z243" s="44"/>
      <c r="AA243" s="44"/>
      <c r="AB243" s="44"/>
      <c r="AC243" s="44"/>
      <c r="AD243" s="44"/>
      <c r="AE243" s="44"/>
      <c r="AF243" s="44"/>
      <c r="AG243" s="44"/>
      <c r="AH243" s="44"/>
      <c r="AI243" s="44"/>
      <c r="AJ243" s="44"/>
      <c r="AK243" s="44"/>
      <c r="AL243" s="44"/>
      <c r="AM243" s="44"/>
      <c r="AN243" s="44"/>
      <c r="AO243" s="44"/>
      <c r="AP243" s="44"/>
      <c r="AR243" s="115"/>
    </row>
    <row r="244" spans="1:44" hidden="1" x14ac:dyDescent="0.25">
      <c r="A244" s="168" t="s">
        <v>121</v>
      </c>
      <c r="B244" s="149"/>
      <c r="C244" s="149"/>
      <c r="D244" s="111"/>
      <c r="E244" s="149"/>
      <c r="F244" s="246" t="s">
        <v>0</v>
      </c>
      <c r="G244" s="111"/>
      <c r="H244" s="149"/>
      <c r="I244" s="149"/>
      <c r="J244" s="149"/>
      <c r="K244" s="111"/>
      <c r="L244" s="149"/>
      <c r="M244" s="149"/>
      <c r="N244" s="149"/>
      <c r="O244" s="111"/>
      <c r="P244" s="149"/>
      <c r="Q244" s="149"/>
      <c r="R244" s="149"/>
      <c r="S244" s="111"/>
      <c r="T244" s="149"/>
      <c r="U244" s="149"/>
      <c r="V244" s="44"/>
      <c r="W244" s="91"/>
      <c r="X244" s="91"/>
      <c r="Y244" s="91"/>
      <c r="Z244" s="44"/>
      <c r="AA244" s="44"/>
      <c r="AB244" s="44"/>
      <c r="AC244" s="44"/>
      <c r="AD244" s="44"/>
      <c r="AE244" s="44"/>
      <c r="AF244" s="44"/>
      <c r="AG244" s="44"/>
      <c r="AH244" s="44"/>
      <c r="AI244" s="44"/>
      <c r="AJ244" s="44"/>
      <c r="AK244" s="44"/>
      <c r="AL244" s="44"/>
      <c r="AM244" s="44"/>
      <c r="AN244" s="44"/>
      <c r="AO244" s="44"/>
      <c r="AP244" s="44"/>
      <c r="AR244" s="115"/>
    </row>
    <row r="245" spans="1:44" hidden="1" x14ac:dyDescent="0.25">
      <c r="A245" s="149" t="s">
        <v>148</v>
      </c>
      <c r="B245" s="149"/>
      <c r="C245" s="149"/>
      <c r="D245" s="111"/>
      <c r="E245" s="149"/>
      <c r="F245" s="149"/>
      <c r="G245" s="111"/>
      <c r="H245" s="149"/>
      <c r="I245" s="149"/>
      <c r="J245" s="149"/>
      <c r="K245" s="111"/>
      <c r="L245" s="149"/>
      <c r="M245" s="149"/>
      <c r="N245" s="149"/>
      <c r="O245" s="111"/>
      <c r="P245" s="149"/>
      <c r="Q245" s="149"/>
      <c r="R245" s="149"/>
      <c r="S245" s="111"/>
      <c r="T245" s="149"/>
      <c r="U245" s="149"/>
      <c r="V245" s="44"/>
      <c r="W245" s="91"/>
      <c r="X245" s="91"/>
      <c r="Y245" s="91"/>
      <c r="Z245" s="44"/>
      <c r="AA245" s="44"/>
      <c r="AB245" s="44"/>
      <c r="AC245" s="44"/>
      <c r="AD245" s="44"/>
      <c r="AE245" s="44"/>
      <c r="AF245" s="44"/>
      <c r="AG245" s="44"/>
      <c r="AH245" s="44"/>
      <c r="AI245" s="44"/>
      <c r="AJ245" s="44"/>
      <c r="AK245" s="44"/>
      <c r="AL245" s="44"/>
      <c r="AM245" s="44"/>
      <c r="AN245" s="44"/>
      <c r="AO245" s="44"/>
      <c r="AP245" s="44"/>
      <c r="AR245" s="115"/>
    </row>
    <row r="246" spans="1:44" hidden="1" x14ac:dyDescent="0.25">
      <c r="A246" s="198" t="s">
        <v>0</v>
      </c>
      <c r="B246" s="149"/>
      <c r="C246" s="169"/>
      <c r="D246" s="111"/>
      <c r="E246" s="149"/>
      <c r="F246" s="149"/>
      <c r="G246" s="111"/>
      <c r="H246" s="149"/>
      <c r="I246" s="149"/>
      <c r="J246" s="149"/>
      <c r="K246" s="111"/>
      <c r="L246" s="149"/>
      <c r="M246" s="149"/>
      <c r="N246" s="149"/>
      <c r="O246" s="111"/>
      <c r="P246" s="149"/>
      <c r="Q246" s="149"/>
      <c r="R246" s="149"/>
      <c r="S246" s="111"/>
      <c r="T246" s="149"/>
      <c r="U246" s="149"/>
      <c r="V246" s="44"/>
      <c r="W246" s="91"/>
      <c r="X246" s="91"/>
      <c r="Y246" s="91"/>
      <c r="Z246" s="44"/>
      <c r="AA246" s="44"/>
      <c r="AB246" s="44"/>
      <c r="AC246" s="44"/>
      <c r="AD246" s="44"/>
      <c r="AE246" s="44"/>
      <c r="AF246" s="44"/>
      <c r="AG246" s="44"/>
      <c r="AH246" s="44"/>
      <c r="AI246" s="44"/>
      <c r="AJ246" s="44"/>
      <c r="AK246" s="44"/>
      <c r="AL246" s="44"/>
      <c r="AM246" s="44"/>
      <c r="AN246" s="44"/>
      <c r="AO246" s="44"/>
      <c r="AP246" s="44"/>
      <c r="AR246" s="115"/>
    </row>
    <row r="247" spans="1:44" hidden="1" x14ac:dyDescent="0.25">
      <c r="A247" s="149" t="s">
        <v>127</v>
      </c>
      <c r="B247" s="149"/>
      <c r="C247" s="204"/>
      <c r="D247" s="111"/>
      <c r="E247" s="149"/>
      <c r="F247" s="149"/>
      <c r="G247" s="111"/>
      <c r="H247" s="149"/>
      <c r="I247" s="149"/>
      <c r="J247" s="149"/>
      <c r="K247" s="111"/>
      <c r="L247" s="149"/>
      <c r="M247" s="149"/>
      <c r="N247" s="149"/>
      <c r="O247" s="111"/>
      <c r="P247" s="149"/>
      <c r="Q247" s="149"/>
      <c r="R247" s="149"/>
      <c r="S247" s="111"/>
      <c r="T247" s="149"/>
      <c r="U247" s="149"/>
      <c r="V247" s="44"/>
      <c r="W247" s="91"/>
      <c r="X247" s="91"/>
      <c r="Y247" s="91"/>
      <c r="Z247" s="44"/>
      <c r="AA247" s="44"/>
      <c r="AB247" s="44"/>
      <c r="AC247" s="44"/>
      <c r="AD247" s="44"/>
      <c r="AE247" s="44"/>
      <c r="AF247" s="44"/>
      <c r="AG247" s="44"/>
      <c r="AH247" s="44"/>
      <c r="AI247" s="44"/>
      <c r="AJ247" s="44"/>
      <c r="AK247" s="44"/>
      <c r="AL247" s="44"/>
      <c r="AM247" s="44"/>
      <c r="AN247" s="44"/>
      <c r="AO247" s="44"/>
      <c r="AP247" s="44"/>
      <c r="AR247" s="115"/>
    </row>
    <row r="248" spans="1:44" hidden="1" x14ac:dyDescent="0.25">
      <c r="A248" s="149" t="s">
        <v>124</v>
      </c>
      <c r="B248" s="149"/>
      <c r="C248" s="204">
        <v>38513.06666666727</v>
      </c>
      <c r="D248" s="173">
        <v>9.76</v>
      </c>
      <c r="E248" s="206"/>
      <c r="F248" s="111">
        <f>ROUND(D248*$C248,0)</f>
        <v>375888</v>
      </c>
      <c r="G248" s="173">
        <f>$G$173</f>
        <v>9.99</v>
      </c>
      <c r="H248" s="206"/>
      <c r="I248" s="111">
        <f>ROUND(G248*$C248,0)</f>
        <v>384746</v>
      </c>
      <c r="J248" s="111"/>
      <c r="K248" s="173">
        <f>$K$173</f>
        <v>9.76</v>
      </c>
      <c r="L248" s="206"/>
      <c r="M248" s="111">
        <f>ROUND(K248*$C248,0)</f>
        <v>375888</v>
      </c>
      <c r="N248" s="111"/>
      <c r="O248" s="173" t="str">
        <f>$O$173</f>
        <v xml:space="preserve"> </v>
      </c>
      <c r="P248" s="206"/>
      <c r="Q248" s="111">
        <f>ROUND(O248*$C248,0)</f>
        <v>0</v>
      </c>
      <c r="R248" s="111"/>
      <c r="S248" s="173" t="str">
        <f>$S$173</f>
        <v xml:space="preserve"> </v>
      </c>
      <c r="T248" s="206"/>
      <c r="U248" s="111">
        <f>ROUND(S248*$C248,0)</f>
        <v>0</v>
      </c>
      <c r="V248" s="44"/>
      <c r="W248" s="91"/>
      <c r="X248" s="91"/>
      <c r="Y248" s="91"/>
      <c r="Z248" s="44"/>
      <c r="AA248" s="44"/>
      <c r="AB248" s="44"/>
      <c r="AC248" s="44"/>
      <c r="AD248" s="44"/>
      <c r="AE248" s="44"/>
      <c r="AF248" s="44"/>
      <c r="AG248" s="44"/>
      <c r="AH248" s="44"/>
      <c r="AI248" s="44"/>
      <c r="AJ248" s="44"/>
      <c r="AK248" s="44"/>
      <c r="AL248" s="44"/>
      <c r="AM248" s="44"/>
      <c r="AN248" s="44"/>
      <c r="AO248" s="44"/>
      <c r="AP248" s="44"/>
      <c r="AR248" s="115"/>
    </row>
    <row r="249" spans="1:44" hidden="1" x14ac:dyDescent="0.25">
      <c r="A249" s="149" t="s">
        <v>125</v>
      </c>
      <c r="B249" s="149"/>
      <c r="C249" s="204">
        <v>2939.36666666667</v>
      </c>
      <c r="D249" s="173">
        <v>14.54</v>
      </c>
      <c r="E249" s="208"/>
      <c r="F249" s="111">
        <f t="shared" ref="F249:F250" si="53">ROUND(D249*$C249,0)</f>
        <v>42738</v>
      </c>
      <c r="G249" s="173">
        <f>$G$174</f>
        <v>14.89</v>
      </c>
      <c r="H249" s="208"/>
      <c r="I249" s="111">
        <f>ROUND(G249*$C249,0)</f>
        <v>43767</v>
      </c>
      <c r="J249" s="111"/>
      <c r="K249" s="173">
        <f>$K$174</f>
        <v>14.54</v>
      </c>
      <c r="L249" s="208"/>
      <c r="M249" s="111">
        <f>ROUND(K249*$C249,0)</f>
        <v>42738</v>
      </c>
      <c r="N249" s="111"/>
      <c r="O249" s="173" t="str">
        <f>$O$174</f>
        <v xml:space="preserve"> </v>
      </c>
      <c r="P249" s="208"/>
      <c r="Q249" s="111">
        <f>ROUND(O249*$C249,0)</f>
        <v>0</v>
      </c>
      <c r="R249" s="111"/>
      <c r="S249" s="173" t="str">
        <f>$S$174</f>
        <v xml:space="preserve"> </v>
      </c>
      <c r="T249" s="208"/>
      <c r="U249" s="111">
        <f>ROUND(S249*$C249,0)</f>
        <v>0</v>
      </c>
      <c r="V249" s="44"/>
      <c r="W249" s="91"/>
      <c r="X249" s="91"/>
      <c r="Y249" s="91"/>
      <c r="Z249" s="44"/>
      <c r="AA249" s="44"/>
      <c r="AB249" s="44"/>
      <c r="AC249" s="44"/>
      <c r="AD249" s="44"/>
      <c r="AE249" s="44"/>
      <c r="AF249" s="44"/>
      <c r="AG249" s="44"/>
      <c r="AH249" s="44"/>
      <c r="AI249" s="44"/>
      <c r="AJ249" s="44"/>
      <c r="AK249" s="44"/>
      <c r="AL249" s="44"/>
      <c r="AM249" s="44"/>
      <c r="AN249" s="44"/>
      <c r="AO249" s="44"/>
      <c r="AP249" s="44"/>
      <c r="AR249" s="115"/>
    </row>
    <row r="250" spans="1:44" hidden="1" x14ac:dyDescent="0.25">
      <c r="A250" s="149" t="s">
        <v>126</v>
      </c>
      <c r="B250" s="149"/>
      <c r="C250" s="204">
        <v>21457</v>
      </c>
      <c r="D250" s="173">
        <v>1.02</v>
      </c>
      <c r="E250" s="208"/>
      <c r="F250" s="111">
        <f t="shared" si="53"/>
        <v>21886</v>
      </c>
      <c r="G250" s="173">
        <f>$G$175</f>
        <v>1.04</v>
      </c>
      <c r="H250" s="208"/>
      <c r="I250" s="111">
        <f>ROUND(G250*$C250,0)</f>
        <v>22315</v>
      </c>
      <c r="J250" s="111"/>
      <c r="K250" s="173">
        <f>$K$175</f>
        <v>1.02</v>
      </c>
      <c r="L250" s="208"/>
      <c r="M250" s="111">
        <f>ROUND(K250*$C250,0)</f>
        <v>21886</v>
      </c>
      <c r="N250" s="111"/>
      <c r="O250" s="173" t="str">
        <f>$O$175</f>
        <v xml:space="preserve"> </v>
      </c>
      <c r="P250" s="208"/>
      <c r="Q250" s="111">
        <f>ROUND(O250*$C250,0)</f>
        <v>0</v>
      </c>
      <c r="R250" s="111"/>
      <c r="S250" s="173" t="str">
        <f>$S$175</f>
        <v xml:space="preserve"> </v>
      </c>
      <c r="T250" s="208"/>
      <c r="U250" s="111">
        <f>ROUND(S250*$C250,0)</f>
        <v>0</v>
      </c>
      <c r="V250" s="44"/>
      <c r="W250" s="91"/>
      <c r="X250" s="91"/>
      <c r="Y250" s="91"/>
      <c r="Z250" s="44"/>
      <c r="AA250" s="44"/>
      <c r="AB250" s="44"/>
      <c r="AC250" s="44"/>
      <c r="AD250" s="44"/>
      <c r="AE250" s="44"/>
      <c r="AF250" s="44"/>
      <c r="AG250" s="44"/>
      <c r="AH250" s="44"/>
      <c r="AI250" s="44"/>
      <c r="AJ250" s="44"/>
      <c r="AK250" s="44"/>
      <c r="AL250" s="44"/>
      <c r="AM250" s="44"/>
      <c r="AN250" s="44"/>
      <c r="AO250" s="44"/>
      <c r="AP250" s="44"/>
      <c r="AR250" s="115"/>
    </row>
    <row r="251" spans="1:44" hidden="1" x14ac:dyDescent="0.25">
      <c r="A251" s="149" t="s">
        <v>128</v>
      </c>
      <c r="B251" s="149"/>
      <c r="C251" s="204">
        <v>41452.433333333938</v>
      </c>
      <c r="D251" s="173"/>
      <c r="E251" s="206"/>
      <c r="F251" s="111"/>
      <c r="G251" s="173"/>
      <c r="H251" s="206"/>
      <c r="I251" s="111"/>
      <c r="J251" s="111"/>
      <c r="K251" s="173"/>
      <c r="L251" s="206"/>
      <c r="M251" s="111"/>
      <c r="N251" s="111"/>
      <c r="O251" s="173"/>
      <c r="P251" s="206"/>
      <c r="Q251" s="111"/>
      <c r="R251" s="111"/>
      <c r="S251" s="173"/>
      <c r="T251" s="206"/>
      <c r="U251" s="111"/>
      <c r="V251" s="44"/>
      <c r="W251" s="91"/>
      <c r="X251" s="91"/>
      <c r="Y251" s="91"/>
      <c r="Z251" s="44"/>
      <c r="AA251" s="44"/>
      <c r="AB251" s="44"/>
      <c r="AC251" s="44"/>
      <c r="AD251" s="44"/>
      <c r="AE251" s="44"/>
      <c r="AF251" s="44"/>
      <c r="AG251" s="44"/>
      <c r="AH251" s="44"/>
      <c r="AI251" s="44"/>
      <c r="AJ251" s="44"/>
      <c r="AK251" s="44"/>
      <c r="AL251" s="44"/>
      <c r="AM251" s="44"/>
      <c r="AN251" s="44"/>
      <c r="AO251" s="44"/>
      <c r="AP251" s="44"/>
      <c r="AR251" s="115"/>
    </row>
    <row r="252" spans="1:44" hidden="1" x14ac:dyDescent="0.25">
      <c r="A252" s="149" t="s">
        <v>129</v>
      </c>
      <c r="B252" s="149"/>
      <c r="C252" s="204">
        <v>15663</v>
      </c>
      <c r="D252" s="226">
        <v>3.7</v>
      </c>
      <c r="E252" s="206"/>
      <c r="F252" s="111">
        <f>ROUND(D252*C252,0)</f>
        <v>57953</v>
      </c>
      <c r="G252" s="226">
        <f>$G$178</f>
        <v>3.8</v>
      </c>
      <c r="H252" s="206"/>
      <c r="I252" s="111">
        <f>ROUND(G252*$C252,0)</f>
        <v>59519</v>
      </c>
      <c r="J252" s="111"/>
      <c r="K252" s="226" t="e">
        <f>$K$178</f>
        <v>#REF!</v>
      </c>
      <c r="L252" s="206"/>
      <c r="M252" s="111" t="e">
        <f>ROUND(K252*$C252,0)</f>
        <v>#REF!</v>
      </c>
      <c r="N252" s="111"/>
      <c r="O252" s="226" t="e">
        <f>$O$178</f>
        <v>#DIV/0!</v>
      </c>
      <c r="P252" s="206"/>
      <c r="Q252" s="111" t="e">
        <f>ROUND(O252*$C252,0)</f>
        <v>#DIV/0!</v>
      </c>
      <c r="R252" s="111"/>
      <c r="S252" s="226" t="e">
        <f>$S$178</f>
        <v>#DIV/0!</v>
      </c>
      <c r="T252" s="206"/>
      <c r="U252" s="111" t="e">
        <f>ROUND(S252*$C252,0)</f>
        <v>#DIV/0!</v>
      </c>
      <c r="V252" s="44"/>
      <c r="W252" s="91"/>
      <c r="X252" s="91"/>
      <c r="Y252" s="91"/>
      <c r="Z252" s="44"/>
      <c r="AA252" s="44"/>
      <c r="AB252" s="44"/>
      <c r="AC252" s="44"/>
      <c r="AD252" s="44"/>
      <c r="AE252" s="44"/>
      <c r="AF252" s="44"/>
      <c r="AG252" s="44"/>
      <c r="AH252" s="44"/>
      <c r="AI252" s="44"/>
      <c r="AJ252" s="44"/>
      <c r="AK252" s="44"/>
      <c r="AL252" s="44"/>
      <c r="AM252" s="44"/>
      <c r="AN252" s="44"/>
      <c r="AO252" s="44"/>
      <c r="AP252" s="44"/>
      <c r="AR252" s="115"/>
    </row>
    <row r="253" spans="1:44" hidden="1" x14ac:dyDescent="0.25">
      <c r="A253" s="149" t="s">
        <v>130</v>
      </c>
      <c r="B253" s="204"/>
      <c r="C253" s="204">
        <v>12838882.284157982</v>
      </c>
      <c r="D253" s="175">
        <v>10.628</v>
      </c>
      <c r="E253" s="206" t="s">
        <v>89</v>
      </c>
      <c r="F253" s="111">
        <f>ROUND(D253*C253/100,0)</f>
        <v>1364516</v>
      </c>
      <c r="G253" s="175">
        <f>$G$179</f>
        <v>10.878</v>
      </c>
      <c r="H253" s="206" t="s">
        <v>89</v>
      </c>
      <c r="I253" s="111">
        <f>ROUND(G253*$C253/100,0)</f>
        <v>1396614</v>
      </c>
      <c r="J253" s="111"/>
      <c r="K253" s="175" t="e">
        <f>$K$179</f>
        <v>#REF!</v>
      </c>
      <c r="L253" s="206" t="s">
        <v>89</v>
      </c>
      <c r="M253" s="111" t="e">
        <f>ROUND(K253*$C253/100,0)</f>
        <v>#REF!</v>
      </c>
      <c r="N253" s="111"/>
      <c r="O253" s="175" t="e">
        <f>$O$179</f>
        <v>#DIV/0!</v>
      </c>
      <c r="P253" s="206" t="s">
        <v>89</v>
      </c>
      <c r="Q253" s="111" t="e">
        <f>ROUND(O253*$C253/100,0)</f>
        <v>#DIV/0!</v>
      </c>
      <c r="R253" s="111"/>
      <c r="S253" s="175" t="e">
        <f>$S$179</f>
        <v>#DIV/0!</v>
      </c>
      <c r="T253" s="206" t="s">
        <v>89</v>
      </c>
      <c r="U253" s="111" t="e">
        <f>ROUND(S253*$C253/100,0)</f>
        <v>#DIV/0!</v>
      </c>
      <c r="V253" s="247"/>
      <c r="W253" s="91"/>
      <c r="X253" s="91"/>
      <c r="Y253" s="91"/>
      <c r="Z253" s="44"/>
      <c r="AA253" s="44"/>
      <c r="AB253" s="44"/>
      <c r="AC253" s="44"/>
      <c r="AD253" s="44"/>
      <c r="AE253" s="44"/>
      <c r="AF253" s="44"/>
      <c r="AG253" s="44"/>
      <c r="AH253" s="44"/>
      <c r="AI253" s="44"/>
      <c r="AJ253" s="44"/>
      <c r="AK253" s="44"/>
      <c r="AL253" s="44"/>
      <c r="AM253" s="44"/>
      <c r="AN253" s="44"/>
      <c r="AO253" s="44"/>
      <c r="AP253" s="44"/>
      <c r="AR253" s="115"/>
    </row>
    <row r="254" spans="1:44" hidden="1" x14ac:dyDescent="0.25">
      <c r="A254" s="149" t="s">
        <v>131</v>
      </c>
      <c r="B254" s="204"/>
      <c r="C254" s="204">
        <v>6928716.389879657</v>
      </c>
      <c r="D254" s="175">
        <v>7.3410000000000002</v>
      </c>
      <c r="E254" s="206" t="s">
        <v>89</v>
      </c>
      <c r="F254" s="111">
        <f>ROUND(D254*C254/100,0)</f>
        <v>508637</v>
      </c>
      <c r="G254" s="175">
        <f>$G$180</f>
        <v>7.5140000000000002</v>
      </c>
      <c r="H254" s="206" t="s">
        <v>89</v>
      </c>
      <c r="I254" s="111">
        <f>ROUND(G254*$C254/100,0)</f>
        <v>520624</v>
      </c>
      <c r="J254" s="111"/>
      <c r="K254" s="175" t="e">
        <f>$K$180</f>
        <v>#REF!</v>
      </c>
      <c r="L254" s="206" t="s">
        <v>89</v>
      </c>
      <c r="M254" s="111" t="e">
        <f>ROUND(K254*$C254/100,0)</f>
        <v>#REF!</v>
      </c>
      <c r="N254" s="111"/>
      <c r="O254" s="175" t="e">
        <f>$O$180</f>
        <v>#DIV/0!</v>
      </c>
      <c r="P254" s="206" t="s">
        <v>89</v>
      </c>
      <c r="Q254" s="111" t="e">
        <f>ROUND(O254*$C254/100,0)</f>
        <v>#DIV/0!</v>
      </c>
      <c r="R254" s="111"/>
      <c r="S254" s="175" t="e">
        <f>$S$180</f>
        <v>#DIV/0!</v>
      </c>
      <c r="T254" s="206" t="s">
        <v>89</v>
      </c>
      <c r="U254" s="111" t="e">
        <f>ROUND(S254*$C254/100,0)</f>
        <v>#DIV/0!</v>
      </c>
      <c r="V254" s="247"/>
      <c r="W254" s="91"/>
      <c r="X254" s="91"/>
      <c r="Y254" s="91"/>
      <c r="Z254" s="44"/>
      <c r="AA254" s="44"/>
      <c r="AB254" s="44"/>
      <c r="AC254" s="44"/>
      <c r="AD254" s="44"/>
      <c r="AE254" s="44"/>
      <c r="AF254" s="44"/>
      <c r="AG254" s="44"/>
      <c r="AH254" s="44"/>
      <c r="AI254" s="44"/>
      <c r="AJ254" s="44"/>
      <c r="AK254" s="44"/>
      <c r="AL254" s="44"/>
      <c r="AM254" s="44"/>
      <c r="AN254" s="44"/>
      <c r="AO254" s="44"/>
      <c r="AP254" s="44"/>
      <c r="AR254" s="115"/>
    </row>
    <row r="255" spans="1:44" hidden="1" x14ac:dyDescent="0.25">
      <c r="A255" s="149" t="s">
        <v>132</v>
      </c>
      <c r="B255" s="204"/>
      <c r="C255" s="204">
        <v>1198686.3021607364</v>
      </c>
      <c r="D255" s="175">
        <v>6.3240000000000007</v>
      </c>
      <c r="E255" s="206" t="s">
        <v>89</v>
      </c>
      <c r="F255" s="111">
        <f>ROUND(D255*C255/100,0)</f>
        <v>75805</v>
      </c>
      <c r="G255" s="175">
        <f>$G$181</f>
        <v>6.4720000000000004</v>
      </c>
      <c r="H255" s="206" t="s">
        <v>89</v>
      </c>
      <c r="I255" s="111">
        <f>ROUND(G255*$C255/100,0)</f>
        <v>77579</v>
      </c>
      <c r="J255" s="111"/>
      <c r="K255" s="175" t="e">
        <f>$K$181</f>
        <v>#REF!</v>
      </c>
      <c r="L255" s="206" t="s">
        <v>89</v>
      </c>
      <c r="M255" s="111" t="e">
        <f>ROUND(K255*$C255/100,0)</f>
        <v>#REF!</v>
      </c>
      <c r="N255" s="111"/>
      <c r="O255" s="175" t="e">
        <f>$O$181</f>
        <v>#DIV/0!</v>
      </c>
      <c r="P255" s="206" t="s">
        <v>89</v>
      </c>
      <c r="Q255" s="111" t="e">
        <f>ROUND(O255*$C255/100,0)</f>
        <v>#DIV/0!</v>
      </c>
      <c r="R255" s="111"/>
      <c r="S255" s="175" t="e">
        <f>$S$181</f>
        <v>#DIV/0!</v>
      </c>
      <c r="T255" s="206" t="s">
        <v>89</v>
      </c>
      <c r="U255" s="111" t="e">
        <f>ROUND(S255*$C255/100,0)</f>
        <v>#DIV/0!</v>
      </c>
      <c r="V255" s="247"/>
      <c r="W255" s="91"/>
      <c r="X255" s="91"/>
      <c r="Y255" s="91"/>
      <c r="Z255" s="44"/>
      <c r="AA255" s="44"/>
      <c r="AB255" s="44"/>
      <c r="AC255" s="44"/>
      <c r="AD255" s="44"/>
      <c r="AE255" s="44"/>
      <c r="AF255" s="44"/>
      <c r="AG255" s="44"/>
      <c r="AH255" s="44"/>
      <c r="AI255" s="44"/>
      <c r="AJ255" s="44"/>
      <c r="AK255" s="44"/>
      <c r="AL255" s="44"/>
      <c r="AM255" s="44"/>
      <c r="AN255" s="44"/>
      <c r="AO255" s="44"/>
      <c r="AP255" s="44"/>
      <c r="AR255" s="115"/>
    </row>
    <row r="256" spans="1:44" hidden="1" x14ac:dyDescent="0.25">
      <c r="A256" s="149" t="s">
        <v>133</v>
      </c>
      <c r="B256" s="169"/>
      <c r="C256" s="204">
        <v>84.1666666666667</v>
      </c>
      <c r="D256" s="212">
        <v>57</v>
      </c>
      <c r="E256" s="206" t="s">
        <v>89</v>
      </c>
      <c r="F256" s="111">
        <f>ROUND(D256*C256/100,0)</f>
        <v>48</v>
      </c>
      <c r="G256" s="212">
        <f>$G$182</f>
        <v>58</v>
      </c>
      <c r="H256" s="206" t="s">
        <v>89</v>
      </c>
      <c r="I256" s="111">
        <f>ROUND(G256*$C256/100,0)</f>
        <v>49</v>
      </c>
      <c r="J256" s="111"/>
      <c r="K256" s="212" t="str">
        <f>$K$182</f>
        <v xml:space="preserve"> </v>
      </c>
      <c r="L256" s="206" t="s">
        <v>89</v>
      </c>
      <c r="M256" s="111">
        <f>ROUND(K256*$C256/100,0)</f>
        <v>0</v>
      </c>
      <c r="N256" s="111"/>
      <c r="O256" s="212" t="e">
        <f>$O$182</f>
        <v>#DIV/0!</v>
      </c>
      <c r="P256" s="206" t="s">
        <v>89</v>
      </c>
      <c r="Q256" s="111" t="e">
        <f>ROUND(O256*$C256/100,0)</f>
        <v>#DIV/0!</v>
      </c>
      <c r="R256" s="111"/>
      <c r="S256" s="212" t="e">
        <f>$S$182</f>
        <v>#DIV/0!</v>
      </c>
      <c r="T256" s="206" t="s">
        <v>89</v>
      </c>
      <c r="U256" s="111" t="e">
        <f>ROUND(S256*$C256/100,0)</f>
        <v>#DIV/0!</v>
      </c>
      <c r="V256" s="44"/>
      <c r="W256" s="91"/>
      <c r="X256" s="91"/>
      <c r="Y256" s="91"/>
      <c r="Z256" s="44"/>
      <c r="AA256" s="44"/>
      <c r="AB256" s="44"/>
      <c r="AC256" s="44"/>
      <c r="AD256" s="44"/>
      <c r="AE256" s="44"/>
      <c r="AF256" s="44"/>
      <c r="AG256" s="44"/>
      <c r="AH256" s="44"/>
      <c r="AI256" s="44"/>
      <c r="AJ256" s="44"/>
      <c r="AK256" s="44"/>
      <c r="AL256" s="44"/>
      <c r="AM256" s="44"/>
      <c r="AN256" s="44"/>
      <c r="AO256" s="44"/>
      <c r="AP256" s="44"/>
      <c r="AR256" s="115"/>
    </row>
    <row r="257" spans="1:44" s="120" customFormat="1" hidden="1" x14ac:dyDescent="0.25">
      <c r="A257" s="119" t="s">
        <v>134</v>
      </c>
      <c r="C257" s="121">
        <f>C253</f>
        <v>12838882.284157982</v>
      </c>
      <c r="D257" s="128">
        <v>0</v>
      </c>
      <c r="E257" s="122"/>
      <c r="F257" s="123"/>
      <c r="G257" s="124">
        <f>G183</f>
        <v>0</v>
      </c>
      <c r="H257" s="215" t="s">
        <v>89</v>
      </c>
      <c r="I257" s="123">
        <f t="shared" ref="I257:I259" si="54">ROUND(G257*$C257/100,0)</f>
        <v>0</v>
      </c>
      <c r="J257" s="123"/>
      <c r="K257" s="124" t="str">
        <f>K183</f>
        <v xml:space="preserve"> </v>
      </c>
      <c r="L257" s="215" t="s">
        <v>89</v>
      </c>
      <c r="M257" s="123">
        <f t="shared" ref="M257:M259" si="55">ROUND(K257*$C257/100,0)</f>
        <v>0</v>
      </c>
      <c r="N257" s="123"/>
      <c r="O257" s="124" t="str">
        <f>O183</f>
        <v xml:space="preserve"> </v>
      </c>
      <c r="P257" s="215" t="s">
        <v>89</v>
      </c>
      <c r="Q257" s="123">
        <f t="shared" ref="Q257:Q259" si="56">ROUND(O257*$C257/100,0)</f>
        <v>0</v>
      </c>
      <c r="R257" s="123"/>
      <c r="S257" s="124">
        <f>S183</f>
        <v>0</v>
      </c>
      <c r="T257" s="215" t="s">
        <v>89</v>
      </c>
      <c r="U257" s="123">
        <f t="shared" ref="U257:U259" si="57">ROUND(S257*$C257/100,0)</f>
        <v>0</v>
      </c>
      <c r="W257" s="112"/>
      <c r="Z257" s="127"/>
      <c r="AA257" s="127"/>
      <c r="AF257" s="122"/>
      <c r="AG257" s="122"/>
      <c r="AH257" s="122"/>
      <c r="AI257" s="122"/>
      <c r="AJ257" s="122"/>
      <c r="AK257" s="122"/>
      <c r="AL257" s="122"/>
      <c r="AM257" s="122"/>
      <c r="AN257" s="122"/>
      <c r="AO257" s="122"/>
      <c r="AP257" s="122"/>
      <c r="AR257" s="126"/>
    </row>
    <row r="258" spans="1:44" s="120" customFormat="1" hidden="1" x14ac:dyDescent="0.25">
      <c r="A258" s="119" t="s">
        <v>135</v>
      </c>
      <c r="C258" s="121">
        <f>C254</f>
        <v>6928716.389879657</v>
      </c>
      <c r="D258" s="128">
        <v>0</v>
      </c>
      <c r="E258" s="122"/>
      <c r="F258" s="123"/>
      <c r="G258" s="124">
        <f>G184</f>
        <v>0</v>
      </c>
      <c r="H258" s="215" t="s">
        <v>89</v>
      </c>
      <c r="I258" s="123">
        <f t="shared" si="54"/>
        <v>0</v>
      </c>
      <c r="J258" s="123"/>
      <c r="K258" s="124" t="str">
        <f>K184</f>
        <v xml:space="preserve"> </v>
      </c>
      <c r="L258" s="215" t="s">
        <v>89</v>
      </c>
      <c r="M258" s="123">
        <f t="shared" si="55"/>
        <v>0</v>
      </c>
      <c r="N258" s="123"/>
      <c r="O258" s="124" t="str">
        <f>O184</f>
        <v xml:space="preserve"> </v>
      </c>
      <c r="P258" s="215" t="s">
        <v>89</v>
      </c>
      <c r="Q258" s="123">
        <f t="shared" si="56"/>
        <v>0</v>
      </c>
      <c r="R258" s="123"/>
      <c r="S258" s="124">
        <f>S184</f>
        <v>0</v>
      </c>
      <c r="T258" s="215" t="s">
        <v>89</v>
      </c>
      <c r="U258" s="123">
        <f t="shared" si="57"/>
        <v>0</v>
      </c>
      <c r="W258" s="112"/>
      <c r="Z258" s="127"/>
      <c r="AA258" s="127"/>
      <c r="AF258" s="122"/>
      <c r="AG258" s="122"/>
      <c r="AH258" s="122"/>
      <c r="AI258" s="122"/>
      <c r="AJ258" s="122"/>
      <c r="AK258" s="122"/>
      <c r="AL258" s="122"/>
      <c r="AM258" s="122"/>
      <c r="AN258" s="122"/>
      <c r="AO258" s="122"/>
      <c r="AP258" s="122"/>
      <c r="AR258" s="126"/>
    </row>
    <row r="259" spans="1:44" s="120" customFormat="1" hidden="1" x14ac:dyDescent="0.25">
      <c r="A259" s="119" t="s">
        <v>136</v>
      </c>
      <c r="C259" s="121">
        <f>C255</f>
        <v>1198686.3021607364</v>
      </c>
      <c r="D259" s="128">
        <v>0</v>
      </c>
      <c r="E259" s="122"/>
      <c r="F259" s="123"/>
      <c r="G259" s="124">
        <f>G185</f>
        <v>0</v>
      </c>
      <c r="H259" s="215" t="s">
        <v>89</v>
      </c>
      <c r="I259" s="123">
        <f t="shared" si="54"/>
        <v>0</v>
      </c>
      <c r="J259" s="123"/>
      <c r="K259" s="124" t="str">
        <f>K185</f>
        <v xml:space="preserve"> </v>
      </c>
      <c r="L259" s="215" t="s">
        <v>89</v>
      </c>
      <c r="M259" s="123">
        <f t="shared" si="55"/>
        <v>0</v>
      </c>
      <c r="N259" s="123"/>
      <c r="O259" s="124" t="str">
        <f>O185</f>
        <v xml:space="preserve"> </v>
      </c>
      <c r="P259" s="215" t="s">
        <v>89</v>
      </c>
      <c r="Q259" s="123">
        <f t="shared" si="56"/>
        <v>0</v>
      </c>
      <c r="R259" s="123"/>
      <c r="S259" s="124">
        <f>S185</f>
        <v>0</v>
      </c>
      <c r="T259" s="215" t="s">
        <v>89</v>
      </c>
      <c r="U259" s="123">
        <f t="shared" si="57"/>
        <v>0</v>
      </c>
      <c r="W259" s="112"/>
      <c r="Z259" s="127"/>
      <c r="AA259" s="127"/>
      <c r="AF259" s="122"/>
      <c r="AG259" s="122"/>
      <c r="AH259" s="122"/>
      <c r="AI259" s="122"/>
      <c r="AJ259" s="122"/>
      <c r="AK259" s="122"/>
      <c r="AL259" s="122"/>
      <c r="AM259" s="122"/>
      <c r="AN259" s="122"/>
      <c r="AO259" s="122"/>
      <c r="AP259" s="122"/>
      <c r="AR259" s="126"/>
    </row>
    <row r="260" spans="1:44" hidden="1" x14ac:dyDescent="0.25">
      <c r="A260" s="219" t="s">
        <v>140</v>
      </c>
      <c r="B260" s="169"/>
      <c r="C260" s="204"/>
      <c r="D260" s="220">
        <v>-0.01</v>
      </c>
      <c r="E260" s="206"/>
      <c r="F260" s="111"/>
      <c r="G260" s="220">
        <v>-0.01</v>
      </c>
      <c r="H260" s="206"/>
      <c r="I260" s="111"/>
      <c r="J260" s="111"/>
      <c r="K260" s="220">
        <v>-0.01</v>
      </c>
      <c r="L260" s="206"/>
      <c r="M260" s="111"/>
      <c r="N260" s="111"/>
      <c r="O260" s="220">
        <v>-0.01</v>
      </c>
      <c r="P260" s="206"/>
      <c r="Q260" s="111"/>
      <c r="R260" s="111"/>
      <c r="S260" s="220">
        <v>-0.01</v>
      </c>
      <c r="T260" s="206"/>
      <c r="U260" s="111"/>
      <c r="V260" s="44"/>
      <c r="W260" s="91"/>
      <c r="X260" s="91"/>
      <c r="Y260" s="91"/>
      <c r="Z260" s="44"/>
      <c r="AA260" s="44"/>
      <c r="AB260" s="44"/>
      <c r="AC260" s="44"/>
      <c r="AD260" s="44"/>
      <c r="AE260" s="44"/>
      <c r="AF260" s="44"/>
      <c r="AG260" s="44"/>
      <c r="AH260" s="44"/>
      <c r="AI260" s="44"/>
      <c r="AJ260" s="44"/>
      <c r="AK260" s="44"/>
      <c r="AL260" s="44"/>
      <c r="AM260" s="44"/>
      <c r="AN260" s="44"/>
      <c r="AO260" s="44"/>
      <c r="AP260" s="44"/>
      <c r="AR260" s="115"/>
    </row>
    <row r="261" spans="1:44" hidden="1" x14ac:dyDescent="0.25">
      <c r="A261" s="149" t="s">
        <v>124</v>
      </c>
      <c r="B261" s="149"/>
      <c r="C261" s="204">
        <v>0</v>
      </c>
      <c r="D261" s="222">
        <v>9.76</v>
      </c>
      <c r="E261" s="223"/>
      <c r="F261" s="111">
        <f>-ROUND(D261*$C261/100,0)</f>
        <v>0</v>
      </c>
      <c r="G261" s="222">
        <f>G248</f>
        <v>9.99</v>
      </c>
      <c r="H261" s="223"/>
      <c r="I261" s="111">
        <f>-ROUND(G261*$C261/100,0)</f>
        <v>0</v>
      </c>
      <c r="J261" s="111"/>
      <c r="K261" s="222">
        <f>K248</f>
        <v>9.76</v>
      </c>
      <c r="L261" s="223"/>
      <c r="M261" s="111">
        <f>-ROUND(K261*$C261/100,0)</f>
        <v>0</v>
      </c>
      <c r="N261" s="111"/>
      <c r="O261" s="222" t="str">
        <f>O248</f>
        <v xml:space="preserve"> </v>
      </c>
      <c r="P261" s="223"/>
      <c r="Q261" s="111">
        <f>-ROUND(O261*$C261/100,0)</f>
        <v>0</v>
      </c>
      <c r="R261" s="111"/>
      <c r="S261" s="222" t="str">
        <f>S248</f>
        <v xml:space="preserve"> </v>
      </c>
      <c r="T261" s="223"/>
      <c r="U261" s="111">
        <f>-ROUND(S261*$C261/100,0)</f>
        <v>0</v>
      </c>
      <c r="V261" s="44"/>
      <c r="W261" s="91"/>
      <c r="X261" s="91"/>
      <c r="Y261" s="91"/>
      <c r="Z261" s="44"/>
      <c r="AA261" s="44"/>
      <c r="AB261" s="44"/>
      <c r="AC261" s="44"/>
      <c r="AD261" s="44"/>
      <c r="AE261" s="44"/>
      <c r="AF261" s="44"/>
      <c r="AG261" s="44"/>
      <c r="AH261" s="44"/>
      <c r="AI261" s="44"/>
      <c r="AJ261" s="44"/>
      <c r="AK261" s="44"/>
      <c r="AL261" s="44"/>
      <c r="AM261" s="44"/>
      <c r="AN261" s="44"/>
      <c r="AO261" s="44"/>
      <c r="AP261" s="44"/>
      <c r="AR261" s="115"/>
    </row>
    <row r="262" spans="1:44" hidden="1" x14ac:dyDescent="0.25">
      <c r="A262" s="149" t="s">
        <v>125</v>
      </c>
      <c r="B262" s="149"/>
      <c r="C262" s="204">
        <v>9</v>
      </c>
      <c r="D262" s="222">
        <v>14.54</v>
      </c>
      <c r="E262" s="223"/>
      <c r="F262" s="111">
        <f t="shared" ref="F262:F264" si="58">-ROUND(D262*$C262/100,0)</f>
        <v>-1</v>
      </c>
      <c r="G262" s="222">
        <f>G249</f>
        <v>14.89</v>
      </c>
      <c r="H262" s="223"/>
      <c r="I262" s="111">
        <f>-ROUND(G262*$C262/100,0)</f>
        <v>-1</v>
      </c>
      <c r="J262" s="111"/>
      <c r="K262" s="222">
        <f>K249</f>
        <v>14.54</v>
      </c>
      <c r="L262" s="223"/>
      <c r="M262" s="111">
        <f>-ROUND(K262*$C262/100,0)</f>
        <v>-1</v>
      </c>
      <c r="N262" s="111"/>
      <c r="O262" s="222" t="str">
        <f>O249</f>
        <v xml:space="preserve"> </v>
      </c>
      <c r="P262" s="223"/>
      <c r="Q262" s="111">
        <f>-ROUND(O262*$C262/100,0)</f>
        <v>0</v>
      </c>
      <c r="R262" s="111"/>
      <c r="S262" s="222" t="str">
        <f>S249</f>
        <v xml:space="preserve"> </v>
      </c>
      <c r="T262" s="223"/>
      <c r="U262" s="111">
        <f>-ROUND(S262*$C262/100,0)</f>
        <v>0</v>
      </c>
      <c r="V262" s="44"/>
      <c r="W262" s="91"/>
      <c r="X262" s="91"/>
      <c r="Y262" s="91"/>
      <c r="Z262" s="44"/>
      <c r="AA262" s="44"/>
      <c r="AB262" s="44"/>
      <c r="AC262" s="44"/>
      <c r="AD262" s="44"/>
      <c r="AE262" s="44"/>
      <c r="AF262" s="44"/>
      <c r="AG262" s="44"/>
      <c r="AH262" s="44"/>
      <c r="AI262" s="44"/>
      <c r="AJ262" s="44"/>
      <c r="AK262" s="44"/>
      <c r="AL262" s="44"/>
      <c r="AM262" s="44"/>
      <c r="AN262" s="44"/>
      <c r="AO262" s="44"/>
      <c r="AP262" s="44"/>
      <c r="AR262" s="115"/>
    </row>
    <row r="263" spans="1:44" hidden="1" x14ac:dyDescent="0.25">
      <c r="A263" s="149" t="s">
        <v>141</v>
      </c>
      <c r="B263" s="149"/>
      <c r="C263" s="204">
        <v>0</v>
      </c>
      <c r="D263" s="222">
        <v>1.02</v>
      </c>
      <c r="E263" s="223"/>
      <c r="F263" s="111">
        <f t="shared" si="58"/>
        <v>0</v>
      </c>
      <c r="G263" s="222">
        <f>G250</f>
        <v>1.04</v>
      </c>
      <c r="H263" s="223"/>
      <c r="I263" s="111">
        <f>-ROUND(G263*$C263/100,0)</f>
        <v>0</v>
      </c>
      <c r="J263" s="111"/>
      <c r="K263" s="222">
        <f>K250</f>
        <v>1.02</v>
      </c>
      <c r="L263" s="223"/>
      <c r="M263" s="111">
        <f>-ROUND(K263*$C263/100,0)</f>
        <v>0</v>
      </c>
      <c r="N263" s="111"/>
      <c r="O263" s="222" t="str">
        <f>O250</f>
        <v xml:space="preserve"> </v>
      </c>
      <c r="P263" s="223"/>
      <c r="Q263" s="111">
        <f>-ROUND(O263*$C263/100,0)</f>
        <v>0</v>
      </c>
      <c r="R263" s="111"/>
      <c r="S263" s="222" t="str">
        <f>S250</f>
        <v xml:space="preserve"> </v>
      </c>
      <c r="T263" s="223"/>
      <c r="U263" s="111">
        <f>-ROUND(S263*$C263/100,0)</f>
        <v>0</v>
      </c>
      <c r="V263" s="44"/>
      <c r="W263" s="91"/>
      <c r="X263" s="91"/>
      <c r="Y263" s="91"/>
      <c r="Z263" s="44"/>
      <c r="AA263" s="44"/>
      <c r="AB263" s="44"/>
      <c r="AC263" s="44"/>
      <c r="AD263" s="44"/>
      <c r="AE263" s="44"/>
      <c r="AF263" s="44"/>
      <c r="AG263" s="44"/>
      <c r="AH263" s="44"/>
      <c r="AI263" s="44"/>
      <c r="AJ263" s="44"/>
      <c r="AK263" s="44"/>
      <c r="AL263" s="44"/>
      <c r="AM263" s="44"/>
      <c r="AN263" s="44"/>
      <c r="AO263" s="44"/>
      <c r="AP263" s="44"/>
      <c r="AR263" s="115"/>
    </row>
    <row r="264" spans="1:44" hidden="1" x14ac:dyDescent="0.25">
      <c r="A264" s="149" t="s">
        <v>149</v>
      </c>
      <c r="B264" s="149"/>
      <c r="C264" s="204">
        <f>0</f>
        <v>0</v>
      </c>
      <c r="D264" s="222">
        <v>3.7</v>
      </c>
      <c r="E264" s="206"/>
      <c r="F264" s="111">
        <f t="shared" si="58"/>
        <v>0</v>
      </c>
      <c r="G264" s="222">
        <f>G252</f>
        <v>3.8</v>
      </c>
      <c r="H264" s="206"/>
      <c r="I264" s="111">
        <f>-ROUND(G264*$C264/100,0)</f>
        <v>0</v>
      </c>
      <c r="J264" s="111"/>
      <c r="K264" s="222" t="e">
        <f>K252</f>
        <v>#REF!</v>
      </c>
      <c r="L264" s="206"/>
      <c r="M264" s="111" t="e">
        <f>-ROUND(K264*$C264/100,0)</f>
        <v>#REF!</v>
      </c>
      <c r="N264" s="111"/>
      <c r="O264" s="222" t="e">
        <f>O252</f>
        <v>#DIV/0!</v>
      </c>
      <c r="P264" s="206"/>
      <c r="Q264" s="111" t="e">
        <f>-ROUND(O264*$C264/100,0)</f>
        <v>#DIV/0!</v>
      </c>
      <c r="R264" s="111"/>
      <c r="S264" s="222" t="e">
        <f>S252</f>
        <v>#DIV/0!</v>
      </c>
      <c r="T264" s="206"/>
      <c r="U264" s="111" t="e">
        <f>-ROUND(S264*$C264/100,0)</f>
        <v>#DIV/0!</v>
      </c>
      <c r="V264" s="44"/>
      <c r="W264" s="91"/>
      <c r="X264" s="91"/>
      <c r="Y264" s="91"/>
      <c r="Z264" s="44"/>
      <c r="AA264" s="44"/>
      <c r="AB264" s="44"/>
      <c r="AC264" s="44"/>
      <c r="AD264" s="44"/>
      <c r="AE264" s="44"/>
      <c r="AF264" s="44"/>
      <c r="AG264" s="44"/>
      <c r="AH264" s="44"/>
      <c r="AI264" s="44"/>
      <c r="AJ264" s="44"/>
      <c r="AK264" s="44"/>
      <c r="AL264" s="44"/>
      <c r="AM264" s="44"/>
      <c r="AN264" s="44"/>
      <c r="AO264" s="44"/>
      <c r="AP264" s="44"/>
      <c r="AR264" s="115"/>
    </row>
    <row r="265" spans="1:44" hidden="1" x14ac:dyDescent="0.25">
      <c r="A265" s="149" t="s">
        <v>143</v>
      </c>
      <c r="B265" s="149"/>
      <c r="C265" s="204">
        <v>0</v>
      </c>
      <c r="D265" s="224">
        <v>10.628</v>
      </c>
      <c r="E265" s="206" t="s">
        <v>89</v>
      </c>
      <c r="F265" s="111">
        <f>ROUND(D265*$C265/100*D260,0)</f>
        <v>0</v>
      </c>
      <c r="G265" s="224">
        <f>G253</f>
        <v>10.878</v>
      </c>
      <c r="H265" s="206" t="s">
        <v>89</v>
      </c>
      <c r="I265" s="111">
        <f>ROUND(G265*$C265/100*G260,0)</f>
        <v>0</v>
      </c>
      <c r="J265" s="111"/>
      <c r="K265" s="224" t="e">
        <f>K253</f>
        <v>#REF!</v>
      </c>
      <c r="L265" s="206" t="s">
        <v>89</v>
      </c>
      <c r="M265" s="111" t="e">
        <f>ROUND(K265*$C265/100*K260,0)</f>
        <v>#REF!</v>
      </c>
      <c r="N265" s="111"/>
      <c r="O265" s="224" t="e">
        <f>O253</f>
        <v>#DIV/0!</v>
      </c>
      <c r="P265" s="206" t="s">
        <v>89</v>
      </c>
      <c r="Q265" s="111" t="e">
        <f>ROUND(O265*$C265/100*O260,0)</f>
        <v>#DIV/0!</v>
      </c>
      <c r="R265" s="111"/>
      <c r="S265" s="224" t="e">
        <f>S253</f>
        <v>#DIV/0!</v>
      </c>
      <c r="T265" s="206" t="s">
        <v>89</v>
      </c>
      <c r="U265" s="111" t="e">
        <f>ROUND(S265*$C265/100*S260,0)</f>
        <v>#DIV/0!</v>
      </c>
      <c r="V265" s="44"/>
      <c r="W265" s="91"/>
      <c r="X265" s="91"/>
      <c r="Y265" s="91"/>
      <c r="Z265" s="44"/>
      <c r="AA265" s="44"/>
      <c r="AB265" s="44"/>
      <c r="AC265" s="44"/>
      <c r="AD265" s="44"/>
      <c r="AE265" s="44"/>
      <c r="AF265" s="44"/>
      <c r="AG265" s="44"/>
      <c r="AH265" s="44"/>
      <c r="AI265" s="44"/>
      <c r="AJ265" s="44"/>
      <c r="AK265" s="44"/>
      <c r="AL265" s="44"/>
      <c r="AM265" s="44"/>
      <c r="AN265" s="44"/>
      <c r="AO265" s="44"/>
      <c r="AP265" s="44"/>
      <c r="AR265" s="115"/>
    </row>
    <row r="266" spans="1:44" hidden="1" x14ac:dyDescent="0.25">
      <c r="A266" s="149" t="s">
        <v>131</v>
      </c>
      <c r="B266" s="149"/>
      <c r="C266" s="204">
        <v>0</v>
      </c>
      <c r="D266" s="224">
        <v>7.3410000000000002</v>
      </c>
      <c r="E266" s="206" t="s">
        <v>89</v>
      </c>
      <c r="F266" s="111">
        <f>ROUND(D266*$C266/100*D260,0)</f>
        <v>0</v>
      </c>
      <c r="G266" s="224">
        <f>G254</f>
        <v>7.5140000000000002</v>
      </c>
      <c r="H266" s="206" t="s">
        <v>89</v>
      </c>
      <c r="I266" s="111">
        <f>ROUND(G266*$C266/100*G260,0)</f>
        <v>0</v>
      </c>
      <c r="J266" s="111"/>
      <c r="K266" s="224" t="e">
        <f>K254</f>
        <v>#REF!</v>
      </c>
      <c r="L266" s="206" t="s">
        <v>89</v>
      </c>
      <c r="M266" s="111" t="e">
        <f>ROUND(K266*$C266/100*K260,0)</f>
        <v>#REF!</v>
      </c>
      <c r="N266" s="111"/>
      <c r="O266" s="224" t="e">
        <f>O254</f>
        <v>#DIV/0!</v>
      </c>
      <c r="P266" s="206" t="s">
        <v>89</v>
      </c>
      <c r="Q266" s="111" t="e">
        <f>ROUND(O266*$C266/100*O260,0)</f>
        <v>#DIV/0!</v>
      </c>
      <c r="R266" s="111"/>
      <c r="S266" s="224" t="e">
        <f>S254</f>
        <v>#DIV/0!</v>
      </c>
      <c r="T266" s="206" t="s">
        <v>89</v>
      </c>
      <c r="U266" s="111" t="e">
        <f>ROUND(S266*$C266/100*S260,0)</f>
        <v>#DIV/0!</v>
      </c>
      <c r="V266" s="44"/>
      <c r="W266" s="91"/>
      <c r="X266" s="91"/>
      <c r="Y266" s="91"/>
      <c r="Z266" s="44"/>
      <c r="AA266" s="44"/>
      <c r="AB266" s="44"/>
      <c r="AC266" s="44"/>
      <c r="AD266" s="44"/>
      <c r="AE266" s="44"/>
      <c r="AF266" s="44"/>
      <c r="AG266" s="44"/>
      <c r="AH266" s="44"/>
      <c r="AI266" s="44"/>
      <c r="AJ266" s="44"/>
      <c r="AK266" s="44"/>
      <c r="AL266" s="44"/>
      <c r="AM266" s="44"/>
      <c r="AN266" s="44"/>
      <c r="AO266" s="44"/>
      <c r="AP266" s="44"/>
      <c r="AR266" s="115"/>
    </row>
    <row r="267" spans="1:44" hidden="1" x14ac:dyDescent="0.25">
      <c r="A267" s="149" t="s">
        <v>132</v>
      </c>
      <c r="B267" s="149"/>
      <c r="C267" s="204">
        <v>0</v>
      </c>
      <c r="D267" s="224">
        <v>6.3240000000000007</v>
      </c>
      <c r="E267" s="206" t="s">
        <v>89</v>
      </c>
      <c r="F267" s="111">
        <f>ROUND(D267*$C267/100*D260,0)</f>
        <v>0</v>
      </c>
      <c r="G267" s="224">
        <f>G255</f>
        <v>6.4720000000000004</v>
      </c>
      <c r="H267" s="206" t="s">
        <v>89</v>
      </c>
      <c r="I267" s="111">
        <f>ROUND(G267*$C267/100*G260,0)</f>
        <v>0</v>
      </c>
      <c r="J267" s="111"/>
      <c r="K267" s="224" t="e">
        <f>K255</f>
        <v>#REF!</v>
      </c>
      <c r="L267" s="206" t="s">
        <v>89</v>
      </c>
      <c r="M267" s="111" t="e">
        <f>ROUND(K267*$C267/100*K260,0)</f>
        <v>#REF!</v>
      </c>
      <c r="N267" s="111"/>
      <c r="O267" s="224" t="e">
        <f>O255</f>
        <v>#DIV/0!</v>
      </c>
      <c r="P267" s="206" t="s">
        <v>89</v>
      </c>
      <c r="Q267" s="111" t="e">
        <f>ROUND(O267*$C267/100*O260,0)</f>
        <v>#DIV/0!</v>
      </c>
      <c r="R267" s="111"/>
      <c r="S267" s="224" t="e">
        <f>S255</f>
        <v>#DIV/0!</v>
      </c>
      <c r="T267" s="206" t="s">
        <v>89</v>
      </c>
      <c r="U267" s="111" t="e">
        <f>ROUND(S267*$C267/100*S260,0)</f>
        <v>#DIV/0!</v>
      </c>
      <c r="V267" s="44"/>
      <c r="W267" s="91"/>
      <c r="X267" s="91"/>
      <c r="Y267" s="91"/>
      <c r="Z267" s="44"/>
      <c r="AA267" s="44"/>
      <c r="AB267" s="44"/>
      <c r="AC267" s="44"/>
      <c r="AD267" s="44"/>
      <c r="AE267" s="44"/>
      <c r="AF267" s="44"/>
      <c r="AG267" s="44"/>
      <c r="AH267" s="44"/>
      <c r="AI267" s="44"/>
      <c r="AJ267" s="44"/>
      <c r="AK267" s="44"/>
      <c r="AL267" s="44"/>
      <c r="AM267" s="44"/>
      <c r="AN267" s="44"/>
      <c r="AO267" s="44"/>
      <c r="AP267" s="44"/>
      <c r="AR267" s="115"/>
    </row>
    <row r="268" spans="1:44" hidden="1" x14ac:dyDescent="0.25">
      <c r="A268" s="149" t="s">
        <v>133</v>
      </c>
      <c r="B268" s="149"/>
      <c r="C268" s="204">
        <v>0</v>
      </c>
      <c r="D268" s="225">
        <v>57</v>
      </c>
      <c r="E268" s="206" t="s">
        <v>89</v>
      </c>
      <c r="F268" s="111">
        <f>ROUND(D268*$C268/100*D260,0)</f>
        <v>0</v>
      </c>
      <c r="G268" s="225">
        <f>G256</f>
        <v>58</v>
      </c>
      <c r="H268" s="206" t="s">
        <v>89</v>
      </c>
      <c r="I268" s="111">
        <f>ROUND(G268*$C268/100*G260,0)</f>
        <v>0</v>
      </c>
      <c r="J268" s="111"/>
      <c r="K268" s="225" t="str">
        <f>K256</f>
        <v xml:space="preserve"> </v>
      </c>
      <c r="L268" s="206" t="s">
        <v>89</v>
      </c>
      <c r="M268" s="111">
        <f>ROUND(K268*$C268/100*K260,0)</f>
        <v>0</v>
      </c>
      <c r="N268" s="111"/>
      <c r="O268" s="225" t="e">
        <f>O256</f>
        <v>#DIV/0!</v>
      </c>
      <c r="P268" s="206" t="s">
        <v>89</v>
      </c>
      <c r="Q268" s="111" t="e">
        <f>ROUND(O268*$C268/100*O260,0)</f>
        <v>#DIV/0!</v>
      </c>
      <c r="R268" s="111"/>
      <c r="S268" s="225" t="e">
        <f>S256</f>
        <v>#DIV/0!</v>
      </c>
      <c r="T268" s="206" t="s">
        <v>89</v>
      </c>
      <c r="U268" s="111" t="e">
        <f>ROUND(S268*$C268/100*S260,0)</f>
        <v>#DIV/0!</v>
      </c>
      <c r="V268" s="44"/>
      <c r="W268" s="91"/>
      <c r="X268" s="91"/>
      <c r="Y268" s="91"/>
      <c r="Z268" s="44"/>
      <c r="AA268" s="44"/>
      <c r="AB268" s="44"/>
      <c r="AC268" s="44"/>
      <c r="AD268" s="44"/>
      <c r="AE268" s="44"/>
      <c r="AF268" s="44"/>
      <c r="AG268" s="44"/>
      <c r="AH268" s="44"/>
      <c r="AI268" s="44"/>
      <c r="AJ268" s="44"/>
      <c r="AK268" s="44"/>
      <c r="AL268" s="44"/>
      <c r="AM268" s="44"/>
      <c r="AN268" s="44"/>
      <c r="AO268" s="44"/>
      <c r="AP268" s="44"/>
      <c r="AR268" s="115"/>
    </row>
    <row r="269" spans="1:44" hidden="1" x14ac:dyDescent="0.25">
      <c r="A269" s="149" t="s">
        <v>144</v>
      </c>
      <c r="B269" s="149"/>
      <c r="C269" s="204">
        <v>0</v>
      </c>
      <c r="D269" s="226">
        <v>60</v>
      </c>
      <c r="E269" s="206"/>
      <c r="F269" s="111">
        <f>ROUND(D269*C269,0)</f>
        <v>0</v>
      </c>
      <c r="G269" s="226">
        <f>$G$198</f>
        <v>60</v>
      </c>
      <c r="H269" s="206"/>
      <c r="I269" s="111">
        <f>ROUND(G269*$C269,0)</f>
        <v>0</v>
      </c>
      <c r="J269" s="111"/>
      <c r="K269" s="226" t="str">
        <f>$K$198</f>
        <v xml:space="preserve"> </v>
      </c>
      <c r="L269" s="206"/>
      <c r="M269" s="111">
        <f>ROUND(K269*$C269,0)</f>
        <v>0</v>
      </c>
      <c r="N269" s="111"/>
      <c r="O269" s="226" t="e">
        <f>$O$198</f>
        <v>#DIV/0!</v>
      </c>
      <c r="P269" s="206"/>
      <c r="Q269" s="111" t="e">
        <f>ROUND(O269*$C269,0)</f>
        <v>#DIV/0!</v>
      </c>
      <c r="R269" s="111"/>
      <c r="S269" s="226" t="e">
        <f>$S$198</f>
        <v>#DIV/0!</v>
      </c>
      <c r="T269" s="206"/>
      <c r="U269" s="111" t="e">
        <f>ROUND(S269*$C269,0)</f>
        <v>#DIV/0!</v>
      </c>
      <c r="V269" s="44"/>
      <c r="W269" s="91"/>
      <c r="X269" s="91"/>
      <c r="Y269" s="91"/>
      <c r="Z269" s="44"/>
      <c r="AA269" s="44"/>
      <c r="AB269" s="44"/>
      <c r="AC269" s="44"/>
      <c r="AD269" s="44"/>
      <c r="AE269" s="44"/>
      <c r="AF269" s="44"/>
      <c r="AG269" s="44"/>
      <c r="AH269" s="44"/>
      <c r="AI269" s="44"/>
      <c r="AJ269" s="44"/>
      <c r="AK269" s="44"/>
      <c r="AL269" s="44"/>
      <c r="AM269" s="44"/>
      <c r="AN269" s="44"/>
      <c r="AO269" s="44"/>
      <c r="AP269" s="44"/>
      <c r="AR269" s="115"/>
    </row>
    <row r="270" spans="1:44" hidden="1" x14ac:dyDescent="0.25">
      <c r="A270" s="149" t="s">
        <v>145</v>
      </c>
      <c r="B270" s="149"/>
      <c r="C270" s="204">
        <v>0</v>
      </c>
      <c r="D270" s="227">
        <v>-30</v>
      </c>
      <c r="E270" s="206" t="s">
        <v>89</v>
      </c>
      <c r="F270" s="111">
        <f>ROUND(D270*C270/100,0)</f>
        <v>0</v>
      </c>
      <c r="G270" s="227">
        <f>$G$199</f>
        <v>-30</v>
      </c>
      <c r="H270" s="206" t="s">
        <v>89</v>
      </c>
      <c r="I270" s="111">
        <f>ROUND(G270*$C270/100,0)</f>
        <v>0</v>
      </c>
      <c r="J270" s="111"/>
      <c r="K270" s="227">
        <f>$K$199</f>
        <v>-30</v>
      </c>
      <c r="L270" s="206" t="s">
        <v>89</v>
      </c>
      <c r="M270" s="111">
        <f>ROUND(K270*$C270/100,0)</f>
        <v>0</v>
      </c>
      <c r="N270" s="111"/>
      <c r="O270" s="227" t="str">
        <f>$O$199</f>
        <v xml:space="preserve"> </v>
      </c>
      <c r="P270" s="206" t="s">
        <v>89</v>
      </c>
      <c r="Q270" s="111">
        <f>ROUND(O270*$C270/100,0)</f>
        <v>0</v>
      </c>
      <c r="R270" s="111"/>
      <c r="S270" s="227" t="str">
        <f>$S$199</f>
        <v xml:space="preserve"> </v>
      </c>
      <c r="T270" s="206" t="s">
        <v>89</v>
      </c>
      <c r="U270" s="111">
        <f>ROUND(S270*$C270/100,0)</f>
        <v>0</v>
      </c>
      <c r="V270" s="44"/>
      <c r="W270" s="91"/>
      <c r="X270" s="91"/>
      <c r="Y270" s="91"/>
      <c r="Z270" s="44"/>
      <c r="AA270" s="44"/>
      <c r="AB270" s="44"/>
      <c r="AC270" s="44"/>
      <c r="AD270" s="44"/>
      <c r="AE270" s="44"/>
      <c r="AF270" s="44"/>
      <c r="AG270" s="44"/>
      <c r="AH270" s="44"/>
      <c r="AI270" s="44"/>
      <c r="AJ270" s="44"/>
      <c r="AK270" s="44"/>
      <c r="AL270" s="44"/>
      <c r="AM270" s="44"/>
      <c r="AN270" s="44"/>
      <c r="AO270" s="44"/>
      <c r="AP270" s="44"/>
      <c r="AR270" s="115"/>
    </row>
    <row r="271" spans="1:44" s="120" customFormat="1" hidden="1" x14ac:dyDescent="0.25">
      <c r="A271" s="119" t="s">
        <v>134</v>
      </c>
      <c r="C271" s="121">
        <f>C253</f>
        <v>12838882.284157982</v>
      </c>
      <c r="D271" s="128">
        <v>0</v>
      </c>
      <c r="E271" s="122"/>
      <c r="F271" s="123"/>
      <c r="G271" s="124">
        <f>G183</f>
        <v>0</v>
      </c>
      <c r="H271" s="215" t="s">
        <v>89</v>
      </c>
      <c r="I271" s="123">
        <f>ROUND(G271*$C271/100*G260,0)</f>
        <v>0</v>
      </c>
      <c r="J271" s="123"/>
      <c r="K271" s="124" t="str">
        <f>K183</f>
        <v xml:space="preserve"> </v>
      </c>
      <c r="L271" s="215" t="s">
        <v>89</v>
      </c>
      <c r="M271" s="123">
        <f>ROUND(K271*$C271/100*K260,0)</f>
        <v>0</v>
      </c>
      <c r="N271" s="123"/>
      <c r="O271" s="124" t="str">
        <f>O183</f>
        <v xml:space="preserve"> </v>
      </c>
      <c r="P271" s="215" t="s">
        <v>89</v>
      </c>
      <c r="Q271" s="123">
        <f>ROUND(O271*$C271/100*O260,0)</f>
        <v>0</v>
      </c>
      <c r="R271" s="123"/>
      <c r="S271" s="124">
        <f>S183</f>
        <v>0</v>
      </c>
      <c r="T271" s="215" t="s">
        <v>89</v>
      </c>
      <c r="U271" s="123">
        <f>ROUND(S271*$C271/100*S260,0)</f>
        <v>0</v>
      </c>
      <c r="W271" s="112"/>
      <c r="Z271" s="127"/>
      <c r="AA271" s="127"/>
      <c r="AF271" s="122"/>
      <c r="AG271" s="122"/>
      <c r="AH271" s="122"/>
      <c r="AI271" s="122"/>
      <c r="AJ271" s="122"/>
      <c r="AK271" s="122"/>
      <c r="AL271" s="122"/>
      <c r="AM271" s="122"/>
      <c r="AN271" s="122"/>
      <c r="AO271" s="122"/>
      <c r="AP271" s="122"/>
      <c r="AR271" s="126"/>
    </row>
    <row r="272" spans="1:44" s="120" customFormat="1" hidden="1" x14ac:dyDescent="0.25">
      <c r="A272" s="119" t="s">
        <v>135</v>
      </c>
      <c r="C272" s="121">
        <f>C254</f>
        <v>6928716.389879657</v>
      </c>
      <c r="D272" s="128">
        <v>0</v>
      </c>
      <c r="E272" s="122"/>
      <c r="F272" s="123"/>
      <c r="G272" s="124">
        <f>G184</f>
        <v>0</v>
      </c>
      <c r="H272" s="215" t="s">
        <v>89</v>
      </c>
      <c r="I272" s="123">
        <f>ROUND(G272*$C272/100*G260,0)</f>
        <v>0</v>
      </c>
      <c r="J272" s="123"/>
      <c r="K272" s="124" t="str">
        <f>K184</f>
        <v xml:space="preserve"> </v>
      </c>
      <c r="L272" s="215" t="s">
        <v>89</v>
      </c>
      <c r="M272" s="123">
        <f>ROUND(K272*$C272/100*K260,0)</f>
        <v>0</v>
      </c>
      <c r="N272" s="123"/>
      <c r="O272" s="124" t="str">
        <f>O184</f>
        <v xml:space="preserve"> </v>
      </c>
      <c r="P272" s="215" t="s">
        <v>89</v>
      </c>
      <c r="Q272" s="123">
        <f>ROUND(O272*$C272/100*O260,0)</f>
        <v>0</v>
      </c>
      <c r="R272" s="123"/>
      <c r="S272" s="124">
        <f>S184</f>
        <v>0</v>
      </c>
      <c r="T272" s="215" t="s">
        <v>89</v>
      </c>
      <c r="U272" s="123">
        <f>ROUND(S272*$C272/100*S260,0)</f>
        <v>0</v>
      </c>
      <c r="W272" s="112"/>
      <c r="Z272" s="127"/>
      <c r="AA272" s="127"/>
      <c r="AF272" s="122"/>
      <c r="AG272" s="122"/>
      <c r="AH272" s="122"/>
      <c r="AI272" s="122"/>
      <c r="AJ272" s="122"/>
      <c r="AK272" s="122"/>
      <c r="AL272" s="122"/>
      <c r="AM272" s="122"/>
      <c r="AN272" s="122"/>
      <c r="AO272" s="122"/>
      <c r="AP272" s="122"/>
      <c r="AR272" s="126"/>
    </row>
    <row r="273" spans="1:44" s="120" customFormat="1" hidden="1" x14ac:dyDescent="0.25">
      <c r="A273" s="119" t="s">
        <v>136</v>
      </c>
      <c r="C273" s="121">
        <f>C255</f>
        <v>1198686.3021607364</v>
      </c>
      <c r="D273" s="128">
        <v>0</v>
      </c>
      <c r="E273" s="122"/>
      <c r="F273" s="123"/>
      <c r="G273" s="124">
        <f>G185</f>
        <v>0</v>
      </c>
      <c r="H273" s="215" t="s">
        <v>89</v>
      </c>
      <c r="I273" s="123">
        <f>ROUND(G273*$C273/100*G260,0)</f>
        <v>0</v>
      </c>
      <c r="J273" s="123"/>
      <c r="K273" s="124" t="str">
        <f>K185</f>
        <v xml:space="preserve"> </v>
      </c>
      <c r="L273" s="215" t="s">
        <v>89</v>
      </c>
      <c r="M273" s="123">
        <f>ROUND(K273*$C273/100*K260,0)</f>
        <v>0</v>
      </c>
      <c r="N273" s="123"/>
      <c r="O273" s="124" t="str">
        <f>O185</f>
        <v xml:space="preserve"> </v>
      </c>
      <c r="P273" s="215" t="s">
        <v>89</v>
      </c>
      <c r="Q273" s="123">
        <f>ROUND(O273*$C273/100*O260,0)</f>
        <v>0</v>
      </c>
      <c r="R273" s="123"/>
      <c r="S273" s="124">
        <f>S185</f>
        <v>0</v>
      </c>
      <c r="T273" s="215" t="s">
        <v>89</v>
      </c>
      <c r="U273" s="123">
        <f>ROUND(S273*$C273/100*S260,0)</f>
        <v>0</v>
      </c>
      <c r="W273" s="112"/>
      <c r="Z273" s="127"/>
      <c r="AA273" s="127"/>
      <c r="AF273" s="122"/>
      <c r="AG273" s="122"/>
      <c r="AH273" s="122"/>
      <c r="AI273" s="122"/>
      <c r="AJ273" s="122"/>
      <c r="AK273" s="122"/>
      <c r="AL273" s="122"/>
      <c r="AM273" s="122"/>
      <c r="AN273" s="122"/>
      <c r="AO273" s="122"/>
      <c r="AP273" s="122"/>
      <c r="AR273" s="126"/>
    </row>
    <row r="274" spans="1:44" hidden="1" x14ac:dyDescent="0.25">
      <c r="A274" s="149" t="s">
        <v>114</v>
      </c>
      <c r="B274" s="190"/>
      <c r="C274" s="204">
        <f>SUM(C253:C255)</f>
        <v>20966284.976198375</v>
      </c>
      <c r="D274" s="212"/>
      <c r="E274" s="206"/>
      <c r="F274" s="111">
        <f>SUM(F248:F270)</f>
        <v>2447470</v>
      </c>
      <c r="G274" s="212"/>
      <c r="H274" s="206"/>
      <c r="I274" s="111">
        <f>SUM(I248:I273)</f>
        <v>2505212</v>
      </c>
      <c r="J274" s="111"/>
      <c r="K274" s="212"/>
      <c r="L274" s="206"/>
      <c r="M274" s="111" t="e">
        <f>SUM(M248:M273)</f>
        <v>#REF!</v>
      </c>
      <c r="N274" s="111"/>
      <c r="O274" s="212"/>
      <c r="P274" s="206"/>
      <c r="Q274" s="111" t="e">
        <f>SUM(Q248:Q273)</f>
        <v>#DIV/0!</v>
      </c>
      <c r="R274" s="111"/>
      <c r="S274" s="212"/>
      <c r="T274" s="206"/>
      <c r="U274" s="111" t="e">
        <f>SUM(U248:U273)</f>
        <v>#DIV/0!</v>
      </c>
      <c r="V274" s="146"/>
      <c r="W274" s="91"/>
      <c r="X274" s="91"/>
      <c r="Y274" s="91"/>
      <c r="Z274" s="44"/>
      <c r="AA274" s="44"/>
      <c r="AB274" s="44"/>
      <c r="AC274" s="44"/>
      <c r="AD274" s="44"/>
      <c r="AE274" s="44"/>
      <c r="AF274" s="44"/>
      <c r="AG274" s="44"/>
      <c r="AH274" s="44"/>
      <c r="AI274" s="44"/>
      <c r="AJ274" s="44"/>
      <c r="AK274" s="44"/>
      <c r="AL274" s="44"/>
      <c r="AM274" s="44"/>
      <c r="AN274" s="44"/>
      <c r="AO274" s="44"/>
      <c r="AP274" s="44"/>
      <c r="AR274" s="115"/>
    </row>
    <row r="275" spans="1:44" hidden="1" x14ac:dyDescent="0.25">
      <c r="A275" s="149" t="s">
        <v>92</v>
      </c>
      <c r="B275" s="149"/>
      <c r="C275" s="248">
        <v>278028.18415744783</v>
      </c>
      <c r="D275" s="134"/>
      <c r="E275" s="134"/>
      <c r="F275" s="230">
        <v>35708.181559390563</v>
      </c>
      <c r="G275" s="134"/>
      <c r="H275" s="134"/>
      <c r="I275" s="230">
        <f>F275</f>
        <v>35708.181559390563</v>
      </c>
      <c r="J275" s="207"/>
      <c r="K275" s="134"/>
      <c r="L275" s="134"/>
      <c r="M275" s="230" t="e">
        <f>M204/I204*I275</f>
        <v>#DIV/0!</v>
      </c>
      <c r="N275" s="207"/>
      <c r="O275" s="134"/>
      <c r="P275" s="134"/>
      <c r="Q275" s="230" t="e">
        <f>Q204/I204*I275</f>
        <v>#DIV/0!</v>
      </c>
      <c r="R275" s="207"/>
      <c r="S275" s="134"/>
      <c r="T275" s="134"/>
      <c r="U275" s="230" t="e">
        <f>U204/I204*I275</f>
        <v>#DIV/0!</v>
      </c>
      <c r="V275" s="165"/>
      <c r="W275" s="163"/>
      <c r="X275" s="91"/>
      <c r="Y275" s="91"/>
      <c r="Z275" s="44"/>
      <c r="AA275" s="44"/>
      <c r="AB275" s="44"/>
      <c r="AC275" s="44"/>
      <c r="AD275" s="44"/>
      <c r="AE275" s="44"/>
      <c r="AF275" s="44"/>
      <c r="AG275" s="44"/>
      <c r="AH275" s="44"/>
      <c r="AI275" s="44"/>
      <c r="AJ275" s="44"/>
      <c r="AK275" s="44"/>
      <c r="AL275" s="44"/>
      <c r="AM275" s="44"/>
      <c r="AN275" s="44"/>
      <c r="AO275" s="44"/>
      <c r="AP275" s="44"/>
      <c r="AR275" s="115"/>
    </row>
    <row r="276" spans="1:44" ht="16.5" hidden="1" thickBot="1" x14ac:dyDescent="0.3">
      <c r="A276" s="149" t="s">
        <v>115</v>
      </c>
      <c r="B276" s="149"/>
      <c r="C276" s="192">
        <f>SUM(C274:C275)</f>
        <v>21244313.160355821</v>
      </c>
      <c r="D276" s="245"/>
      <c r="E276" s="232"/>
      <c r="F276" s="233">
        <f>F274+F275</f>
        <v>2483178.1815593904</v>
      </c>
      <c r="G276" s="245"/>
      <c r="H276" s="232"/>
      <c r="I276" s="233">
        <f>I274+I275</f>
        <v>2540920.1815593904</v>
      </c>
      <c r="J276" s="207"/>
      <c r="K276" s="245"/>
      <c r="L276" s="232"/>
      <c r="M276" s="233" t="e">
        <f>M274+M275</f>
        <v>#REF!</v>
      </c>
      <c r="N276" s="233"/>
      <c r="O276" s="245"/>
      <c r="P276" s="232"/>
      <c r="Q276" s="233" t="e">
        <f>Q274+Q275</f>
        <v>#DIV/0!</v>
      </c>
      <c r="R276" s="233"/>
      <c r="S276" s="245"/>
      <c r="T276" s="232"/>
      <c r="U276" s="233" t="e">
        <f>U274+U275</f>
        <v>#DIV/0!</v>
      </c>
      <c r="V276" s="166"/>
      <c r="W276" s="167"/>
      <c r="X276" s="91"/>
      <c r="Y276" s="91"/>
      <c r="Z276" s="44"/>
      <c r="AA276" s="44"/>
      <c r="AB276" s="44"/>
      <c r="AC276" s="44"/>
      <c r="AD276" s="44"/>
      <c r="AE276" s="44"/>
      <c r="AF276" s="44"/>
      <c r="AG276" s="44"/>
      <c r="AH276" s="44"/>
      <c r="AI276" s="44"/>
      <c r="AJ276" s="44"/>
      <c r="AK276" s="44"/>
      <c r="AL276" s="44"/>
      <c r="AM276" s="44"/>
      <c r="AN276" s="44"/>
      <c r="AO276" s="44"/>
      <c r="AP276" s="44"/>
      <c r="AR276" s="115"/>
    </row>
    <row r="277" spans="1:44" hidden="1" x14ac:dyDescent="0.25">
      <c r="A277" s="149"/>
      <c r="B277" s="149"/>
      <c r="C277" s="169"/>
      <c r="D277" s="226"/>
      <c r="E277" s="149"/>
      <c r="F277" s="111"/>
      <c r="G277" s="226"/>
      <c r="H277" s="149"/>
      <c r="I277" s="111" t="s">
        <v>0</v>
      </c>
      <c r="J277" s="111"/>
      <c r="K277" s="226"/>
      <c r="L277" s="149"/>
      <c r="M277" s="111" t="s">
        <v>0</v>
      </c>
      <c r="N277" s="111"/>
      <c r="O277" s="226"/>
      <c r="P277" s="149"/>
      <c r="Q277" s="111" t="s">
        <v>0</v>
      </c>
      <c r="R277" s="111"/>
      <c r="S277" s="226"/>
      <c r="T277" s="149"/>
      <c r="U277" s="111" t="s">
        <v>0</v>
      </c>
      <c r="V277" s="44"/>
      <c r="W277" s="91"/>
      <c r="X277" s="91"/>
      <c r="Y277" s="91"/>
      <c r="Z277" s="44"/>
      <c r="AA277" s="44"/>
      <c r="AB277" s="44"/>
      <c r="AC277" s="44"/>
      <c r="AD277" s="44"/>
      <c r="AE277" s="44"/>
      <c r="AF277" s="44"/>
      <c r="AG277" s="44"/>
      <c r="AH277" s="44"/>
      <c r="AI277" s="44"/>
      <c r="AJ277" s="44"/>
      <c r="AK277" s="44"/>
      <c r="AL277" s="44"/>
      <c r="AM277" s="44"/>
      <c r="AN277" s="44"/>
      <c r="AO277" s="44"/>
      <c r="AP277" s="44"/>
      <c r="AR277" s="115"/>
    </row>
    <row r="278" spans="1:44" hidden="1" x14ac:dyDescent="0.25">
      <c r="A278" s="149"/>
      <c r="B278" s="149"/>
      <c r="C278" s="169"/>
      <c r="D278" s="226"/>
      <c r="E278" s="149"/>
      <c r="F278" s="111"/>
      <c r="G278" s="226"/>
      <c r="H278" s="149"/>
      <c r="I278" s="111" t="s">
        <v>0</v>
      </c>
      <c r="J278" s="111"/>
      <c r="K278" s="226"/>
      <c r="L278" s="149"/>
      <c r="M278" s="111" t="s">
        <v>0</v>
      </c>
      <c r="N278" s="111"/>
      <c r="O278" s="226"/>
      <c r="P278" s="149"/>
      <c r="Q278" s="111" t="s">
        <v>0</v>
      </c>
      <c r="R278" s="111"/>
      <c r="S278" s="226"/>
      <c r="T278" s="149"/>
      <c r="U278" s="111" t="s">
        <v>0</v>
      </c>
      <c r="V278" s="44"/>
      <c r="W278" s="91"/>
      <c r="X278" s="91"/>
      <c r="Y278" s="91"/>
      <c r="Z278" s="44"/>
      <c r="AA278" s="44"/>
      <c r="AB278" s="44"/>
      <c r="AC278" s="44"/>
      <c r="AD278" s="44"/>
      <c r="AE278" s="44"/>
      <c r="AF278" s="44"/>
      <c r="AG278" s="44"/>
      <c r="AH278" s="44"/>
      <c r="AI278" s="44"/>
      <c r="AJ278" s="44"/>
      <c r="AK278" s="44"/>
      <c r="AL278" s="44"/>
      <c r="AM278" s="44"/>
      <c r="AN278" s="44"/>
      <c r="AO278" s="44"/>
      <c r="AP278" s="44"/>
      <c r="AR278" s="115"/>
    </row>
    <row r="279" spans="1:44" hidden="1" x14ac:dyDescent="0.25">
      <c r="A279" s="168" t="s">
        <v>121</v>
      </c>
      <c r="B279" s="149"/>
      <c r="C279" s="149"/>
      <c r="D279" s="111"/>
      <c r="E279" s="149"/>
      <c r="F279" s="149"/>
      <c r="G279" s="111"/>
      <c r="H279" s="149"/>
      <c r="I279" s="149"/>
      <c r="J279" s="149"/>
      <c r="K279" s="111"/>
      <c r="L279" s="149"/>
      <c r="M279" s="149"/>
      <c r="N279" s="149"/>
      <c r="O279" s="111"/>
      <c r="P279" s="149"/>
      <c r="Q279" s="149"/>
      <c r="R279" s="149"/>
      <c r="S279" s="111"/>
      <c r="T279" s="149"/>
      <c r="U279" s="149"/>
      <c r="V279" s="44"/>
      <c r="W279" s="91"/>
      <c r="X279" s="91"/>
      <c r="Y279" s="91"/>
      <c r="Z279" s="44"/>
      <c r="AA279" s="44"/>
      <c r="AB279" s="44"/>
      <c r="AC279" s="44"/>
      <c r="AD279" s="44"/>
      <c r="AE279" s="44"/>
      <c r="AF279" s="44"/>
      <c r="AG279" s="44"/>
      <c r="AH279" s="44"/>
      <c r="AI279" s="44"/>
      <c r="AJ279" s="44"/>
      <c r="AK279" s="44"/>
      <c r="AL279" s="44"/>
      <c r="AM279" s="44"/>
      <c r="AN279" s="44"/>
      <c r="AO279" s="44"/>
      <c r="AP279" s="44"/>
      <c r="AR279" s="115"/>
    </row>
    <row r="280" spans="1:44" hidden="1" x14ac:dyDescent="0.25">
      <c r="A280" s="149" t="s">
        <v>150</v>
      </c>
      <c r="B280" s="149"/>
      <c r="C280" s="149"/>
      <c r="D280" s="111"/>
      <c r="E280" s="149"/>
      <c r="F280" s="149"/>
      <c r="G280" s="111"/>
      <c r="H280" s="149"/>
      <c r="I280" s="149"/>
      <c r="J280" s="149"/>
      <c r="K280" s="111"/>
      <c r="L280" s="149"/>
      <c r="M280" s="149"/>
      <c r="N280" s="149"/>
      <c r="O280" s="111"/>
      <c r="P280" s="149"/>
      <c r="Q280" s="149"/>
      <c r="R280" s="149"/>
      <c r="S280" s="111"/>
      <c r="T280" s="149"/>
      <c r="U280" s="149"/>
      <c r="V280" s="44"/>
      <c r="W280" s="91"/>
      <c r="X280" s="91"/>
      <c r="Y280" s="91"/>
      <c r="Z280" s="44"/>
      <c r="AA280" s="44"/>
      <c r="AB280" s="44"/>
      <c r="AC280" s="44"/>
      <c r="AD280" s="44"/>
      <c r="AE280" s="44"/>
      <c r="AF280" s="44"/>
      <c r="AG280" s="44"/>
      <c r="AH280" s="44"/>
      <c r="AI280" s="44"/>
      <c r="AJ280" s="44"/>
      <c r="AK280" s="44"/>
      <c r="AL280" s="44"/>
      <c r="AM280" s="44"/>
      <c r="AN280" s="44"/>
      <c r="AO280" s="44"/>
      <c r="AP280" s="44"/>
      <c r="AR280" s="115"/>
    </row>
    <row r="281" spans="1:44" hidden="1" x14ac:dyDescent="0.25">
      <c r="A281" s="198" t="s">
        <v>151</v>
      </c>
      <c r="B281" s="149"/>
      <c r="C281" s="169"/>
      <c r="D281" s="111"/>
      <c r="E281" s="149"/>
      <c r="F281" s="149"/>
      <c r="G281" s="111"/>
      <c r="H281" s="149"/>
      <c r="I281" s="149"/>
      <c r="J281" s="149"/>
      <c r="K281" s="111"/>
      <c r="L281" s="149"/>
      <c r="M281" s="149"/>
      <c r="N281" s="149"/>
      <c r="O281" s="111"/>
      <c r="P281" s="149"/>
      <c r="Q281" s="149"/>
      <c r="R281" s="149"/>
      <c r="S281" s="111"/>
      <c r="T281" s="149"/>
      <c r="U281" s="149"/>
      <c r="V281" s="44"/>
      <c r="W281" s="91"/>
      <c r="X281" s="91"/>
      <c r="Y281" s="91"/>
      <c r="Z281" s="44"/>
      <c r="AA281" s="44"/>
      <c r="AB281" s="44"/>
      <c r="AC281" s="44"/>
      <c r="AD281" s="44"/>
      <c r="AE281" s="44"/>
      <c r="AF281" s="44"/>
      <c r="AG281" s="44"/>
      <c r="AH281" s="44"/>
      <c r="AI281" s="44"/>
      <c r="AJ281" s="44"/>
      <c r="AK281" s="44"/>
      <c r="AL281" s="44"/>
      <c r="AM281" s="44"/>
      <c r="AN281" s="44"/>
      <c r="AO281" s="44"/>
      <c r="AP281" s="44"/>
      <c r="AR281" s="115"/>
    </row>
    <row r="282" spans="1:44" hidden="1" x14ac:dyDescent="0.25">
      <c r="A282" s="149" t="s">
        <v>127</v>
      </c>
      <c r="B282" s="149"/>
      <c r="C282" s="204"/>
      <c r="D282" s="111"/>
      <c r="E282" s="149"/>
      <c r="F282" s="149"/>
      <c r="G282" s="111"/>
      <c r="H282" s="149"/>
      <c r="I282" s="149"/>
      <c r="J282" s="149"/>
      <c r="K282" s="111"/>
      <c r="L282" s="149"/>
      <c r="M282" s="149"/>
      <c r="N282" s="149"/>
      <c r="O282" s="111"/>
      <c r="P282" s="149"/>
      <c r="Q282" s="149"/>
      <c r="R282" s="149"/>
      <c r="S282" s="111"/>
      <c r="T282" s="149"/>
      <c r="U282" s="149"/>
      <c r="V282" s="44"/>
      <c r="W282" s="91"/>
      <c r="X282" s="91"/>
      <c r="Y282" s="91"/>
      <c r="Z282" s="44"/>
      <c r="AA282" s="44"/>
      <c r="AB282" s="44"/>
      <c r="AC282" s="44"/>
      <c r="AD282" s="44"/>
      <c r="AE282" s="44"/>
      <c r="AF282" s="44"/>
      <c r="AG282" s="44"/>
      <c r="AH282" s="44"/>
      <c r="AI282" s="44"/>
      <c r="AJ282" s="44"/>
      <c r="AK282" s="44"/>
      <c r="AL282" s="44"/>
      <c r="AM282" s="44"/>
      <c r="AN282" s="44"/>
      <c r="AO282" s="44"/>
      <c r="AP282" s="44"/>
      <c r="AR282" s="115"/>
    </row>
    <row r="283" spans="1:44" hidden="1" x14ac:dyDescent="0.25">
      <c r="A283" s="149" t="s">
        <v>124</v>
      </c>
      <c r="B283" s="149"/>
      <c r="C283" s="204">
        <v>121803.19999998537</v>
      </c>
      <c r="D283" s="173">
        <v>9.76</v>
      </c>
      <c r="E283" s="206"/>
      <c r="F283" s="111">
        <f>ROUND(D283*$C283,0)</f>
        <v>1188799</v>
      </c>
      <c r="G283" s="173">
        <f>$G$173</f>
        <v>9.99</v>
      </c>
      <c r="H283" s="206"/>
      <c r="I283" s="111">
        <f>ROUND(G283*$C283,0)</f>
        <v>1216814</v>
      </c>
      <c r="J283" s="111"/>
      <c r="K283" s="173">
        <f>$K$173</f>
        <v>9.76</v>
      </c>
      <c r="L283" s="206"/>
      <c r="M283" s="111">
        <f>ROUND(K283*$C283,0)</f>
        <v>1188799</v>
      </c>
      <c r="N283" s="111"/>
      <c r="O283" s="173" t="str">
        <f>$O$173</f>
        <v xml:space="preserve"> </v>
      </c>
      <c r="P283" s="206"/>
      <c r="Q283" s="111">
        <f>ROUND(O283*$C283,0)</f>
        <v>0</v>
      </c>
      <c r="R283" s="111"/>
      <c r="S283" s="173" t="str">
        <f>$S$173</f>
        <v xml:space="preserve"> </v>
      </c>
      <c r="T283" s="206"/>
      <c r="U283" s="111">
        <f>ROUND(S283*$C283,0)</f>
        <v>0</v>
      </c>
      <c r="V283" s="44"/>
      <c r="W283" s="91"/>
      <c r="X283" s="91"/>
      <c r="Y283" s="91"/>
      <c r="Z283" s="44"/>
      <c r="AA283" s="44"/>
      <c r="AB283" s="44"/>
      <c r="AC283" s="44"/>
      <c r="AD283" s="44"/>
      <c r="AE283" s="44"/>
      <c r="AF283" s="44"/>
      <c r="AG283" s="44"/>
      <c r="AH283" s="44"/>
      <c r="AI283" s="44"/>
      <c r="AJ283" s="44"/>
      <c r="AK283" s="44"/>
      <c r="AL283" s="44"/>
      <c r="AM283" s="44"/>
      <c r="AN283" s="44"/>
      <c r="AO283" s="44"/>
      <c r="AP283" s="44"/>
      <c r="AR283" s="115"/>
    </row>
    <row r="284" spans="1:44" hidden="1" x14ac:dyDescent="0.25">
      <c r="A284" s="149" t="s">
        <v>125</v>
      </c>
      <c r="B284" s="149"/>
      <c r="C284" s="204">
        <v>58310.700000000717</v>
      </c>
      <c r="D284" s="173">
        <v>14.54</v>
      </c>
      <c r="E284" s="208"/>
      <c r="F284" s="111">
        <f t="shared" ref="F284:F285" si="59">ROUND(D284*$C284,0)</f>
        <v>847838</v>
      </c>
      <c r="G284" s="173">
        <f>$G$174</f>
        <v>14.89</v>
      </c>
      <c r="H284" s="208"/>
      <c r="I284" s="111">
        <f>ROUND(G284*$C284,0)</f>
        <v>868246</v>
      </c>
      <c r="J284" s="111"/>
      <c r="K284" s="173">
        <f>$K$174</f>
        <v>14.54</v>
      </c>
      <c r="L284" s="208"/>
      <c r="M284" s="111">
        <f>ROUND(K284*$C284,0)</f>
        <v>847838</v>
      </c>
      <c r="N284" s="111"/>
      <c r="O284" s="173" t="str">
        <f>$O$174</f>
        <v xml:space="preserve"> </v>
      </c>
      <c r="P284" s="208"/>
      <c r="Q284" s="111">
        <f>ROUND(O284*$C284,0)</f>
        <v>0</v>
      </c>
      <c r="R284" s="111"/>
      <c r="S284" s="173" t="str">
        <f>$S$174</f>
        <v xml:space="preserve"> </v>
      </c>
      <c r="T284" s="208"/>
      <c r="U284" s="111">
        <f>ROUND(S284*$C284,0)</f>
        <v>0</v>
      </c>
      <c r="V284" s="44"/>
      <c r="W284" s="91"/>
      <c r="X284" s="91"/>
      <c r="Y284" s="91"/>
      <c r="Z284" s="44"/>
      <c r="AA284" s="44"/>
      <c r="AB284" s="44"/>
      <c r="AC284" s="44"/>
      <c r="AD284" s="44"/>
      <c r="AE284" s="44"/>
      <c r="AF284" s="44"/>
      <c r="AG284" s="44"/>
      <c r="AH284" s="44"/>
      <c r="AI284" s="44"/>
      <c r="AJ284" s="44"/>
      <c r="AK284" s="44"/>
      <c r="AL284" s="44"/>
      <c r="AM284" s="44"/>
      <c r="AN284" s="44"/>
      <c r="AO284" s="44"/>
      <c r="AP284" s="44"/>
      <c r="AR284" s="115"/>
    </row>
    <row r="285" spans="1:44" hidden="1" x14ac:dyDescent="0.25">
      <c r="A285" s="149" t="s">
        <v>126</v>
      </c>
      <c r="B285" s="149"/>
      <c r="C285" s="204">
        <v>966505</v>
      </c>
      <c r="D285" s="173">
        <v>1.02</v>
      </c>
      <c r="E285" s="208"/>
      <c r="F285" s="111">
        <f t="shared" si="59"/>
        <v>985835</v>
      </c>
      <c r="G285" s="173">
        <f>$G$175</f>
        <v>1.04</v>
      </c>
      <c r="H285" s="208"/>
      <c r="I285" s="111">
        <f>ROUND(G285*$C285,0)</f>
        <v>1005165</v>
      </c>
      <c r="J285" s="111"/>
      <c r="K285" s="173">
        <f>$K$175</f>
        <v>1.02</v>
      </c>
      <c r="L285" s="208"/>
      <c r="M285" s="111">
        <f>ROUND(K285*$C285,0)</f>
        <v>985835</v>
      </c>
      <c r="N285" s="111"/>
      <c r="O285" s="173" t="str">
        <f>$O$175</f>
        <v xml:space="preserve"> </v>
      </c>
      <c r="P285" s="208"/>
      <c r="Q285" s="111">
        <f>ROUND(O285*$C285,0)</f>
        <v>0</v>
      </c>
      <c r="R285" s="111"/>
      <c r="S285" s="173" t="str">
        <f>$S$175</f>
        <v xml:space="preserve"> </v>
      </c>
      <c r="T285" s="208"/>
      <c r="U285" s="111">
        <f>ROUND(S285*$C285,0)</f>
        <v>0</v>
      </c>
      <c r="V285" s="44"/>
      <c r="W285" s="91"/>
      <c r="X285" s="91"/>
      <c r="Y285" s="91"/>
      <c r="Z285" s="44"/>
      <c r="AA285" s="44"/>
      <c r="AB285" s="44"/>
      <c r="AC285" s="44"/>
      <c r="AD285" s="44"/>
      <c r="AE285" s="44"/>
      <c r="AF285" s="44"/>
      <c r="AG285" s="44"/>
      <c r="AH285" s="44"/>
      <c r="AI285" s="44"/>
      <c r="AJ285" s="44"/>
      <c r="AK285" s="44"/>
      <c r="AL285" s="44"/>
      <c r="AM285" s="44"/>
      <c r="AN285" s="44"/>
      <c r="AO285" s="44"/>
      <c r="AP285" s="44"/>
      <c r="AR285" s="115"/>
    </row>
    <row r="286" spans="1:44" hidden="1" x14ac:dyDescent="0.25">
      <c r="A286" s="149" t="s">
        <v>128</v>
      </c>
      <c r="B286" s="149"/>
      <c r="C286" s="204">
        <f>SUM(C283:C284)</f>
        <v>180113.89999998608</v>
      </c>
      <c r="D286" s="173"/>
      <c r="E286" s="206"/>
      <c r="F286" s="111"/>
      <c r="G286" s="173"/>
      <c r="H286" s="206"/>
      <c r="I286" s="111"/>
      <c r="J286" s="111"/>
      <c r="K286" s="173"/>
      <c r="L286" s="206"/>
      <c r="M286" s="111"/>
      <c r="N286" s="111"/>
      <c r="O286" s="173"/>
      <c r="P286" s="206"/>
      <c r="Q286" s="111"/>
      <c r="R286" s="111"/>
      <c r="S286" s="173"/>
      <c r="T286" s="206"/>
      <c r="U286" s="111"/>
      <c r="V286" s="44"/>
      <c r="W286" s="91"/>
      <c r="X286" s="91"/>
      <c r="Y286" s="91"/>
      <c r="Z286" s="44"/>
      <c r="AA286" s="44"/>
      <c r="AB286" s="44"/>
      <c r="AC286" s="44"/>
      <c r="AD286" s="44"/>
      <c r="AE286" s="44"/>
      <c r="AF286" s="44"/>
      <c r="AG286" s="44"/>
      <c r="AH286" s="44"/>
      <c r="AI286" s="44"/>
      <c r="AJ286" s="44"/>
      <c r="AK286" s="44"/>
      <c r="AL286" s="44"/>
      <c r="AM286" s="44"/>
      <c r="AN286" s="44"/>
      <c r="AO286" s="44"/>
      <c r="AP286" s="44"/>
      <c r="AR286" s="115"/>
    </row>
    <row r="287" spans="1:44" hidden="1" x14ac:dyDescent="0.25">
      <c r="A287" s="149" t="s">
        <v>129</v>
      </c>
      <c r="B287" s="149"/>
      <c r="C287" s="204">
        <v>782383</v>
      </c>
      <c r="D287" s="226">
        <v>3.7</v>
      </c>
      <c r="E287" s="206"/>
      <c r="F287" s="111">
        <f>ROUND(D287*C287,0)</f>
        <v>2894817</v>
      </c>
      <c r="G287" s="226">
        <f>$G$178</f>
        <v>3.8</v>
      </c>
      <c r="H287" s="206"/>
      <c r="I287" s="111">
        <f>ROUND(G287*$C287,0)</f>
        <v>2973055</v>
      </c>
      <c r="J287" s="111"/>
      <c r="K287" s="226" t="e">
        <f>$K$178</f>
        <v>#REF!</v>
      </c>
      <c r="L287" s="206"/>
      <c r="M287" s="111" t="e">
        <f>ROUND(K287*$C287,0)</f>
        <v>#REF!</v>
      </c>
      <c r="N287" s="111"/>
      <c r="O287" s="226" t="e">
        <f>$O$178</f>
        <v>#DIV/0!</v>
      </c>
      <c r="P287" s="206"/>
      <c r="Q287" s="111" t="e">
        <f>ROUND(O287*$C287,0)</f>
        <v>#DIV/0!</v>
      </c>
      <c r="R287" s="111"/>
      <c r="S287" s="226" t="e">
        <f>$S$178</f>
        <v>#DIV/0!</v>
      </c>
      <c r="T287" s="206"/>
      <c r="U287" s="111" t="e">
        <f>ROUND(S287*$C287,0)</f>
        <v>#DIV/0!</v>
      </c>
      <c r="V287" s="44"/>
      <c r="W287" s="91"/>
      <c r="X287" s="91"/>
      <c r="Y287" s="91"/>
      <c r="Z287" s="44"/>
      <c r="AA287" s="44"/>
      <c r="AB287" s="44"/>
      <c r="AC287" s="44"/>
      <c r="AD287" s="44"/>
      <c r="AE287" s="44"/>
      <c r="AF287" s="44"/>
      <c r="AG287" s="44"/>
      <c r="AH287" s="44"/>
      <c r="AI287" s="44"/>
      <c r="AJ287" s="44"/>
      <c r="AK287" s="44"/>
      <c r="AL287" s="44"/>
      <c r="AM287" s="44"/>
      <c r="AN287" s="44"/>
      <c r="AO287" s="44"/>
      <c r="AP287" s="44"/>
      <c r="AR287" s="115"/>
    </row>
    <row r="288" spans="1:44" hidden="1" x14ac:dyDescent="0.25">
      <c r="A288" s="149" t="s">
        <v>130</v>
      </c>
      <c r="B288" s="204"/>
      <c r="C288" s="204">
        <v>113594338.50038823</v>
      </c>
      <c r="D288" s="175">
        <v>10.628</v>
      </c>
      <c r="E288" s="206" t="s">
        <v>89</v>
      </c>
      <c r="F288" s="111">
        <f>ROUND(D288*C288/100,0)</f>
        <v>12072806</v>
      </c>
      <c r="G288" s="175">
        <f>$G$179</f>
        <v>10.878</v>
      </c>
      <c r="H288" s="206" t="s">
        <v>89</v>
      </c>
      <c r="I288" s="111">
        <f>ROUND(G288*$C288/100,0)</f>
        <v>12356792</v>
      </c>
      <c r="J288" s="111"/>
      <c r="K288" s="175" t="e">
        <f>$K$179</f>
        <v>#REF!</v>
      </c>
      <c r="L288" s="206" t="s">
        <v>89</v>
      </c>
      <c r="M288" s="111" t="e">
        <f>ROUND(K288*$C288/100,0)</f>
        <v>#REF!</v>
      </c>
      <c r="N288" s="111"/>
      <c r="O288" s="175" t="e">
        <f>$O$179</f>
        <v>#DIV/0!</v>
      </c>
      <c r="P288" s="206" t="s">
        <v>89</v>
      </c>
      <c r="Q288" s="111" t="e">
        <f>ROUND(O288*$C288/100,0)</f>
        <v>#DIV/0!</v>
      </c>
      <c r="R288" s="111"/>
      <c r="S288" s="175" t="e">
        <f>$S$179</f>
        <v>#DIV/0!</v>
      </c>
      <c r="T288" s="206" t="s">
        <v>89</v>
      </c>
      <c r="U288" s="111" t="e">
        <f>ROUND(S288*$C288/100,0)</f>
        <v>#DIV/0!</v>
      </c>
      <c r="V288" s="247"/>
      <c r="W288" s="91"/>
      <c r="X288" s="91"/>
      <c r="Y288" s="91"/>
      <c r="Z288" s="44"/>
      <c r="AA288" s="44"/>
      <c r="AB288" s="44"/>
      <c r="AC288" s="44"/>
      <c r="AD288" s="44"/>
      <c r="AE288" s="44"/>
      <c r="AF288" s="44"/>
      <c r="AG288" s="44"/>
      <c r="AH288" s="44"/>
      <c r="AI288" s="44"/>
      <c r="AJ288" s="44"/>
      <c r="AK288" s="44"/>
      <c r="AL288" s="44"/>
      <c r="AM288" s="44"/>
      <c r="AN288" s="44"/>
      <c r="AO288" s="44"/>
      <c r="AP288" s="44"/>
      <c r="AR288" s="115"/>
    </row>
    <row r="289" spans="1:44" hidden="1" x14ac:dyDescent="0.25">
      <c r="A289" s="149" t="s">
        <v>131</v>
      </c>
      <c r="B289" s="204"/>
      <c r="C289" s="204">
        <v>264972441.64191934</v>
      </c>
      <c r="D289" s="175">
        <v>7.3410000000000002</v>
      </c>
      <c r="E289" s="206" t="s">
        <v>89</v>
      </c>
      <c r="F289" s="111">
        <f>ROUND(D289*C289/100,0)</f>
        <v>19451627</v>
      </c>
      <c r="G289" s="175">
        <f>$G$180</f>
        <v>7.5140000000000002</v>
      </c>
      <c r="H289" s="206" t="s">
        <v>89</v>
      </c>
      <c r="I289" s="111">
        <f>ROUND(G289*$C289/100,0)</f>
        <v>19910029</v>
      </c>
      <c r="J289" s="111"/>
      <c r="K289" s="175" t="e">
        <f>$K$180</f>
        <v>#REF!</v>
      </c>
      <c r="L289" s="206" t="s">
        <v>89</v>
      </c>
      <c r="M289" s="111" t="e">
        <f>ROUND(K289*$C289/100,0)</f>
        <v>#REF!</v>
      </c>
      <c r="N289" s="111"/>
      <c r="O289" s="175" t="e">
        <f>$O$180</f>
        <v>#DIV/0!</v>
      </c>
      <c r="P289" s="206" t="s">
        <v>89</v>
      </c>
      <c r="Q289" s="111" t="e">
        <f>ROUND(O289*$C289/100,0)</f>
        <v>#DIV/0!</v>
      </c>
      <c r="R289" s="111"/>
      <c r="S289" s="175" t="e">
        <f>$S$180</f>
        <v>#DIV/0!</v>
      </c>
      <c r="T289" s="206" t="s">
        <v>89</v>
      </c>
      <c r="U289" s="111" t="e">
        <f>ROUND(S289*$C289/100,0)</f>
        <v>#DIV/0!</v>
      </c>
      <c r="V289" s="247"/>
      <c r="W289" s="91"/>
      <c r="X289" s="91"/>
      <c r="Y289" s="91"/>
      <c r="Z289" s="44"/>
      <c r="AA289" s="44"/>
      <c r="AB289" s="44"/>
      <c r="AC289" s="44"/>
      <c r="AD289" s="44"/>
      <c r="AE289" s="44"/>
      <c r="AF289" s="44"/>
      <c r="AG289" s="44"/>
      <c r="AH289" s="44"/>
      <c r="AI289" s="44"/>
      <c r="AJ289" s="44"/>
      <c r="AK289" s="44"/>
      <c r="AL289" s="44"/>
      <c r="AM289" s="44"/>
      <c r="AN289" s="44"/>
      <c r="AO289" s="44"/>
      <c r="AP289" s="44"/>
      <c r="AR289" s="115"/>
    </row>
    <row r="290" spans="1:44" hidden="1" x14ac:dyDescent="0.25">
      <c r="A290" s="149" t="s">
        <v>132</v>
      </c>
      <c r="B290" s="204"/>
      <c r="C290" s="204">
        <v>114038405.0634262</v>
      </c>
      <c r="D290" s="175">
        <v>6.3240000000000007</v>
      </c>
      <c r="E290" s="206" t="s">
        <v>89</v>
      </c>
      <c r="F290" s="111">
        <f>ROUND(D290*C290/100,0)</f>
        <v>7211789</v>
      </c>
      <c r="G290" s="175">
        <f>$G$181</f>
        <v>6.4720000000000004</v>
      </c>
      <c r="H290" s="206" t="s">
        <v>89</v>
      </c>
      <c r="I290" s="111">
        <f>ROUND(G290*$C290/100,0)</f>
        <v>7380566</v>
      </c>
      <c r="J290" s="111"/>
      <c r="K290" s="175" t="e">
        <f>$K$181</f>
        <v>#REF!</v>
      </c>
      <c r="L290" s="206" t="s">
        <v>89</v>
      </c>
      <c r="M290" s="111" t="e">
        <f>ROUND(K290*$C290/100,0)</f>
        <v>#REF!</v>
      </c>
      <c r="N290" s="111"/>
      <c r="O290" s="175" t="e">
        <f>$O$181</f>
        <v>#DIV/0!</v>
      </c>
      <c r="P290" s="206" t="s">
        <v>89</v>
      </c>
      <c r="Q290" s="111" t="e">
        <f>ROUND(O290*$C290/100,0)</f>
        <v>#DIV/0!</v>
      </c>
      <c r="R290" s="111"/>
      <c r="S290" s="175" t="e">
        <f>$S$181</f>
        <v>#DIV/0!</v>
      </c>
      <c r="T290" s="206" t="s">
        <v>89</v>
      </c>
      <c r="U290" s="111" t="e">
        <f>ROUND(S290*$C290/100,0)</f>
        <v>#DIV/0!</v>
      </c>
      <c r="V290" s="247"/>
      <c r="W290" s="91"/>
      <c r="X290" s="91"/>
      <c r="Y290" s="91"/>
      <c r="Z290" s="44"/>
      <c r="AA290" s="44"/>
      <c r="AB290" s="44"/>
      <c r="AC290" s="44"/>
      <c r="AD290" s="44"/>
      <c r="AE290" s="44"/>
      <c r="AF290" s="44"/>
      <c r="AG290" s="44"/>
      <c r="AH290" s="44"/>
      <c r="AI290" s="44"/>
      <c r="AJ290" s="44"/>
      <c r="AK290" s="44"/>
      <c r="AL290" s="44"/>
      <c r="AM290" s="44"/>
      <c r="AN290" s="44"/>
      <c r="AO290" s="44"/>
      <c r="AP290" s="44"/>
      <c r="AR290" s="115"/>
    </row>
    <row r="291" spans="1:44" hidden="1" x14ac:dyDescent="0.25">
      <c r="A291" s="149" t="s">
        <v>133</v>
      </c>
      <c r="B291" s="169"/>
      <c r="C291" s="204">
        <v>107329.06666666651</v>
      </c>
      <c r="D291" s="212">
        <v>57</v>
      </c>
      <c r="E291" s="206" t="s">
        <v>89</v>
      </c>
      <c r="F291" s="111">
        <f>ROUND(D291*C291/100,0)</f>
        <v>61178</v>
      </c>
      <c r="G291" s="212">
        <f>$G$182</f>
        <v>58</v>
      </c>
      <c r="H291" s="206" t="s">
        <v>89</v>
      </c>
      <c r="I291" s="111">
        <f>ROUND(G291*$C291/100,0)</f>
        <v>62251</v>
      </c>
      <c r="J291" s="111"/>
      <c r="K291" s="212" t="str">
        <f>$K$182</f>
        <v xml:space="preserve"> </v>
      </c>
      <c r="L291" s="206" t="s">
        <v>89</v>
      </c>
      <c r="M291" s="111">
        <f>ROUND(K291*$C291/100,0)</f>
        <v>0</v>
      </c>
      <c r="N291" s="111"/>
      <c r="O291" s="212" t="e">
        <f>$O$182</f>
        <v>#DIV/0!</v>
      </c>
      <c r="P291" s="206" t="s">
        <v>89</v>
      </c>
      <c r="Q291" s="111" t="e">
        <f>ROUND(O291*$C291/100,0)</f>
        <v>#DIV/0!</v>
      </c>
      <c r="R291" s="111"/>
      <c r="S291" s="212" t="e">
        <f>$S$182</f>
        <v>#DIV/0!</v>
      </c>
      <c r="T291" s="206" t="s">
        <v>89</v>
      </c>
      <c r="U291" s="111" t="e">
        <f>ROUND(S291*$C291/100,0)</f>
        <v>#DIV/0!</v>
      </c>
      <c r="V291" s="44"/>
      <c r="W291" s="91"/>
      <c r="X291" s="91"/>
      <c r="Y291" s="91"/>
      <c r="Z291" s="44"/>
      <c r="AA291" s="44"/>
      <c r="AB291" s="44"/>
      <c r="AC291" s="44"/>
      <c r="AD291" s="44"/>
      <c r="AE291" s="44"/>
      <c r="AF291" s="44"/>
      <c r="AG291" s="44"/>
      <c r="AH291" s="44"/>
      <c r="AI291" s="44"/>
      <c r="AJ291" s="44"/>
      <c r="AK291" s="44"/>
      <c r="AL291" s="44"/>
      <c r="AM291" s="44"/>
      <c r="AN291" s="44"/>
      <c r="AO291" s="44"/>
      <c r="AP291" s="44"/>
      <c r="AR291" s="115"/>
    </row>
    <row r="292" spans="1:44" s="120" customFormat="1" hidden="1" x14ac:dyDescent="0.25">
      <c r="A292" s="119" t="s">
        <v>134</v>
      </c>
      <c r="C292" s="121">
        <f>C288</f>
        <v>113594338.50038823</v>
      </c>
      <c r="D292" s="128">
        <v>0</v>
      </c>
      <c r="E292" s="122"/>
      <c r="F292" s="123"/>
      <c r="G292" s="124">
        <f>G183</f>
        <v>0</v>
      </c>
      <c r="H292" s="215" t="s">
        <v>89</v>
      </c>
      <c r="I292" s="123">
        <f t="shared" ref="I292:I294" si="60">ROUND(G292*$C292/100,0)</f>
        <v>0</v>
      </c>
      <c r="J292" s="123"/>
      <c r="K292" s="124" t="str">
        <f>K183</f>
        <v xml:space="preserve"> </v>
      </c>
      <c r="L292" s="215" t="s">
        <v>89</v>
      </c>
      <c r="M292" s="123">
        <f t="shared" ref="M292:M294" si="61">ROUND(K292*$C292/100,0)</f>
        <v>0</v>
      </c>
      <c r="N292" s="123"/>
      <c r="O292" s="124" t="str">
        <f>O183</f>
        <v xml:space="preserve"> </v>
      </c>
      <c r="P292" s="215" t="s">
        <v>89</v>
      </c>
      <c r="Q292" s="123">
        <f t="shared" ref="Q292:Q294" si="62">ROUND(O292*$C292/100,0)</f>
        <v>0</v>
      </c>
      <c r="R292" s="123"/>
      <c r="S292" s="124">
        <f>S183</f>
        <v>0</v>
      </c>
      <c r="T292" s="215" t="s">
        <v>89</v>
      </c>
      <c r="U292" s="123">
        <f t="shared" ref="U292:U294" si="63">ROUND(S292*$C292/100,0)</f>
        <v>0</v>
      </c>
      <c r="W292" s="112"/>
      <c r="Z292" s="127"/>
      <c r="AA292" s="127"/>
      <c r="AF292" s="122"/>
      <c r="AG292" s="122"/>
      <c r="AH292" s="122"/>
      <c r="AI292" s="122"/>
      <c r="AJ292" s="122"/>
      <c r="AK292" s="122"/>
      <c r="AL292" s="122"/>
      <c r="AM292" s="122"/>
      <c r="AN292" s="122"/>
      <c r="AO292" s="122"/>
      <c r="AP292" s="122"/>
      <c r="AR292" s="126"/>
    </row>
    <row r="293" spans="1:44" s="120" customFormat="1" hidden="1" x14ac:dyDescent="0.25">
      <c r="A293" s="119" t="s">
        <v>135</v>
      </c>
      <c r="C293" s="121">
        <f>C289</f>
        <v>264972441.64191934</v>
      </c>
      <c r="D293" s="128">
        <v>0</v>
      </c>
      <c r="E293" s="122"/>
      <c r="F293" s="123"/>
      <c r="G293" s="124">
        <f>G184</f>
        <v>0</v>
      </c>
      <c r="H293" s="215" t="s">
        <v>89</v>
      </c>
      <c r="I293" s="123">
        <f t="shared" si="60"/>
        <v>0</v>
      </c>
      <c r="J293" s="123"/>
      <c r="K293" s="124" t="str">
        <f>K184</f>
        <v xml:space="preserve"> </v>
      </c>
      <c r="L293" s="215" t="s">
        <v>89</v>
      </c>
      <c r="M293" s="123">
        <f t="shared" si="61"/>
        <v>0</v>
      </c>
      <c r="N293" s="123"/>
      <c r="O293" s="124" t="str">
        <f>O184</f>
        <v xml:space="preserve"> </v>
      </c>
      <c r="P293" s="215" t="s">
        <v>89</v>
      </c>
      <c r="Q293" s="123">
        <f t="shared" si="62"/>
        <v>0</v>
      </c>
      <c r="R293" s="123"/>
      <c r="S293" s="124">
        <f>S184</f>
        <v>0</v>
      </c>
      <c r="T293" s="215" t="s">
        <v>89</v>
      </c>
      <c r="U293" s="123">
        <f t="shared" si="63"/>
        <v>0</v>
      </c>
      <c r="W293" s="112"/>
      <c r="Z293" s="127"/>
      <c r="AA293" s="127"/>
      <c r="AF293" s="122"/>
      <c r="AG293" s="122"/>
      <c r="AH293" s="122"/>
      <c r="AI293" s="122"/>
      <c r="AJ293" s="122"/>
      <c r="AK293" s="122"/>
      <c r="AL293" s="122"/>
      <c r="AM293" s="122"/>
      <c r="AN293" s="122"/>
      <c r="AO293" s="122"/>
      <c r="AP293" s="122"/>
      <c r="AR293" s="126"/>
    </row>
    <row r="294" spans="1:44" s="120" customFormat="1" hidden="1" x14ac:dyDescent="0.25">
      <c r="A294" s="119" t="s">
        <v>136</v>
      </c>
      <c r="C294" s="121">
        <f>C290</f>
        <v>114038405.0634262</v>
      </c>
      <c r="D294" s="128">
        <v>0</v>
      </c>
      <c r="E294" s="122"/>
      <c r="F294" s="123"/>
      <c r="G294" s="124">
        <f>G185</f>
        <v>0</v>
      </c>
      <c r="H294" s="215" t="s">
        <v>89</v>
      </c>
      <c r="I294" s="123">
        <f t="shared" si="60"/>
        <v>0</v>
      </c>
      <c r="J294" s="123"/>
      <c r="K294" s="124" t="str">
        <f>K185</f>
        <v xml:space="preserve"> </v>
      </c>
      <c r="L294" s="215" t="s">
        <v>89</v>
      </c>
      <c r="M294" s="123">
        <f t="shared" si="61"/>
        <v>0</v>
      </c>
      <c r="N294" s="123"/>
      <c r="O294" s="124" t="str">
        <f>O185</f>
        <v xml:space="preserve"> </v>
      </c>
      <c r="P294" s="215" t="s">
        <v>89</v>
      </c>
      <c r="Q294" s="123">
        <f t="shared" si="62"/>
        <v>0</v>
      </c>
      <c r="R294" s="123"/>
      <c r="S294" s="124">
        <f>S185</f>
        <v>0</v>
      </c>
      <c r="T294" s="215" t="s">
        <v>89</v>
      </c>
      <c r="U294" s="123">
        <f t="shared" si="63"/>
        <v>0</v>
      </c>
      <c r="W294" s="112"/>
      <c r="Z294" s="127"/>
      <c r="AA294" s="127"/>
      <c r="AF294" s="122"/>
      <c r="AG294" s="122"/>
      <c r="AH294" s="122"/>
      <c r="AI294" s="122"/>
      <c r="AJ294" s="122"/>
      <c r="AK294" s="122"/>
      <c r="AL294" s="122"/>
      <c r="AM294" s="122"/>
      <c r="AN294" s="122"/>
      <c r="AO294" s="122"/>
      <c r="AP294" s="122"/>
      <c r="AR294" s="126"/>
    </row>
    <row r="295" spans="1:44" hidden="1" x14ac:dyDescent="0.25">
      <c r="A295" s="219" t="s">
        <v>140</v>
      </c>
      <c r="B295" s="169"/>
      <c r="C295" s="204"/>
      <c r="D295" s="220">
        <v>-0.01</v>
      </c>
      <c r="E295" s="206"/>
      <c r="F295" s="111"/>
      <c r="G295" s="220">
        <v>-0.01</v>
      </c>
      <c r="H295" s="206"/>
      <c r="I295" s="111"/>
      <c r="J295" s="111"/>
      <c r="K295" s="220">
        <v>-0.01</v>
      </c>
      <c r="L295" s="206"/>
      <c r="M295" s="111"/>
      <c r="N295" s="111"/>
      <c r="O295" s="220">
        <v>-0.01</v>
      </c>
      <c r="P295" s="206"/>
      <c r="Q295" s="111"/>
      <c r="R295" s="111"/>
      <c r="S295" s="220">
        <v>-0.01</v>
      </c>
      <c r="T295" s="206"/>
      <c r="U295" s="111"/>
      <c r="V295" s="44"/>
      <c r="W295" s="91"/>
      <c r="X295" s="91"/>
      <c r="Y295" s="91"/>
      <c r="Z295" s="44"/>
      <c r="AA295" s="44"/>
      <c r="AB295" s="44"/>
      <c r="AC295" s="44"/>
      <c r="AD295" s="44"/>
      <c r="AE295" s="44"/>
      <c r="AF295" s="44"/>
      <c r="AG295" s="44"/>
      <c r="AH295" s="44"/>
      <c r="AI295" s="44"/>
      <c r="AJ295" s="44"/>
      <c r="AK295" s="44"/>
      <c r="AL295" s="44"/>
      <c r="AM295" s="44"/>
      <c r="AN295" s="44"/>
      <c r="AO295" s="44"/>
      <c r="AP295" s="44"/>
      <c r="AR295" s="115"/>
    </row>
    <row r="296" spans="1:44" hidden="1" x14ac:dyDescent="0.25">
      <c r="A296" s="149" t="s">
        <v>124</v>
      </c>
      <c r="B296" s="149"/>
      <c r="C296" s="204">
        <v>74.633333333333297</v>
      </c>
      <c r="D296" s="222">
        <v>9.76</v>
      </c>
      <c r="E296" s="223"/>
      <c r="F296" s="111">
        <f>-ROUND(D296*$C296/100,0)</f>
        <v>-7</v>
      </c>
      <c r="G296" s="222">
        <f>G283</f>
        <v>9.99</v>
      </c>
      <c r="H296" s="223"/>
      <c r="I296" s="111">
        <f>-ROUND(G296*$C296/100,0)</f>
        <v>-7</v>
      </c>
      <c r="J296" s="111"/>
      <c r="K296" s="222">
        <f>K283</f>
        <v>9.76</v>
      </c>
      <c r="L296" s="223"/>
      <c r="M296" s="111">
        <f>-ROUND(K296*$C296/100,0)</f>
        <v>-7</v>
      </c>
      <c r="N296" s="111"/>
      <c r="O296" s="222" t="str">
        <f>O283</f>
        <v xml:space="preserve"> </v>
      </c>
      <c r="P296" s="223"/>
      <c r="Q296" s="111">
        <f>-ROUND(O296*$C296/100,0)</f>
        <v>0</v>
      </c>
      <c r="R296" s="111"/>
      <c r="S296" s="222" t="str">
        <f>S283</f>
        <v xml:space="preserve"> </v>
      </c>
      <c r="T296" s="223"/>
      <c r="U296" s="111">
        <f>-ROUND(S296*$C296/100,0)</f>
        <v>0</v>
      </c>
      <c r="V296" s="44"/>
      <c r="W296" s="91"/>
      <c r="X296" s="91"/>
      <c r="Y296" s="91"/>
      <c r="Z296" s="44"/>
      <c r="AA296" s="44"/>
      <c r="AB296" s="44"/>
      <c r="AC296" s="44"/>
      <c r="AD296" s="44"/>
      <c r="AE296" s="44"/>
      <c r="AF296" s="44"/>
      <c r="AG296" s="44"/>
      <c r="AH296" s="44"/>
      <c r="AI296" s="44"/>
      <c r="AJ296" s="44"/>
      <c r="AK296" s="44"/>
      <c r="AL296" s="44"/>
      <c r="AM296" s="44"/>
      <c r="AN296" s="44"/>
      <c r="AO296" s="44"/>
      <c r="AP296" s="44"/>
      <c r="AR296" s="115"/>
    </row>
    <row r="297" spans="1:44" hidden="1" x14ac:dyDescent="0.25">
      <c r="A297" s="149" t="s">
        <v>125</v>
      </c>
      <c r="B297" s="149"/>
      <c r="C297" s="204">
        <v>71.933333333333309</v>
      </c>
      <c r="D297" s="222">
        <v>14.54</v>
      </c>
      <c r="E297" s="223"/>
      <c r="F297" s="111">
        <f t="shared" ref="F297:F299" si="64">-ROUND(D297*$C297/100,0)</f>
        <v>-10</v>
      </c>
      <c r="G297" s="222">
        <f>G284</f>
        <v>14.89</v>
      </c>
      <c r="H297" s="223"/>
      <c r="I297" s="111">
        <f>-ROUND(G297*$C297/100,0)</f>
        <v>-11</v>
      </c>
      <c r="J297" s="111"/>
      <c r="K297" s="222">
        <f>K284</f>
        <v>14.54</v>
      </c>
      <c r="L297" s="223"/>
      <c r="M297" s="111">
        <f>-ROUND(K297*$C297/100,0)</f>
        <v>-10</v>
      </c>
      <c r="N297" s="111"/>
      <c r="O297" s="222" t="str">
        <f>O284</f>
        <v xml:space="preserve"> </v>
      </c>
      <c r="P297" s="223"/>
      <c r="Q297" s="111">
        <f>-ROUND(O297*$C297/100,0)</f>
        <v>0</v>
      </c>
      <c r="R297" s="111"/>
      <c r="S297" s="222" t="str">
        <f>S284</f>
        <v xml:space="preserve"> </v>
      </c>
      <c r="T297" s="223"/>
      <c r="U297" s="111">
        <f>-ROUND(S297*$C297/100,0)</f>
        <v>0</v>
      </c>
      <c r="V297" s="44"/>
      <c r="W297" s="91"/>
      <c r="X297" s="91"/>
      <c r="Y297" s="91"/>
      <c r="Z297" s="44"/>
      <c r="AA297" s="44"/>
      <c r="AB297" s="44"/>
      <c r="AC297" s="44"/>
      <c r="AD297" s="44"/>
      <c r="AE297" s="44"/>
      <c r="AF297" s="44"/>
      <c r="AG297" s="44"/>
      <c r="AH297" s="44"/>
      <c r="AI297" s="44"/>
      <c r="AJ297" s="44"/>
      <c r="AK297" s="44"/>
      <c r="AL297" s="44"/>
      <c r="AM297" s="44"/>
      <c r="AN297" s="44"/>
      <c r="AO297" s="44"/>
      <c r="AP297" s="44"/>
      <c r="AR297" s="115"/>
    </row>
    <row r="298" spans="1:44" hidden="1" x14ac:dyDescent="0.25">
      <c r="A298" s="149" t="s">
        <v>141</v>
      </c>
      <c r="B298" s="149"/>
      <c r="C298" s="204">
        <v>1618</v>
      </c>
      <c r="D298" s="222">
        <v>1.02</v>
      </c>
      <c r="E298" s="223"/>
      <c r="F298" s="111">
        <f t="shared" si="64"/>
        <v>-17</v>
      </c>
      <c r="G298" s="222">
        <f>G285</f>
        <v>1.04</v>
      </c>
      <c r="H298" s="223"/>
      <c r="I298" s="111">
        <f>-ROUND(G298*$C298/100,0)</f>
        <v>-17</v>
      </c>
      <c r="J298" s="111"/>
      <c r="K298" s="222">
        <f>K285</f>
        <v>1.02</v>
      </c>
      <c r="L298" s="223"/>
      <c r="M298" s="111">
        <f>-ROUND(K298*$C298/100,0)</f>
        <v>-17</v>
      </c>
      <c r="N298" s="111"/>
      <c r="O298" s="222" t="str">
        <f>O285</f>
        <v xml:space="preserve"> </v>
      </c>
      <c r="P298" s="223"/>
      <c r="Q298" s="111">
        <f>-ROUND(O298*$C298/100,0)</f>
        <v>0</v>
      </c>
      <c r="R298" s="111"/>
      <c r="S298" s="222" t="str">
        <f>S285</f>
        <v xml:space="preserve"> </v>
      </c>
      <c r="T298" s="223"/>
      <c r="U298" s="111">
        <f>-ROUND(S298*$C298/100,0)</f>
        <v>0</v>
      </c>
      <c r="V298" s="44"/>
      <c r="W298" s="91"/>
      <c r="X298" s="91"/>
      <c r="Y298" s="91"/>
      <c r="Z298" s="44"/>
      <c r="AA298" s="44"/>
      <c r="AB298" s="44"/>
      <c r="AC298" s="44"/>
      <c r="AD298" s="44"/>
      <c r="AE298" s="44"/>
      <c r="AF298" s="44"/>
      <c r="AG298" s="44"/>
      <c r="AH298" s="44"/>
      <c r="AI298" s="44"/>
      <c r="AJ298" s="44"/>
      <c r="AK298" s="44"/>
      <c r="AL298" s="44"/>
      <c r="AM298" s="44"/>
      <c r="AN298" s="44"/>
      <c r="AO298" s="44"/>
      <c r="AP298" s="44"/>
      <c r="AR298" s="115"/>
    </row>
    <row r="299" spans="1:44" hidden="1" x14ac:dyDescent="0.25">
      <c r="A299" s="149" t="s">
        <v>149</v>
      </c>
      <c r="B299" s="149"/>
      <c r="C299" s="204">
        <v>765</v>
      </c>
      <c r="D299" s="222">
        <v>3.7</v>
      </c>
      <c r="E299" s="206"/>
      <c r="F299" s="111">
        <f t="shared" si="64"/>
        <v>-28</v>
      </c>
      <c r="G299" s="222">
        <f>G287</f>
        <v>3.8</v>
      </c>
      <c r="H299" s="206"/>
      <c r="I299" s="111">
        <f>-ROUND(G299*$C299/100,0)</f>
        <v>-29</v>
      </c>
      <c r="J299" s="111"/>
      <c r="K299" s="222" t="e">
        <f>K287</f>
        <v>#REF!</v>
      </c>
      <c r="L299" s="206"/>
      <c r="M299" s="111" t="e">
        <f>-ROUND(K299*$C299/100,0)</f>
        <v>#REF!</v>
      </c>
      <c r="N299" s="111"/>
      <c r="O299" s="222" t="e">
        <f>O287</f>
        <v>#DIV/0!</v>
      </c>
      <c r="P299" s="206"/>
      <c r="Q299" s="111" t="e">
        <f>-ROUND(O299*$C299/100,0)</f>
        <v>#DIV/0!</v>
      </c>
      <c r="R299" s="111"/>
      <c r="S299" s="222" t="e">
        <f>S287</f>
        <v>#DIV/0!</v>
      </c>
      <c r="T299" s="206"/>
      <c r="U299" s="111" t="e">
        <f>-ROUND(S299*$C299/100,0)</f>
        <v>#DIV/0!</v>
      </c>
      <c r="V299" s="44"/>
      <c r="W299" s="91"/>
      <c r="X299" s="91"/>
      <c r="Y299" s="91"/>
      <c r="Z299" s="44"/>
      <c r="AA299" s="44"/>
      <c r="AB299" s="44"/>
      <c r="AC299" s="44"/>
      <c r="AD299" s="44"/>
      <c r="AE299" s="44"/>
      <c r="AF299" s="44"/>
      <c r="AG299" s="44"/>
      <c r="AH299" s="44"/>
      <c r="AI299" s="44"/>
      <c r="AJ299" s="44"/>
      <c r="AK299" s="44"/>
      <c r="AL299" s="44"/>
      <c r="AM299" s="44"/>
      <c r="AN299" s="44"/>
      <c r="AO299" s="44"/>
      <c r="AP299" s="44"/>
      <c r="AR299" s="115"/>
    </row>
    <row r="300" spans="1:44" hidden="1" x14ac:dyDescent="0.25">
      <c r="A300" s="149" t="s">
        <v>143</v>
      </c>
      <c r="B300" s="149"/>
      <c r="C300" s="204">
        <v>108585.6666666666</v>
      </c>
      <c r="D300" s="224">
        <v>10.628</v>
      </c>
      <c r="E300" s="206" t="s">
        <v>89</v>
      </c>
      <c r="F300" s="111">
        <f>ROUND(D300*$C300/100*D295,0)</f>
        <v>-115</v>
      </c>
      <c r="G300" s="224">
        <f>G288</f>
        <v>10.878</v>
      </c>
      <c r="H300" s="206" t="s">
        <v>89</v>
      </c>
      <c r="I300" s="111">
        <f>ROUND(G300*$C300/100*G295,0)</f>
        <v>-118</v>
      </c>
      <c r="J300" s="111"/>
      <c r="K300" s="224" t="e">
        <f>K288</f>
        <v>#REF!</v>
      </c>
      <c r="L300" s="206" t="s">
        <v>89</v>
      </c>
      <c r="M300" s="111" t="e">
        <f>ROUND(K300*$C300/100*K295,0)</f>
        <v>#REF!</v>
      </c>
      <c r="N300" s="111"/>
      <c r="O300" s="224" t="e">
        <f>O288</f>
        <v>#DIV/0!</v>
      </c>
      <c r="P300" s="206" t="s">
        <v>89</v>
      </c>
      <c r="Q300" s="111" t="e">
        <f>ROUND(O300*$C300/100*O295,0)</f>
        <v>#DIV/0!</v>
      </c>
      <c r="R300" s="111"/>
      <c r="S300" s="224" t="e">
        <f>S288</f>
        <v>#DIV/0!</v>
      </c>
      <c r="T300" s="206" t="s">
        <v>89</v>
      </c>
      <c r="U300" s="111" t="e">
        <f>ROUND(S300*$C300/100*S295,0)</f>
        <v>#DIV/0!</v>
      </c>
      <c r="V300" s="44"/>
      <c r="W300" s="91"/>
      <c r="X300" s="91"/>
      <c r="Y300" s="91"/>
      <c r="Z300" s="44"/>
      <c r="AA300" s="44"/>
      <c r="AB300" s="44"/>
      <c r="AC300" s="44"/>
      <c r="AD300" s="44"/>
      <c r="AE300" s="44"/>
      <c r="AF300" s="44"/>
      <c r="AG300" s="44"/>
      <c r="AH300" s="44"/>
      <c r="AI300" s="44"/>
      <c r="AJ300" s="44"/>
      <c r="AK300" s="44"/>
      <c r="AL300" s="44"/>
      <c r="AM300" s="44"/>
      <c r="AN300" s="44"/>
      <c r="AO300" s="44"/>
      <c r="AP300" s="44"/>
      <c r="AR300" s="115"/>
    </row>
    <row r="301" spans="1:44" hidden="1" x14ac:dyDescent="0.25">
      <c r="A301" s="149" t="s">
        <v>131</v>
      </c>
      <c r="B301" s="149"/>
      <c r="C301" s="204">
        <v>461939.33333333366</v>
      </c>
      <c r="D301" s="224">
        <v>7.3410000000000002</v>
      </c>
      <c r="E301" s="206" t="s">
        <v>89</v>
      </c>
      <c r="F301" s="111">
        <f>ROUND(D301*$C301/100*D295,0)</f>
        <v>-339</v>
      </c>
      <c r="G301" s="224">
        <f>G289</f>
        <v>7.5140000000000002</v>
      </c>
      <c r="H301" s="206" t="s">
        <v>89</v>
      </c>
      <c r="I301" s="111">
        <f>ROUND(G301*$C301/100*G295,0)</f>
        <v>-347</v>
      </c>
      <c r="J301" s="111"/>
      <c r="K301" s="224" t="e">
        <f>K289</f>
        <v>#REF!</v>
      </c>
      <c r="L301" s="206" t="s">
        <v>89</v>
      </c>
      <c r="M301" s="111" t="e">
        <f>ROUND(K301*$C301/100*K295,0)</f>
        <v>#REF!</v>
      </c>
      <c r="N301" s="111"/>
      <c r="O301" s="224" t="e">
        <f>O289</f>
        <v>#DIV/0!</v>
      </c>
      <c r="P301" s="206" t="s">
        <v>89</v>
      </c>
      <c r="Q301" s="111" t="e">
        <f>ROUND(O301*$C301/100*O295,0)</f>
        <v>#DIV/0!</v>
      </c>
      <c r="R301" s="111"/>
      <c r="S301" s="224" t="e">
        <f>S289</f>
        <v>#DIV/0!</v>
      </c>
      <c r="T301" s="206" t="s">
        <v>89</v>
      </c>
      <c r="U301" s="111" t="e">
        <f>ROUND(S301*$C301/100*S295,0)</f>
        <v>#DIV/0!</v>
      </c>
      <c r="V301" s="44"/>
      <c r="W301" s="91"/>
      <c r="X301" s="91"/>
      <c r="Y301" s="91"/>
      <c r="Z301" s="44"/>
      <c r="AA301" s="44"/>
      <c r="AB301" s="44"/>
      <c r="AC301" s="44"/>
      <c r="AD301" s="44"/>
      <c r="AE301" s="44"/>
      <c r="AF301" s="44"/>
      <c r="AG301" s="44"/>
      <c r="AH301" s="44"/>
      <c r="AI301" s="44"/>
      <c r="AJ301" s="44"/>
      <c r="AK301" s="44"/>
      <c r="AL301" s="44"/>
      <c r="AM301" s="44"/>
      <c r="AN301" s="44"/>
      <c r="AO301" s="44"/>
      <c r="AP301" s="44"/>
      <c r="AR301" s="115"/>
    </row>
    <row r="302" spans="1:44" hidden="1" x14ac:dyDescent="0.25">
      <c r="A302" s="149" t="s">
        <v>132</v>
      </c>
      <c r="B302" s="149"/>
      <c r="C302" s="204">
        <v>701665</v>
      </c>
      <c r="D302" s="224">
        <v>6.3240000000000007</v>
      </c>
      <c r="E302" s="206" t="s">
        <v>89</v>
      </c>
      <c r="F302" s="111">
        <f>ROUND(D302*$C302/100*D295,0)</f>
        <v>-444</v>
      </c>
      <c r="G302" s="224">
        <f>G290</f>
        <v>6.4720000000000004</v>
      </c>
      <c r="H302" s="206" t="s">
        <v>89</v>
      </c>
      <c r="I302" s="111">
        <f>ROUND(G302*$C302/100*G295,0)</f>
        <v>-454</v>
      </c>
      <c r="J302" s="111"/>
      <c r="K302" s="224" t="e">
        <f>K290</f>
        <v>#REF!</v>
      </c>
      <c r="L302" s="206" t="s">
        <v>89</v>
      </c>
      <c r="M302" s="111" t="e">
        <f>ROUND(K302*$C302/100*K295,0)</f>
        <v>#REF!</v>
      </c>
      <c r="N302" s="111"/>
      <c r="O302" s="224" t="e">
        <f>O290</f>
        <v>#DIV/0!</v>
      </c>
      <c r="P302" s="206" t="s">
        <v>89</v>
      </c>
      <c r="Q302" s="111" t="e">
        <f>ROUND(O302*$C302/100*O295,0)</f>
        <v>#DIV/0!</v>
      </c>
      <c r="R302" s="111"/>
      <c r="S302" s="224" t="e">
        <f>S290</f>
        <v>#DIV/0!</v>
      </c>
      <c r="T302" s="206" t="s">
        <v>89</v>
      </c>
      <c r="U302" s="111" t="e">
        <f>ROUND(S302*$C302/100*S295,0)</f>
        <v>#DIV/0!</v>
      </c>
      <c r="V302" s="44"/>
      <c r="W302" s="91"/>
      <c r="X302" s="91"/>
      <c r="Y302" s="91"/>
      <c r="Z302" s="44"/>
      <c r="AA302" s="44"/>
      <c r="AB302" s="44"/>
      <c r="AC302" s="44"/>
      <c r="AD302" s="44"/>
      <c r="AE302" s="44"/>
      <c r="AF302" s="44"/>
      <c r="AG302" s="44"/>
      <c r="AH302" s="44"/>
      <c r="AI302" s="44"/>
      <c r="AJ302" s="44"/>
      <c r="AK302" s="44"/>
      <c r="AL302" s="44"/>
      <c r="AM302" s="44"/>
      <c r="AN302" s="44"/>
      <c r="AO302" s="44"/>
      <c r="AP302" s="44"/>
      <c r="AR302" s="115"/>
    </row>
    <row r="303" spans="1:44" hidden="1" x14ac:dyDescent="0.25">
      <c r="A303" s="149" t="s">
        <v>133</v>
      </c>
      <c r="B303" s="149"/>
      <c r="C303" s="204">
        <v>913.93333333333339</v>
      </c>
      <c r="D303" s="225">
        <v>57</v>
      </c>
      <c r="E303" s="206" t="s">
        <v>89</v>
      </c>
      <c r="F303" s="111">
        <f>ROUND(D303*$C303/100*D295,0)</f>
        <v>-5</v>
      </c>
      <c r="G303" s="225">
        <f>G291</f>
        <v>58</v>
      </c>
      <c r="H303" s="206" t="s">
        <v>89</v>
      </c>
      <c r="I303" s="111">
        <f>ROUND(G303*$C303/100*G295,0)</f>
        <v>-5</v>
      </c>
      <c r="J303" s="111"/>
      <c r="K303" s="225" t="str">
        <f>K291</f>
        <v xml:space="preserve"> </v>
      </c>
      <c r="L303" s="206" t="s">
        <v>89</v>
      </c>
      <c r="M303" s="111">
        <f>ROUND(K303*$C303/100*K295,0)</f>
        <v>0</v>
      </c>
      <c r="N303" s="111"/>
      <c r="O303" s="225" t="e">
        <f>O291</f>
        <v>#DIV/0!</v>
      </c>
      <c r="P303" s="206" t="s">
        <v>89</v>
      </c>
      <c r="Q303" s="111" t="e">
        <f>ROUND(O303*$C303/100*O295,0)</f>
        <v>#DIV/0!</v>
      </c>
      <c r="R303" s="111"/>
      <c r="S303" s="225" t="e">
        <f>S291</f>
        <v>#DIV/0!</v>
      </c>
      <c r="T303" s="206" t="s">
        <v>89</v>
      </c>
      <c r="U303" s="111" t="e">
        <f>ROUND(S303*$C303/100*S295,0)</f>
        <v>#DIV/0!</v>
      </c>
      <c r="V303" s="44"/>
      <c r="W303" s="91"/>
      <c r="X303" s="91"/>
      <c r="Y303" s="91"/>
      <c r="Z303" s="44"/>
      <c r="AA303" s="44"/>
      <c r="AB303" s="44"/>
      <c r="AC303" s="44"/>
      <c r="AD303" s="44"/>
      <c r="AE303" s="44"/>
      <c r="AF303" s="44"/>
      <c r="AG303" s="44"/>
      <c r="AH303" s="44"/>
      <c r="AI303" s="44"/>
      <c r="AJ303" s="44"/>
      <c r="AK303" s="44"/>
      <c r="AL303" s="44"/>
      <c r="AM303" s="44"/>
      <c r="AN303" s="44"/>
      <c r="AO303" s="44"/>
      <c r="AP303" s="44"/>
      <c r="AR303" s="115"/>
    </row>
    <row r="304" spans="1:44" hidden="1" x14ac:dyDescent="0.25">
      <c r="A304" s="149" t="s">
        <v>144</v>
      </c>
      <c r="B304" s="149"/>
      <c r="C304" s="204">
        <v>122.5333333333333</v>
      </c>
      <c r="D304" s="226">
        <v>60</v>
      </c>
      <c r="E304" s="206"/>
      <c r="F304" s="111">
        <f>ROUND(D304*C304,0)</f>
        <v>7352</v>
      </c>
      <c r="G304" s="226">
        <f>$G$198</f>
        <v>60</v>
      </c>
      <c r="H304" s="206"/>
      <c r="I304" s="111">
        <f>ROUND(G304*$C304,0)</f>
        <v>7352</v>
      </c>
      <c r="J304" s="111"/>
      <c r="K304" s="226" t="str">
        <f>$K$198</f>
        <v xml:space="preserve"> </v>
      </c>
      <c r="L304" s="206"/>
      <c r="M304" s="111">
        <f>ROUND(K304*$C304,0)</f>
        <v>0</v>
      </c>
      <c r="N304" s="111"/>
      <c r="O304" s="226" t="e">
        <f>$O$198</f>
        <v>#DIV/0!</v>
      </c>
      <c r="P304" s="206"/>
      <c r="Q304" s="111" t="e">
        <f>ROUND(O304*$C304,0)</f>
        <v>#DIV/0!</v>
      </c>
      <c r="R304" s="111"/>
      <c r="S304" s="226" t="e">
        <f>$S$198</f>
        <v>#DIV/0!</v>
      </c>
      <c r="T304" s="206"/>
      <c r="U304" s="111" t="e">
        <f>ROUND(S304*$C304,0)</f>
        <v>#DIV/0!</v>
      </c>
      <c r="V304" s="44"/>
      <c r="W304" s="91"/>
      <c r="X304" s="91"/>
      <c r="Y304" s="91"/>
      <c r="Z304" s="44"/>
      <c r="AA304" s="44"/>
      <c r="AB304" s="44"/>
      <c r="AC304" s="44"/>
      <c r="AD304" s="44"/>
      <c r="AE304" s="44"/>
      <c r="AF304" s="44"/>
      <c r="AG304" s="44"/>
      <c r="AH304" s="44"/>
      <c r="AI304" s="44"/>
      <c r="AJ304" s="44"/>
      <c r="AK304" s="44"/>
      <c r="AL304" s="44"/>
      <c r="AM304" s="44"/>
      <c r="AN304" s="44"/>
      <c r="AO304" s="44"/>
      <c r="AP304" s="44"/>
      <c r="AR304" s="115"/>
    </row>
    <row r="305" spans="1:44" hidden="1" x14ac:dyDescent="0.25">
      <c r="A305" s="149" t="s">
        <v>145</v>
      </c>
      <c r="B305" s="149"/>
      <c r="C305" s="204">
        <v>166.29999999999998</v>
      </c>
      <c r="D305" s="227">
        <v>-30</v>
      </c>
      <c r="E305" s="206" t="s">
        <v>89</v>
      </c>
      <c r="F305" s="111">
        <f>ROUND(D305*C305/100,0)</f>
        <v>-50</v>
      </c>
      <c r="G305" s="227">
        <f>$G$199</f>
        <v>-30</v>
      </c>
      <c r="H305" s="206" t="s">
        <v>89</v>
      </c>
      <c r="I305" s="111">
        <f>ROUND(G305*$C305/100,0)</f>
        <v>-50</v>
      </c>
      <c r="J305" s="111"/>
      <c r="K305" s="227">
        <f>$K$199</f>
        <v>-30</v>
      </c>
      <c r="L305" s="206" t="s">
        <v>89</v>
      </c>
      <c r="M305" s="111">
        <f>ROUND(K305*$C305/100,0)</f>
        <v>-50</v>
      </c>
      <c r="N305" s="111"/>
      <c r="O305" s="227" t="str">
        <f>$O$199</f>
        <v xml:space="preserve"> </v>
      </c>
      <c r="P305" s="206" t="s">
        <v>89</v>
      </c>
      <c r="Q305" s="111">
        <f>ROUND(O305*$C305/100,0)</f>
        <v>0</v>
      </c>
      <c r="R305" s="111"/>
      <c r="S305" s="227" t="str">
        <f>$S$199</f>
        <v xml:space="preserve"> </v>
      </c>
      <c r="T305" s="206" t="s">
        <v>89</v>
      </c>
      <c r="U305" s="111">
        <f>ROUND(S305*$C305/100,0)</f>
        <v>0</v>
      </c>
      <c r="V305" s="44"/>
      <c r="W305" s="91"/>
      <c r="X305" s="91"/>
      <c r="Y305" s="91"/>
      <c r="Z305" s="44"/>
      <c r="AA305" s="44"/>
      <c r="AB305" s="44"/>
      <c r="AC305" s="44"/>
      <c r="AD305" s="44"/>
      <c r="AE305" s="44"/>
      <c r="AF305" s="44"/>
      <c r="AG305" s="44"/>
      <c r="AH305" s="44"/>
      <c r="AI305" s="44"/>
      <c r="AJ305" s="44"/>
      <c r="AK305" s="44"/>
      <c r="AL305" s="44"/>
      <c r="AM305" s="44"/>
      <c r="AN305" s="44"/>
      <c r="AO305" s="44"/>
      <c r="AP305" s="44"/>
      <c r="AR305" s="115"/>
    </row>
    <row r="306" spans="1:44" s="120" customFormat="1" hidden="1" x14ac:dyDescent="0.25">
      <c r="A306" s="119" t="s">
        <v>134</v>
      </c>
      <c r="C306" s="121">
        <f>C300</f>
        <v>108585.6666666666</v>
      </c>
      <c r="D306" s="128">
        <v>0</v>
      </c>
      <c r="E306" s="122"/>
      <c r="F306" s="123"/>
      <c r="G306" s="124">
        <f>G183</f>
        <v>0</v>
      </c>
      <c r="H306" s="215" t="s">
        <v>89</v>
      </c>
      <c r="I306" s="123">
        <f>ROUND(G306*$C306/100*G295,0)</f>
        <v>0</v>
      </c>
      <c r="J306" s="123"/>
      <c r="K306" s="124" t="str">
        <f>K183</f>
        <v xml:space="preserve"> </v>
      </c>
      <c r="L306" s="215" t="s">
        <v>89</v>
      </c>
      <c r="M306" s="123">
        <f>ROUND(K306*$C306/100*K295,0)</f>
        <v>0</v>
      </c>
      <c r="N306" s="123"/>
      <c r="O306" s="124" t="str">
        <f>O183</f>
        <v xml:space="preserve"> </v>
      </c>
      <c r="P306" s="215" t="s">
        <v>89</v>
      </c>
      <c r="Q306" s="123">
        <f>ROUND(O306*$C306/100*O295,0)</f>
        <v>0</v>
      </c>
      <c r="R306" s="123"/>
      <c r="S306" s="124">
        <f>S183</f>
        <v>0</v>
      </c>
      <c r="T306" s="215" t="s">
        <v>89</v>
      </c>
      <c r="U306" s="123">
        <f>ROUND(S306*$C306/100*S295,0)</f>
        <v>0</v>
      </c>
      <c r="W306" s="112"/>
      <c r="Z306" s="127"/>
      <c r="AA306" s="127"/>
      <c r="AF306" s="122"/>
      <c r="AG306" s="122"/>
      <c r="AH306" s="122"/>
      <c r="AI306" s="122"/>
      <c r="AJ306" s="122"/>
      <c r="AK306" s="122"/>
      <c r="AL306" s="122"/>
      <c r="AM306" s="122"/>
      <c r="AN306" s="122"/>
      <c r="AO306" s="122"/>
      <c r="AP306" s="122"/>
      <c r="AR306" s="126"/>
    </row>
    <row r="307" spans="1:44" s="120" customFormat="1" hidden="1" x14ac:dyDescent="0.25">
      <c r="A307" s="119" t="s">
        <v>135</v>
      </c>
      <c r="C307" s="121">
        <f>C301</f>
        <v>461939.33333333366</v>
      </c>
      <c r="D307" s="128">
        <v>0</v>
      </c>
      <c r="E307" s="122"/>
      <c r="F307" s="123"/>
      <c r="G307" s="124">
        <f>G184</f>
        <v>0</v>
      </c>
      <c r="H307" s="215" t="s">
        <v>89</v>
      </c>
      <c r="I307" s="123">
        <f>ROUND(G307*$C307/100*G295,0)</f>
        <v>0</v>
      </c>
      <c r="J307" s="123"/>
      <c r="K307" s="124" t="str">
        <f>K184</f>
        <v xml:space="preserve"> </v>
      </c>
      <c r="L307" s="215" t="s">
        <v>89</v>
      </c>
      <c r="M307" s="123">
        <f>ROUND(K307*$C307/100*K295,0)</f>
        <v>0</v>
      </c>
      <c r="N307" s="123"/>
      <c r="O307" s="124" t="str">
        <f>O184</f>
        <v xml:space="preserve"> </v>
      </c>
      <c r="P307" s="215" t="s">
        <v>89</v>
      </c>
      <c r="Q307" s="123">
        <f>ROUND(O307*$C307/100*O295,0)</f>
        <v>0</v>
      </c>
      <c r="R307" s="123"/>
      <c r="S307" s="124">
        <f>S184</f>
        <v>0</v>
      </c>
      <c r="T307" s="215" t="s">
        <v>89</v>
      </c>
      <c r="U307" s="123">
        <f>ROUND(S307*$C307/100*S295,0)</f>
        <v>0</v>
      </c>
      <c r="W307" s="112"/>
      <c r="Z307" s="127"/>
      <c r="AA307" s="127"/>
      <c r="AF307" s="122"/>
      <c r="AG307" s="122"/>
      <c r="AH307" s="122"/>
      <c r="AI307" s="122"/>
      <c r="AJ307" s="122"/>
      <c r="AK307" s="122"/>
      <c r="AL307" s="122"/>
      <c r="AM307" s="122"/>
      <c r="AN307" s="122"/>
      <c r="AO307" s="122"/>
      <c r="AP307" s="122"/>
      <c r="AR307" s="126"/>
    </row>
    <row r="308" spans="1:44" s="120" customFormat="1" hidden="1" x14ac:dyDescent="0.25">
      <c r="A308" s="119" t="s">
        <v>136</v>
      </c>
      <c r="C308" s="121">
        <f>C302</f>
        <v>701665</v>
      </c>
      <c r="D308" s="128">
        <v>0</v>
      </c>
      <c r="E308" s="122"/>
      <c r="F308" s="123"/>
      <c r="G308" s="124">
        <f>G185</f>
        <v>0</v>
      </c>
      <c r="H308" s="215" t="s">
        <v>89</v>
      </c>
      <c r="I308" s="123">
        <f>ROUND(G308*$C308/100*G295,0)</f>
        <v>0</v>
      </c>
      <c r="J308" s="123"/>
      <c r="K308" s="124" t="str">
        <f>K185</f>
        <v xml:space="preserve"> </v>
      </c>
      <c r="L308" s="215" t="s">
        <v>89</v>
      </c>
      <c r="M308" s="123">
        <f>ROUND(K308*$C308/100*K297*K295,0)</f>
        <v>0</v>
      </c>
      <c r="N308" s="123"/>
      <c r="O308" s="124" t="str">
        <f>O185</f>
        <v xml:space="preserve"> </v>
      </c>
      <c r="P308" s="215" t="s">
        <v>89</v>
      </c>
      <c r="Q308" s="123">
        <f>ROUND(O308*$C308/100*O297*O295,0)</f>
        <v>0</v>
      </c>
      <c r="R308" s="123"/>
      <c r="S308" s="124">
        <f>S185</f>
        <v>0</v>
      </c>
      <c r="T308" s="215" t="s">
        <v>89</v>
      </c>
      <c r="U308" s="123">
        <f>ROUND(S308*$C308/100*S295,0)</f>
        <v>0</v>
      </c>
      <c r="W308" s="112"/>
      <c r="Z308" s="127"/>
      <c r="AA308" s="127"/>
      <c r="AF308" s="122"/>
      <c r="AG308" s="122"/>
      <c r="AH308" s="122"/>
      <c r="AI308" s="122"/>
      <c r="AJ308" s="122"/>
      <c r="AK308" s="122"/>
      <c r="AL308" s="122"/>
      <c r="AM308" s="122"/>
      <c r="AN308" s="122"/>
      <c r="AO308" s="122"/>
      <c r="AP308" s="122"/>
      <c r="AR308" s="126"/>
    </row>
    <row r="309" spans="1:44" hidden="1" x14ac:dyDescent="0.25">
      <c r="A309" s="149" t="s">
        <v>114</v>
      </c>
      <c r="B309" s="190"/>
      <c r="C309" s="204">
        <f>SUM(C288:C290)</f>
        <v>492605185.20573378</v>
      </c>
      <c r="D309" s="212"/>
      <c r="E309" s="206"/>
      <c r="F309" s="111">
        <f>SUM(F283:F305)</f>
        <v>44721026</v>
      </c>
      <c r="G309" s="212"/>
      <c r="H309" s="206"/>
      <c r="I309" s="111">
        <f>SUM(I283:I308)</f>
        <v>45779232</v>
      </c>
      <c r="J309" s="111"/>
      <c r="K309" s="212"/>
      <c r="L309" s="206"/>
      <c r="M309" s="111" t="e">
        <f>SUM(M283:M308)</f>
        <v>#REF!</v>
      </c>
      <c r="N309" s="111"/>
      <c r="O309" s="212"/>
      <c r="P309" s="206"/>
      <c r="Q309" s="111" t="e">
        <f>SUM(Q283:Q308)</f>
        <v>#DIV/0!</v>
      </c>
      <c r="R309" s="111"/>
      <c r="S309" s="212"/>
      <c r="T309" s="206"/>
      <c r="U309" s="111" t="e">
        <f>SUM(U283:U308)</f>
        <v>#DIV/0!</v>
      </c>
      <c r="V309" s="146"/>
      <c r="W309" s="91"/>
      <c r="X309" s="91"/>
      <c r="Y309" s="91"/>
      <c r="Z309" s="44"/>
      <c r="AA309" s="44"/>
      <c r="AB309" s="44"/>
      <c r="AC309" s="44"/>
      <c r="AD309" s="44"/>
      <c r="AE309" s="44"/>
      <c r="AF309" s="44"/>
      <c r="AG309" s="44"/>
      <c r="AH309" s="44"/>
      <c r="AI309" s="44"/>
      <c r="AJ309" s="44"/>
      <c r="AK309" s="44"/>
      <c r="AL309" s="44"/>
      <c r="AM309" s="44"/>
      <c r="AN309" s="44"/>
      <c r="AO309" s="44"/>
      <c r="AP309" s="44"/>
      <c r="AR309" s="115"/>
    </row>
    <row r="310" spans="1:44" hidden="1" x14ac:dyDescent="0.25">
      <c r="A310" s="149" t="s">
        <v>92</v>
      </c>
      <c r="B310" s="149"/>
      <c r="C310" s="248">
        <v>3477825.992467748</v>
      </c>
      <c r="D310" s="134"/>
      <c r="E310" s="134"/>
      <c r="F310" s="230">
        <v>355356.90214655403</v>
      </c>
      <c r="G310" s="134"/>
      <c r="H310" s="134"/>
      <c r="I310" s="230">
        <f>F310</f>
        <v>355356.90214655403</v>
      </c>
      <c r="J310" s="207"/>
      <c r="K310" s="134"/>
      <c r="L310" s="134"/>
      <c r="M310" s="230" t="e">
        <f>M204/I204*I310</f>
        <v>#DIV/0!</v>
      </c>
      <c r="N310" s="207"/>
      <c r="O310" s="134"/>
      <c r="P310" s="134"/>
      <c r="Q310" s="230" t="e">
        <f>Q204/I204*I310</f>
        <v>#DIV/0!</v>
      </c>
      <c r="R310" s="207"/>
      <c r="S310" s="134"/>
      <c r="T310" s="134"/>
      <c r="U310" s="230" t="e">
        <f>U204/I204*I310</f>
        <v>#DIV/0!</v>
      </c>
      <c r="V310" s="165"/>
      <c r="W310" s="163"/>
      <c r="X310" s="91"/>
      <c r="Y310" s="91"/>
      <c r="Z310" s="44"/>
      <c r="AA310" s="44"/>
      <c r="AB310" s="44"/>
      <c r="AC310" s="44"/>
      <c r="AD310" s="44"/>
      <c r="AE310" s="44"/>
      <c r="AF310" s="44"/>
      <c r="AG310" s="44"/>
      <c r="AH310" s="44"/>
      <c r="AI310" s="44"/>
      <c r="AJ310" s="44"/>
      <c r="AK310" s="44"/>
      <c r="AL310" s="44"/>
      <c r="AM310" s="44"/>
      <c r="AN310" s="44"/>
      <c r="AO310" s="44"/>
      <c r="AP310" s="44"/>
      <c r="AR310" s="115"/>
    </row>
    <row r="311" spans="1:44" ht="16.5" hidden="1" thickBot="1" x14ac:dyDescent="0.3">
      <c r="A311" s="149" t="s">
        <v>115</v>
      </c>
      <c r="B311" s="149"/>
      <c r="C311" s="192">
        <f>SUM(C309:C310)</f>
        <v>496083011.19820154</v>
      </c>
      <c r="D311" s="245"/>
      <c r="E311" s="232"/>
      <c r="F311" s="233">
        <f>F309+F310</f>
        <v>45076382.902146555</v>
      </c>
      <c r="G311" s="245"/>
      <c r="H311" s="232"/>
      <c r="I311" s="233">
        <f>I309+I310</f>
        <v>46134588.902146555</v>
      </c>
      <c r="J311" s="207"/>
      <c r="K311" s="245"/>
      <c r="L311" s="232"/>
      <c r="M311" s="233" t="e">
        <f>M309+M310</f>
        <v>#REF!</v>
      </c>
      <c r="N311" s="233"/>
      <c r="O311" s="245"/>
      <c r="P311" s="232"/>
      <c r="Q311" s="233" t="e">
        <f>Q309+Q310</f>
        <v>#DIV/0!</v>
      </c>
      <c r="R311" s="233"/>
      <c r="S311" s="245"/>
      <c r="T311" s="232"/>
      <c r="U311" s="233" t="e">
        <f>U309+U310</f>
        <v>#DIV/0!</v>
      </c>
      <c r="V311" s="166"/>
      <c r="W311" s="167"/>
      <c r="X311" s="91"/>
      <c r="Y311" s="91"/>
      <c r="Z311" s="44"/>
      <c r="AA311" s="44"/>
      <c r="AB311" s="44"/>
      <c r="AC311" s="44"/>
      <c r="AD311" s="44"/>
      <c r="AE311" s="44"/>
      <c r="AF311" s="44"/>
      <c r="AG311" s="44"/>
      <c r="AH311" s="44"/>
      <c r="AI311" s="44"/>
      <c r="AJ311" s="44"/>
      <c r="AK311" s="44"/>
      <c r="AL311" s="44"/>
      <c r="AM311" s="44"/>
      <c r="AN311" s="44"/>
      <c r="AO311" s="44"/>
      <c r="AP311" s="44"/>
      <c r="AR311" s="115"/>
    </row>
    <row r="312" spans="1:44" hidden="1" x14ac:dyDescent="0.25">
      <c r="A312" s="149"/>
      <c r="B312" s="149"/>
      <c r="C312" s="169"/>
      <c r="D312" s="226"/>
      <c r="E312" s="149"/>
      <c r="F312" s="111"/>
      <c r="G312" s="226"/>
      <c r="H312" s="149"/>
      <c r="I312" s="111" t="s">
        <v>0</v>
      </c>
      <c r="J312" s="111"/>
      <c r="K312" s="226"/>
      <c r="L312" s="149"/>
      <c r="M312" s="111" t="s">
        <v>0</v>
      </c>
      <c r="N312" s="111"/>
      <c r="O312" s="226"/>
      <c r="P312" s="149"/>
      <c r="Q312" s="111" t="s">
        <v>0</v>
      </c>
      <c r="R312" s="111"/>
      <c r="S312" s="226"/>
      <c r="T312" s="149"/>
      <c r="U312" s="111" t="s">
        <v>0</v>
      </c>
      <c r="V312" s="44"/>
      <c r="W312" s="91"/>
      <c r="X312" s="91"/>
      <c r="Y312" s="91"/>
      <c r="Z312" s="44"/>
      <c r="AA312" s="44"/>
      <c r="AB312" s="44"/>
      <c r="AC312" s="44"/>
      <c r="AD312" s="44"/>
      <c r="AE312" s="44"/>
      <c r="AF312" s="44"/>
      <c r="AG312" s="44"/>
      <c r="AH312" s="44"/>
      <c r="AI312" s="44"/>
      <c r="AJ312" s="44"/>
      <c r="AK312" s="44"/>
      <c r="AL312" s="44"/>
      <c r="AM312" s="44"/>
      <c r="AN312" s="44"/>
      <c r="AO312" s="44"/>
      <c r="AP312" s="44"/>
      <c r="AR312" s="115"/>
    </row>
    <row r="313" spans="1:44" hidden="1" x14ac:dyDescent="0.25">
      <c r="A313" s="168" t="s">
        <v>121</v>
      </c>
      <c r="B313" s="149"/>
      <c r="C313" s="149"/>
      <c r="D313" s="111"/>
      <c r="E313" s="149"/>
      <c r="F313" s="149"/>
      <c r="G313" s="111"/>
      <c r="H313" s="149"/>
      <c r="I313" s="149"/>
      <c r="J313" s="149"/>
      <c r="K313" s="111"/>
      <c r="L313" s="149"/>
      <c r="M313" s="149"/>
      <c r="N313" s="149"/>
      <c r="O313" s="111"/>
      <c r="P313" s="149"/>
      <c r="Q313" s="149"/>
      <c r="R313" s="149"/>
      <c r="S313" s="111"/>
      <c r="T313" s="149"/>
      <c r="U313" s="149"/>
      <c r="V313" s="44"/>
      <c r="W313" s="91"/>
      <c r="X313" s="91"/>
      <c r="Y313" s="91"/>
      <c r="Z313" s="44"/>
      <c r="AA313" s="44"/>
      <c r="AB313" s="44"/>
      <c r="AC313" s="44"/>
      <c r="AD313" s="44"/>
      <c r="AE313" s="44"/>
      <c r="AF313" s="44"/>
      <c r="AG313" s="44"/>
      <c r="AH313" s="44"/>
      <c r="AI313" s="44"/>
      <c r="AJ313" s="44"/>
      <c r="AK313" s="44"/>
      <c r="AL313" s="44"/>
      <c r="AM313" s="44"/>
      <c r="AN313" s="44"/>
      <c r="AO313" s="44"/>
      <c r="AP313" s="44"/>
      <c r="AR313" s="115"/>
    </row>
    <row r="314" spans="1:44" hidden="1" x14ac:dyDescent="0.25">
      <c r="A314" s="149" t="s">
        <v>152</v>
      </c>
      <c r="B314" s="149"/>
      <c r="C314" s="169"/>
      <c r="D314" s="111"/>
      <c r="E314" s="149"/>
      <c r="F314" s="149"/>
      <c r="G314" s="111"/>
      <c r="H314" s="149"/>
      <c r="I314" s="149"/>
      <c r="J314" s="149"/>
      <c r="K314" s="111"/>
      <c r="L314" s="149"/>
      <c r="M314" s="149"/>
      <c r="N314" s="149"/>
      <c r="O314" s="111"/>
      <c r="P314" s="149"/>
      <c r="Q314" s="149"/>
      <c r="R314" s="149"/>
      <c r="S314" s="111"/>
      <c r="T314" s="149"/>
      <c r="U314" s="149"/>
      <c r="V314" s="44"/>
      <c r="W314" s="91"/>
      <c r="X314" s="91"/>
      <c r="Y314" s="91"/>
      <c r="Z314" s="44"/>
      <c r="AA314" s="44"/>
      <c r="AB314" s="44"/>
      <c r="AC314" s="44"/>
      <c r="AD314" s="44"/>
      <c r="AE314" s="44"/>
      <c r="AF314" s="44"/>
      <c r="AG314" s="44"/>
      <c r="AH314" s="44"/>
      <c r="AI314" s="44"/>
      <c r="AJ314" s="44"/>
      <c r="AK314" s="44"/>
      <c r="AL314" s="44"/>
      <c r="AM314" s="44"/>
      <c r="AN314" s="44"/>
      <c r="AO314" s="44"/>
      <c r="AP314" s="44"/>
      <c r="AR314" s="115"/>
    </row>
    <row r="315" spans="1:44" hidden="1" x14ac:dyDescent="0.25">
      <c r="A315" s="149"/>
      <c r="B315" s="149"/>
      <c r="C315" s="149"/>
      <c r="D315" s="111"/>
      <c r="E315" s="149"/>
      <c r="F315" s="149"/>
      <c r="G315" s="111"/>
      <c r="H315" s="149"/>
      <c r="I315" s="149"/>
      <c r="J315" s="149"/>
      <c r="K315" s="111"/>
      <c r="L315" s="149"/>
      <c r="M315" s="149"/>
      <c r="N315" s="149"/>
      <c r="O315" s="111"/>
      <c r="P315" s="149"/>
      <c r="Q315" s="149"/>
      <c r="R315" s="149"/>
      <c r="S315" s="111"/>
      <c r="T315" s="149"/>
      <c r="U315" s="149"/>
      <c r="V315" s="44"/>
      <c r="W315" s="91"/>
      <c r="X315" s="91"/>
      <c r="Y315" s="91"/>
      <c r="Z315" s="44"/>
      <c r="AA315" s="44"/>
      <c r="AB315" s="44"/>
      <c r="AC315" s="44"/>
      <c r="AD315" s="44"/>
      <c r="AE315" s="44"/>
      <c r="AF315" s="44"/>
      <c r="AG315" s="44"/>
      <c r="AH315" s="44"/>
      <c r="AI315" s="44"/>
      <c r="AJ315" s="44"/>
      <c r="AK315" s="44"/>
      <c r="AL315" s="44"/>
      <c r="AM315" s="44"/>
      <c r="AN315" s="44"/>
      <c r="AO315" s="44"/>
      <c r="AP315" s="44"/>
      <c r="AR315" s="115"/>
    </row>
    <row r="316" spans="1:44" hidden="1" x14ac:dyDescent="0.25">
      <c r="A316" s="149" t="s">
        <v>127</v>
      </c>
      <c r="B316" s="149"/>
      <c r="C316" s="204"/>
      <c r="D316" s="111"/>
      <c r="E316" s="149"/>
      <c r="F316" s="149"/>
      <c r="G316" s="111"/>
      <c r="H316" s="149"/>
      <c r="I316" s="149"/>
      <c r="J316" s="149"/>
      <c r="K316" s="111"/>
      <c r="L316" s="149"/>
      <c r="M316" s="149"/>
      <c r="N316" s="149"/>
      <c r="O316" s="111"/>
      <c r="P316" s="149"/>
      <c r="Q316" s="149"/>
      <c r="R316" s="149"/>
      <c r="S316" s="111"/>
      <c r="T316" s="149"/>
      <c r="U316" s="149"/>
      <c r="V316" s="44"/>
      <c r="W316" s="91"/>
      <c r="X316" s="91"/>
      <c r="Y316" s="91"/>
      <c r="Z316" s="44"/>
      <c r="AA316" s="44"/>
      <c r="AB316" s="44"/>
      <c r="AC316" s="44"/>
      <c r="AD316" s="44"/>
      <c r="AE316" s="44"/>
      <c r="AF316" s="44"/>
      <c r="AG316" s="44"/>
      <c r="AH316" s="44"/>
      <c r="AI316" s="44"/>
      <c r="AJ316" s="44"/>
      <c r="AK316" s="44"/>
      <c r="AL316" s="44"/>
      <c r="AM316" s="44"/>
      <c r="AN316" s="44"/>
      <c r="AO316" s="44"/>
      <c r="AP316" s="44"/>
      <c r="AR316" s="115"/>
    </row>
    <row r="317" spans="1:44" hidden="1" x14ac:dyDescent="0.25">
      <c r="A317" s="149" t="s">
        <v>124</v>
      </c>
      <c r="B317" s="149"/>
      <c r="C317" s="204">
        <v>1659.4666666666701</v>
      </c>
      <c r="D317" s="173">
        <v>9.76</v>
      </c>
      <c r="E317" s="206"/>
      <c r="F317" s="111">
        <f>ROUND(D317*$C317,0)</f>
        <v>16196</v>
      </c>
      <c r="G317" s="173">
        <f>$G$173</f>
        <v>9.99</v>
      </c>
      <c r="H317" s="206"/>
      <c r="I317" s="111">
        <f>ROUND(G317*$C317,0)</f>
        <v>16578</v>
      </c>
      <c r="J317" s="111"/>
      <c r="K317" s="173">
        <f>$K$173</f>
        <v>9.76</v>
      </c>
      <c r="L317" s="206"/>
      <c r="M317" s="111">
        <f>ROUND(K317*$C317,0)</f>
        <v>16196</v>
      </c>
      <c r="N317" s="111"/>
      <c r="O317" s="173" t="str">
        <f>$O$173</f>
        <v xml:space="preserve"> </v>
      </c>
      <c r="P317" s="206"/>
      <c r="Q317" s="111">
        <f>ROUND(O317*$C317,0)</f>
        <v>0</v>
      </c>
      <c r="R317" s="111"/>
      <c r="S317" s="173" t="str">
        <f>$S$173</f>
        <v xml:space="preserve"> </v>
      </c>
      <c r="T317" s="206"/>
      <c r="U317" s="111">
        <f>ROUND(S317*$C317,0)</f>
        <v>0</v>
      </c>
      <c r="V317" s="44"/>
      <c r="W317" s="91"/>
      <c r="X317" s="91"/>
      <c r="Y317" s="91"/>
      <c r="Z317" s="44"/>
      <c r="AA317" s="44"/>
      <c r="AB317" s="44"/>
      <c r="AC317" s="44"/>
      <c r="AD317" s="44"/>
      <c r="AE317" s="44"/>
      <c r="AF317" s="44"/>
      <c r="AG317" s="44"/>
      <c r="AH317" s="44"/>
      <c r="AI317" s="44"/>
      <c r="AJ317" s="44"/>
      <c r="AK317" s="44"/>
      <c r="AL317" s="44"/>
      <c r="AM317" s="44"/>
      <c r="AN317" s="44"/>
      <c r="AO317" s="44"/>
      <c r="AP317" s="44"/>
      <c r="AR317" s="115"/>
    </row>
    <row r="318" spans="1:44" hidden="1" x14ac:dyDescent="0.25">
      <c r="A318" s="149" t="s">
        <v>125</v>
      </c>
      <c r="B318" s="149"/>
      <c r="C318" s="204">
        <v>2898.2333333333399</v>
      </c>
      <c r="D318" s="173">
        <v>14.54</v>
      </c>
      <c r="E318" s="208"/>
      <c r="F318" s="111">
        <f t="shared" ref="F318:F319" si="65">ROUND(D318*$C318,0)</f>
        <v>42140</v>
      </c>
      <c r="G318" s="173">
        <f>$G$174</f>
        <v>14.89</v>
      </c>
      <c r="H318" s="208"/>
      <c r="I318" s="111">
        <f>ROUND(G318*$C318,0)</f>
        <v>43155</v>
      </c>
      <c r="J318" s="111"/>
      <c r="K318" s="173">
        <f>$K$174</f>
        <v>14.54</v>
      </c>
      <c r="L318" s="208"/>
      <c r="M318" s="111">
        <f>ROUND(K318*$C318,0)</f>
        <v>42140</v>
      </c>
      <c r="N318" s="111"/>
      <c r="O318" s="173" t="str">
        <f>$O$174</f>
        <v xml:space="preserve"> </v>
      </c>
      <c r="P318" s="208"/>
      <c r="Q318" s="111">
        <f>ROUND(O318*$C318,0)</f>
        <v>0</v>
      </c>
      <c r="R318" s="111"/>
      <c r="S318" s="173" t="str">
        <f>$S$174</f>
        <v xml:space="preserve"> </v>
      </c>
      <c r="T318" s="208"/>
      <c r="U318" s="111">
        <f>ROUND(S318*$C318,0)</f>
        <v>0</v>
      </c>
      <c r="V318" s="44"/>
      <c r="W318" s="91"/>
      <c r="X318" s="91"/>
      <c r="Y318" s="91"/>
      <c r="Z318" s="44"/>
      <c r="AA318" s="44"/>
      <c r="AB318" s="44"/>
      <c r="AC318" s="44"/>
      <c r="AD318" s="44"/>
      <c r="AE318" s="44"/>
      <c r="AF318" s="44"/>
      <c r="AG318" s="44"/>
      <c r="AH318" s="44"/>
      <c r="AI318" s="44"/>
      <c r="AJ318" s="44"/>
      <c r="AK318" s="44"/>
      <c r="AL318" s="44"/>
      <c r="AM318" s="44"/>
      <c r="AN318" s="44"/>
      <c r="AO318" s="44"/>
      <c r="AP318" s="44"/>
      <c r="AR318" s="115"/>
    </row>
    <row r="319" spans="1:44" hidden="1" x14ac:dyDescent="0.25">
      <c r="A319" s="149" t="s">
        <v>126</v>
      </c>
      <c r="B319" s="149"/>
      <c r="C319" s="204">
        <v>47405</v>
      </c>
      <c r="D319" s="173">
        <v>1.02</v>
      </c>
      <c r="E319" s="208"/>
      <c r="F319" s="111">
        <f t="shared" si="65"/>
        <v>48353</v>
      </c>
      <c r="G319" s="173">
        <f>$G$175</f>
        <v>1.04</v>
      </c>
      <c r="H319" s="208"/>
      <c r="I319" s="111">
        <f>ROUND(G319*$C319,0)</f>
        <v>49301</v>
      </c>
      <c r="J319" s="111"/>
      <c r="K319" s="173">
        <f>$K$175</f>
        <v>1.02</v>
      </c>
      <c r="L319" s="208"/>
      <c r="M319" s="111">
        <f>ROUND(K319*$C319,0)</f>
        <v>48353</v>
      </c>
      <c r="N319" s="111"/>
      <c r="O319" s="173" t="str">
        <f>$O$175</f>
        <v xml:space="preserve"> </v>
      </c>
      <c r="P319" s="208"/>
      <c r="Q319" s="111">
        <f>ROUND(O319*$C319,0)</f>
        <v>0</v>
      </c>
      <c r="R319" s="111"/>
      <c r="S319" s="173" t="str">
        <f>$S$175</f>
        <v xml:space="preserve"> </v>
      </c>
      <c r="T319" s="208"/>
      <c r="U319" s="111">
        <f>ROUND(S319*$C319,0)</f>
        <v>0</v>
      </c>
      <c r="V319" s="44"/>
      <c r="W319" s="91"/>
      <c r="X319" s="91"/>
      <c r="Y319" s="91"/>
      <c r="Z319" s="44"/>
      <c r="AA319" s="44"/>
      <c r="AB319" s="44"/>
      <c r="AC319" s="44"/>
      <c r="AD319" s="44"/>
      <c r="AE319" s="44"/>
      <c r="AF319" s="44"/>
      <c r="AG319" s="44"/>
      <c r="AH319" s="44"/>
      <c r="AI319" s="44"/>
      <c r="AJ319" s="44"/>
      <c r="AK319" s="44"/>
      <c r="AL319" s="44"/>
      <c r="AM319" s="44"/>
      <c r="AN319" s="44"/>
      <c r="AO319" s="44"/>
      <c r="AP319" s="44"/>
      <c r="AR319" s="115"/>
    </row>
    <row r="320" spans="1:44" hidden="1" x14ac:dyDescent="0.25">
      <c r="A320" s="149" t="s">
        <v>128</v>
      </c>
      <c r="B320" s="149"/>
      <c r="C320" s="204">
        <f>SUM(C317:C318)</f>
        <v>4557.7000000000098</v>
      </c>
      <c r="D320" s="173"/>
      <c r="E320" s="206"/>
      <c r="F320" s="111"/>
      <c r="G320" s="173"/>
      <c r="H320" s="206"/>
      <c r="I320" s="111"/>
      <c r="J320" s="111"/>
      <c r="K320" s="173"/>
      <c r="L320" s="206"/>
      <c r="M320" s="111"/>
      <c r="N320" s="111"/>
      <c r="O320" s="173"/>
      <c r="P320" s="206"/>
      <c r="Q320" s="111"/>
      <c r="R320" s="111"/>
      <c r="S320" s="173"/>
      <c r="T320" s="206"/>
      <c r="U320" s="111"/>
      <c r="V320" s="44"/>
      <c r="W320" s="91"/>
      <c r="X320" s="91"/>
      <c r="Y320" s="91"/>
      <c r="Z320" s="44"/>
      <c r="AA320" s="44"/>
      <c r="AB320" s="44"/>
      <c r="AC320" s="44"/>
      <c r="AD320" s="44"/>
      <c r="AE320" s="44"/>
      <c r="AF320" s="44"/>
      <c r="AG320" s="44"/>
      <c r="AH320" s="44"/>
      <c r="AI320" s="44"/>
      <c r="AJ320" s="44"/>
      <c r="AK320" s="44"/>
      <c r="AL320" s="44"/>
      <c r="AM320" s="44"/>
      <c r="AN320" s="44"/>
      <c r="AO320" s="44"/>
      <c r="AP320" s="44"/>
      <c r="AR320" s="115"/>
    </row>
    <row r="321" spans="1:44" hidden="1" x14ac:dyDescent="0.25">
      <c r="A321" s="149" t="s">
        <v>129</v>
      </c>
      <c r="B321" s="149"/>
      <c r="C321" s="204">
        <v>37943</v>
      </c>
      <c r="D321" s="226">
        <v>3.7</v>
      </c>
      <c r="E321" s="206"/>
      <c r="F321" s="111">
        <f>ROUND(D321*C321,0)</f>
        <v>140389</v>
      </c>
      <c r="G321" s="226">
        <f>$G$178</f>
        <v>3.8</v>
      </c>
      <c r="H321" s="206"/>
      <c r="I321" s="111">
        <f>ROUND(G321*$C321,0)</f>
        <v>144183</v>
      </c>
      <c r="J321" s="111"/>
      <c r="K321" s="226" t="e">
        <f>$K$178</f>
        <v>#REF!</v>
      </c>
      <c r="L321" s="206"/>
      <c r="M321" s="111" t="e">
        <f>ROUND(K321*$C321,0)</f>
        <v>#REF!</v>
      </c>
      <c r="N321" s="111"/>
      <c r="O321" s="226" t="e">
        <f>$O$178</f>
        <v>#DIV/0!</v>
      </c>
      <c r="P321" s="206"/>
      <c r="Q321" s="111" t="e">
        <f>ROUND(O321*$C321,0)</f>
        <v>#DIV/0!</v>
      </c>
      <c r="R321" s="111"/>
      <c r="S321" s="226" t="e">
        <f>$S$178</f>
        <v>#DIV/0!</v>
      </c>
      <c r="T321" s="206"/>
      <c r="U321" s="111" t="e">
        <f>ROUND(S321*$C321,0)</f>
        <v>#DIV/0!</v>
      </c>
      <c r="V321" s="44"/>
      <c r="W321" s="91"/>
      <c r="X321" s="91"/>
      <c r="Y321" s="91"/>
      <c r="Z321" s="44"/>
      <c r="AA321" s="44"/>
      <c r="AB321" s="44"/>
      <c r="AC321" s="44"/>
      <c r="AD321" s="44"/>
      <c r="AE321" s="44"/>
      <c r="AF321" s="44"/>
      <c r="AG321" s="44"/>
      <c r="AH321" s="44"/>
      <c r="AI321" s="44"/>
      <c r="AJ321" s="44"/>
      <c r="AK321" s="44"/>
      <c r="AL321" s="44"/>
      <c r="AM321" s="44"/>
      <c r="AN321" s="44"/>
      <c r="AO321" s="44"/>
      <c r="AP321" s="44"/>
      <c r="AR321" s="115"/>
    </row>
    <row r="322" spans="1:44" hidden="1" x14ac:dyDescent="0.25">
      <c r="A322" s="149" t="s">
        <v>130</v>
      </c>
      <c r="B322" s="149"/>
      <c r="C322" s="204">
        <v>3121618.3333333335</v>
      </c>
      <c r="D322" s="175">
        <v>10.628</v>
      </c>
      <c r="E322" s="206" t="s">
        <v>89</v>
      </c>
      <c r="F322" s="111">
        <f>ROUND(D322*C322/100,0)</f>
        <v>331766</v>
      </c>
      <c r="G322" s="175">
        <f>$G$179</f>
        <v>10.878</v>
      </c>
      <c r="H322" s="206" t="s">
        <v>89</v>
      </c>
      <c r="I322" s="111">
        <f>ROUND(G322*$C322/100,0)</f>
        <v>339570</v>
      </c>
      <c r="J322" s="111"/>
      <c r="K322" s="175" t="e">
        <f>$K$179</f>
        <v>#REF!</v>
      </c>
      <c r="L322" s="206" t="s">
        <v>89</v>
      </c>
      <c r="M322" s="111" t="e">
        <f>ROUND(K322*$C322/100,0)</f>
        <v>#REF!</v>
      </c>
      <c r="N322" s="111"/>
      <c r="O322" s="175" t="e">
        <f>$O$179</f>
        <v>#DIV/0!</v>
      </c>
      <c r="P322" s="206" t="s">
        <v>89</v>
      </c>
      <c r="Q322" s="111" t="e">
        <f>ROUND(O322*$C322/100,0)</f>
        <v>#DIV/0!</v>
      </c>
      <c r="R322" s="111"/>
      <c r="S322" s="175" t="e">
        <f>$S$179</f>
        <v>#DIV/0!</v>
      </c>
      <c r="T322" s="206" t="s">
        <v>89</v>
      </c>
      <c r="U322" s="111" t="e">
        <f>ROUND(S322*$C322/100,0)</f>
        <v>#DIV/0!</v>
      </c>
      <c r="V322" s="44"/>
      <c r="W322" s="91"/>
      <c r="X322" s="91"/>
      <c r="Y322" s="91"/>
      <c r="Z322" s="44"/>
      <c r="AA322" s="44"/>
      <c r="AB322" s="44"/>
      <c r="AC322" s="44"/>
      <c r="AD322" s="44"/>
      <c r="AE322" s="44"/>
      <c r="AF322" s="44"/>
      <c r="AG322" s="44"/>
      <c r="AH322" s="44"/>
      <c r="AI322" s="44"/>
      <c r="AJ322" s="44"/>
      <c r="AK322" s="44"/>
      <c r="AL322" s="44"/>
      <c r="AM322" s="44"/>
      <c r="AN322" s="44"/>
      <c r="AO322" s="44"/>
      <c r="AP322" s="44"/>
      <c r="AR322" s="115"/>
    </row>
    <row r="323" spans="1:44" hidden="1" x14ac:dyDescent="0.25">
      <c r="A323" s="149" t="s">
        <v>131</v>
      </c>
      <c r="B323" s="149"/>
      <c r="C323" s="204">
        <v>9404351.6666666642</v>
      </c>
      <c r="D323" s="175">
        <v>7.3410000000000002</v>
      </c>
      <c r="E323" s="206" t="s">
        <v>89</v>
      </c>
      <c r="F323" s="111">
        <f>ROUND(D323*C323/100,0)</f>
        <v>690373</v>
      </c>
      <c r="G323" s="175">
        <f>$G$180</f>
        <v>7.5140000000000002</v>
      </c>
      <c r="H323" s="206" t="s">
        <v>89</v>
      </c>
      <c r="I323" s="111">
        <f>ROUND(G323*$C323/100,0)</f>
        <v>706643</v>
      </c>
      <c r="J323" s="111"/>
      <c r="K323" s="175" t="e">
        <f>$K$180</f>
        <v>#REF!</v>
      </c>
      <c r="L323" s="206" t="s">
        <v>89</v>
      </c>
      <c r="M323" s="111" t="e">
        <f>ROUND(K323*$C323/100,0)</f>
        <v>#REF!</v>
      </c>
      <c r="N323" s="111"/>
      <c r="O323" s="175" t="e">
        <f>$O$180</f>
        <v>#DIV/0!</v>
      </c>
      <c r="P323" s="206" t="s">
        <v>89</v>
      </c>
      <c r="Q323" s="111" t="e">
        <f>ROUND(O323*$C323/100,0)</f>
        <v>#DIV/0!</v>
      </c>
      <c r="R323" s="111"/>
      <c r="S323" s="175" t="e">
        <f>$S$180</f>
        <v>#DIV/0!</v>
      </c>
      <c r="T323" s="206" t="s">
        <v>89</v>
      </c>
      <c r="U323" s="111" t="e">
        <f>ROUND(S323*$C323/100,0)</f>
        <v>#DIV/0!</v>
      </c>
      <c r="V323" s="44"/>
      <c r="W323" s="91"/>
      <c r="X323" s="91"/>
      <c r="Y323" s="91"/>
      <c r="Z323" s="44"/>
      <c r="AA323" s="44"/>
      <c r="AB323" s="44"/>
      <c r="AC323" s="44"/>
      <c r="AD323" s="44"/>
      <c r="AE323" s="44"/>
      <c r="AF323" s="44"/>
      <c r="AG323" s="44"/>
      <c r="AH323" s="44"/>
      <c r="AI323" s="44"/>
      <c r="AJ323" s="44"/>
      <c r="AK323" s="44"/>
      <c r="AL323" s="44"/>
      <c r="AM323" s="44"/>
      <c r="AN323" s="44"/>
      <c r="AO323" s="44"/>
      <c r="AP323" s="44"/>
      <c r="AR323" s="115"/>
    </row>
    <row r="324" spans="1:44" hidden="1" x14ac:dyDescent="0.25">
      <c r="A324" s="149" t="s">
        <v>132</v>
      </c>
      <c r="B324" s="149"/>
      <c r="C324" s="204">
        <v>4754181.0000000019</v>
      </c>
      <c r="D324" s="175">
        <v>6.3240000000000007</v>
      </c>
      <c r="E324" s="206" t="s">
        <v>89</v>
      </c>
      <c r="F324" s="111">
        <f>ROUND(D324*C324/100,0)</f>
        <v>300654</v>
      </c>
      <c r="G324" s="175">
        <f>$G$181</f>
        <v>6.4720000000000004</v>
      </c>
      <c r="H324" s="206" t="s">
        <v>89</v>
      </c>
      <c r="I324" s="111">
        <f>ROUND(G324*$C324/100,0)</f>
        <v>307691</v>
      </c>
      <c r="J324" s="111"/>
      <c r="K324" s="175" t="e">
        <f>$K$181</f>
        <v>#REF!</v>
      </c>
      <c r="L324" s="206" t="s">
        <v>89</v>
      </c>
      <c r="M324" s="111" t="e">
        <f>ROUND(K324*$C324/100,0)</f>
        <v>#REF!</v>
      </c>
      <c r="N324" s="111"/>
      <c r="O324" s="175" t="e">
        <f>$O$181</f>
        <v>#DIV/0!</v>
      </c>
      <c r="P324" s="206" t="s">
        <v>89</v>
      </c>
      <c r="Q324" s="111" t="e">
        <f>ROUND(O324*$C324/100,0)</f>
        <v>#DIV/0!</v>
      </c>
      <c r="R324" s="111"/>
      <c r="S324" s="175" t="e">
        <f>$S$181</f>
        <v>#DIV/0!</v>
      </c>
      <c r="T324" s="206" t="s">
        <v>89</v>
      </c>
      <c r="U324" s="111" t="e">
        <f>ROUND(S324*$C324/100,0)</f>
        <v>#DIV/0!</v>
      </c>
      <c r="V324" s="44"/>
      <c r="W324" s="91"/>
      <c r="X324" s="91"/>
      <c r="Y324" s="91"/>
      <c r="Z324" s="44"/>
      <c r="AA324" s="44"/>
      <c r="AB324" s="44"/>
      <c r="AC324" s="44"/>
      <c r="AD324" s="44"/>
      <c r="AE324" s="44"/>
      <c r="AF324" s="44"/>
      <c r="AG324" s="44"/>
      <c r="AH324" s="44"/>
      <c r="AI324" s="44"/>
      <c r="AJ324" s="44"/>
      <c r="AK324" s="44"/>
      <c r="AL324" s="44"/>
      <c r="AM324" s="44"/>
      <c r="AN324" s="44"/>
      <c r="AO324" s="44"/>
      <c r="AP324" s="44"/>
      <c r="AR324" s="115"/>
    </row>
    <row r="325" spans="1:44" hidden="1" x14ac:dyDescent="0.25">
      <c r="A325" s="149" t="s">
        <v>133</v>
      </c>
      <c r="B325" s="149"/>
      <c r="C325" s="204">
        <v>13463.333333333332</v>
      </c>
      <c r="D325" s="212">
        <v>57</v>
      </c>
      <c r="E325" s="206" t="s">
        <v>89</v>
      </c>
      <c r="F325" s="111">
        <f>ROUND(D325*C325/100,0)</f>
        <v>7674</v>
      </c>
      <c r="G325" s="212">
        <f>$G$182</f>
        <v>58</v>
      </c>
      <c r="H325" s="206" t="s">
        <v>89</v>
      </c>
      <c r="I325" s="111">
        <f>ROUND(G325*$C325/100,0)</f>
        <v>7809</v>
      </c>
      <c r="J325" s="111"/>
      <c r="K325" s="212" t="str">
        <f>$K$182</f>
        <v xml:space="preserve"> </v>
      </c>
      <c r="L325" s="206" t="s">
        <v>89</v>
      </c>
      <c r="M325" s="111">
        <f>ROUND(K325*$C325/100,0)</f>
        <v>0</v>
      </c>
      <c r="N325" s="111"/>
      <c r="O325" s="212" t="e">
        <f>$O$182</f>
        <v>#DIV/0!</v>
      </c>
      <c r="P325" s="206" t="s">
        <v>89</v>
      </c>
      <c r="Q325" s="111" t="e">
        <f>ROUND(O325*$C325/100,0)</f>
        <v>#DIV/0!</v>
      </c>
      <c r="R325" s="111"/>
      <c r="S325" s="212" t="e">
        <f>$S$182</f>
        <v>#DIV/0!</v>
      </c>
      <c r="T325" s="206" t="s">
        <v>89</v>
      </c>
      <c r="U325" s="111" t="e">
        <f>ROUND(S325*$C325/100,0)</f>
        <v>#DIV/0!</v>
      </c>
      <c r="V325" s="44"/>
      <c r="W325" s="91"/>
      <c r="X325" s="91"/>
      <c r="Y325" s="91"/>
      <c r="Z325" s="44"/>
      <c r="AA325" s="44"/>
      <c r="AB325" s="44"/>
      <c r="AC325" s="44"/>
      <c r="AD325" s="44"/>
      <c r="AE325" s="44"/>
      <c r="AF325" s="44"/>
      <c r="AG325" s="44"/>
      <c r="AH325" s="44"/>
      <c r="AI325" s="44"/>
      <c r="AJ325" s="44"/>
      <c r="AK325" s="44"/>
      <c r="AL325" s="44"/>
      <c r="AM325" s="44"/>
      <c r="AN325" s="44"/>
      <c r="AO325" s="44"/>
      <c r="AP325" s="44"/>
      <c r="AR325" s="115"/>
    </row>
    <row r="326" spans="1:44" s="120" customFormat="1" hidden="1" x14ac:dyDescent="0.25">
      <c r="A326" s="119" t="s">
        <v>134</v>
      </c>
      <c r="C326" s="121">
        <f>C322</f>
        <v>3121618.3333333335</v>
      </c>
      <c r="D326" s="128">
        <v>0</v>
      </c>
      <c r="E326" s="122"/>
      <c r="F326" s="123"/>
      <c r="G326" s="124">
        <f>G183</f>
        <v>0</v>
      </c>
      <c r="H326" s="215" t="s">
        <v>89</v>
      </c>
      <c r="I326" s="123">
        <f t="shared" ref="I326:I328" si="66">ROUND(G326*$C326/100,0)</f>
        <v>0</v>
      </c>
      <c r="J326" s="123"/>
      <c r="K326" s="124" t="str">
        <f>K183</f>
        <v xml:space="preserve"> </v>
      </c>
      <c r="L326" s="215" t="s">
        <v>89</v>
      </c>
      <c r="M326" s="123">
        <f t="shared" ref="M326:M328" si="67">ROUND(K326*$C326/100,0)</f>
        <v>0</v>
      </c>
      <c r="N326" s="123"/>
      <c r="O326" s="124" t="str">
        <f>O183</f>
        <v xml:space="preserve"> </v>
      </c>
      <c r="P326" s="215" t="s">
        <v>89</v>
      </c>
      <c r="Q326" s="123">
        <f t="shared" ref="Q326:Q328" si="68">ROUND(O326*$C326/100,0)</f>
        <v>0</v>
      </c>
      <c r="R326" s="123"/>
      <c r="S326" s="124">
        <f>S183</f>
        <v>0</v>
      </c>
      <c r="T326" s="215" t="s">
        <v>89</v>
      </c>
      <c r="U326" s="123">
        <f t="shared" ref="U326:U328" si="69">ROUND(S326*$C326/100,0)</f>
        <v>0</v>
      </c>
      <c r="W326" s="112"/>
      <c r="Z326" s="127"/>
      <c r="AA326" s="127"/>
      <c r="AF326" s="122"/>
      <c r="AG326" s="122"/>
      <c r="AH326" s="122"/>
      <c r="AI326" s="122"/>
      <c r="AJ326" s="122"/>
      <c r="AK326" s="122"/>
      <c r="AL326" s="122"/>
      <c r="AM326" s="122"/>
      <c r="AN326" s="122"/>
      <c r="AO326" s="122"/>
      <c r="AP326" s="122"/>
      <c r="AR326" s="126"/>
    </row>
    <row r="327" spans="1:44" s="120" customFormat="1" hidden="1" x14ac:dyDescent="0.25">
      <c r="A327" s="119" t="s">
        <v>135</v>
      </c>
      <c r="C327" s="121">
        <f>C323</f>
        <v>9404351.6666666642</v>
      </c>
      <c r="D327" s="128">
        <v>0</v>
      </c>
      <c r="E327" s="122"/>
      <c r="F327" s="123"/>
      <c r="G327" s="124">
        <f>G184</f>
        <v>0</v>
      </c>
      <c r="H327" s="215" t="s">
        <v>89</v>
      </c>
      <c r="I327" s="123">
        <f t="shared" si="66"/>
        <v>0</v>
      </c>
      <c r="J327" s="123"/>
      <c r="K327" s="124" t="str">
        <f>K184</f>
        <v xml:space="preserve"> </v>
      </c>
      <c r="L327" s="215" t="s">
        <v>89</v>
      </c>
      <c r="M327" s="123">
        <f t="shared" si="67"/>
        <v>0</v>
      </c>
      <c r="N327" s="123"/>
      <c r="O327" s="124" t="str">
        <f>O184</f>
        <v xml:space="preserve"> </v>
      </c>
      <c r="P327" s="215" t="s">
        <v>89</v>
      </c>
      <c r="Q327" s="123">
        <f t="shared" si="68"/>
        <v>0</v>
      </c>
      <c r="R327" s="123"/>
      <c r="S327" s="124">
        <f>S184</f>
        <v>0</v>
      </c>
      <c r="T327" s="215" t="s">
        <v>89</v>
      </c>
      <c r="U327" s="123">
        <f t="shared" si="69"/>
        <v>0</v>
      </c>
      <c r="W327" s="112"/>
      <c r="Z327" s="127"/>
      <c r="AA327" s="127"/>
      <c r="AF327" s="122"/>
      <c r="AG327" s="122"/>
      <c r="AH327" s="122"/>
      <c r="AI327" s="122"/>
      <c r="AJ327" s="122"/>
      <c r="AK327" s="122"/>
      <c r="AL327" s="122"/>
      <c r="AM327" s="122"/>
      <c r="AN327" s="122"/>
      <c r="AO327" s="122"/>
      <c r="AP327" s="122"/>
      <c r="AR327" s="126"/>
    </row>
    <row r="328" spans="1:44" s="120" customFormat="1" hidden="1" x14ac:dyDescent="0.25">
      <c r="A328" s="119" t="s">
        <v>136</v>
      </c>
      <c r="C328" s="121">
        <f>C324</f>
        <v>4754181.0000000019</v>
      </c>
      <c r="D328" s="128">
        <v>0</v>
      </c>
      <c r="E328" s="122"/>
      <c r="F328" s="123"/>
      <c r="G328" s="124">
        <f>G185</f>
        <v>0</v>
      </c>
      <c r="H328" s="215" t="s">
        <v>89</v>
      </c>
      <c r="I328" s="123">
        <f t="shared" si="66"/>
        <v>0</v>
      </c>
      <c r="J328" s="123"/>
      <c r="K328" s="124" t="str">
        <f>K185</f>
        <v xml:space="preserve"> </v>
      </c>
      <c r="L328" s="215" t="s">
        <v>89</v>
      </c>
      <c r="M328" s="123">
        <f t="shared" si="67"/>
        <v>0</v>
      </c>
      <c r="N328" s="123"/>
      <c r="O328" s="124" t="str">
        <f>O185</f>
        <v xml:space="preserve"> </v>
      </c>
      <c r="P328" s="215" t="s">
        <v>89</v>
      </c>
      <c r="Q328" s="123">
        <f t="shared" si="68"/>
        <v>0</v>
      </c>
      <c r="R328" s="123"/>
      <c r="S328" s="124">
        <f>S185</f>
        <v>0</v>
      </c>
      <c r="T328" s="215" t="s">
        <v>89</v>
      </c>
      <c r="U328" s="123">
        <f t="shared" si="69"/>
        <v>0</v>
      </c>
      <c r="W328" s="112"/>
      <c r="Z328" s="127"/>
      <c r="AA328" s="127"/>
      <c r="AF328" s="122"/>
      <c r="AG328" s="122"/>
      <c r="AH328" s="122"/>
      <c r="AI328" s="122"/>
      <c r="AJ328" s="122"/>
      <c r="AK328" s="122"/>
      <c r="AL328" s="122"/>
      <c r="AM328" s="122"/>
      <c r="AN328" s="122"/>
      <c r="AO328" s="122"/>
      <c r="AP328" s="122"/>
      <c r="AR328" s="126"/>
    </row>
    <row r="329" spans="1:44" hidden="1" x14ac:dyDescent="0.25">
      <c r="A329" s="219" t="s">
        <v>140</v>
      </c>
      <c r="B329" s="149"/>
      <c r="C329" s="204"/>
      <c r="D329" s="220">
        <v>-0.01</v>
      </c>
      <c r="E329" s="206"/>
      <c r="F329" s="111"/>
      <c r="G329" s="220">
        <v>-0.01</v>
      </c>
      <c r="H329" s="206"/>
      <c r="I329" s="111"/>
      <c r="J329" s="111"/>
      <c r="K329" s="220">
        <v>-0.01</v>
      </c>
      <c r="L329" s="206"/>
      <c r="M329" s="111"/>
      <c r="N329" s="111"/>
      <c r="O329" s="220">
        <v>-0.01</v>
      </c>
      <c r="P329" s="206"/>
      <c r="Q329" s="111"/>
      <c r="R329" s="111"/>
      <c r="S329" s="220">
        <v>-0.01</v>
      </c>
      <c r="T329" s="206"/>
      <c r="U329" s="111"/>
      <c r="V329" s="44"/>
      <c r="W329" s="91"/>
      <c r="X329" s="91"/>
      <c r="Y329" s="91"/>
      <c r="Z329" s="44"/>
      <c r="AA329" s="44"/>
      <c r="AB329" s="44"/>
      <c r="AC329" s="44"/>
      <c r="AD329" s="44"/>
      <c r="AE329" s="44"/>
      <c r="AF329" s="44"/>
      <c r="AG329" s="44"/>
      <c r="AH329" s="44"/>
      <c r="AI329" s="44"/>
      <c r="AJ329" s="44"/>
      <c r="AK329" s="44"/>
      <c r="AL329" s="44"/>
      <c r="AM329" s="44"/>
      <c r="AN329" s="44"/>
      <c r="AO329" s="44"/>
      <c r="AP329" s="44"/>
      <c r="AR329" s="115"/>
    </row>
    <row r="330" spans="1:44" hidden="1" x14ac:dyDescent="0.25">
      <c r="A330" s="149" t="s">
        <v>124</v>
      </c>
      <c r="B330" s="149"/>
      <c r="C330" s="204">
        <v>0</v>
      </c>
      <c r="D330" s="222">
        <v>9.76</v>
      </c>
      <c r="E330" s="223"/>
      <c r="F330" s="111">
        <f>-ROUND(D330*$C330/100,0)</f>
        <v>0</v>
      </c>
      <c r="G330" s="222">
        <f>G317</f>
        <v>9.99</v>
      </c>
      <c r="H330" s="223"/>
      <c r="I330" s="111">
        <f>-ROUND(G330*$C330/100,0)</f>
        <v>0</v>
      </c>
      <c r="J330" s="111"/>
      <c r="K330" s="222">
        <f>K317</f>
        <v>9.76</v>
      </c>
      <c r="L330" s="223"/>
      <c r="M330" s="111">
        <f>-ROUND(K330*$C330/100,0)</f>
        <v>0</v>
      </c>
      <c r="N330" s="111"/>
      <c r="O330" s="222" t="str">
        <f>O317</f>
        <v xml:space="preserve"> </v>
      </c>
      <c r="P330" s="223"/>
      <c r="Q330" s="111">
        <f>-ROUND(O330*$C330/100,0)</f>
        <v>0</v>
      </c>
      <c r="R330" s="111"/>
      <c r="S330" s="222" t="str">
        <f>S317</f>
        <v xml:space="preserve"> </v>
      </c>
      <c r="T330" s="223"/>
      <c r="U330" s="111">
        <f>-ROUND(S330*$C330/100,0)</f>
        <v>0</v>
      </c>
      <c r="V330" s="44"/>
      <c r="W330" s="91"/>
      <c r="X330" s="91"/>
      <c r="Y330" s="91"/>
      <c r="Z330" s="44"/>
      <c r="AA330" s="44"/>
      <c r="AB330" s="44"/>
      <c r="AC330" s="44"/>
      <c r="AD330" s="44"/>
      <c r="AE330" s="44"/>
      <c r="AF330" s="44"/>
      <c r="AG330" s="44"/>
      <c r="AH330" s="44"/>
      <c r="AI330" s="44"/>
      <c r="AJ330" s="44"/>
      <c r="AK330" s="44"/>
      <c r="AL330" s="44"/>
      <c r="AM330" s="44"/>
      <c r="AN330" s="44"/>
      <c r="AO330" s="44"/>
      <c r="AP330" s="44"/>
      <c r="AR330" s="115"/>
    </row>
    <row r="331" spans="1:44" hidden="1" x14ac:dyDescent="0.25">
      <c r="A331" s="149" t="s">
        <v>125</v>
      </c>
      <c r="B331" s="149"/>
      <c r="C331" s="204">
        <v>7.8666666666666698</v>
      </c>
      <c r="D331" s="222">
        <v>14.54</v>
      </c>
      <c r="E331" s="223"/>
      <c r="F331" s="111">
        <f t="shared" ref="F331:F333" si="70">-ROUND(D331*$C331/100,0)</f>
        <v>-1</v>
      </c>
      <c r="G331" s="222">
        <f>G318</f>
        <v>14.89</v>
      </c>
      <c r="H331" s="223"/>
      <c r="I331" s="111">
        <f>-ROUND(G331*$C331/100,0)</f>
        <v>-1</v>
      </c>
      <c r="J331" s="111"/>
      <c r="K331" s="222">
        <f>K318</f>
        <v>14.54</v>
      </c>
      <c r="L331" s="223"/>
      <c r="M331" s="111">
        <f>-ROUND(K331*$C331/100,0)</f>
        <v>-1</v>
      </c>
      <c r="N331" s="111"/>
      <c r="O331" s="222" t="str">
        <f>O318</f>
        <v xml:space="preserve"> </v>
      </c>
      <c r="P331" s="223"/>
      <c r="Q331" s="111">
        <f>-ROUND(O331*$C331/100,0)</f>
        <v>0</v>
      </c>
      <c r="R331" s="111"/>
      <c r="S331" s="222" t="str">
        <f>S318</f>
        <v xml:space="preserve"> </v>
      </c>
      <c r="T331" s="223"/>
      <c r="U331" s="111">
        <f>-ROUND(S331*$C331/100,0)</f>
        <v>0</v>
      </c>
      <c r="V331" s="44"/>
      <c r="W331" s="91"/>
      <c r="X331" s="91"/>
      <c r="Y331" s="91"/>
      <c r="Z331" s="44"/>
      <c r="AA331" s="44"/>
      <c r="AB331" s="44"/>
      <c r="AC331" s="44"/>
      <c r="AD331" s="44"/>
      <c r="AE331" s="44"/>
      <c r="AF331" s="44"/>
      <c r="AG331" s="44"/>
      <c r="AH331" s="44"/>
      <c r="AI331" s="44"/>
      <c r="AJ331" s="44"/>
      <c r="AK331" s="44"/>
      <c r="AL331" s="44"/>
      <c r="AM331" s="44"/>
      <c r="AN331" s="44"/>
      <c r="AO331" s="44"/>
      <c r="AP331" s="44"/>
      <c r="AR331" s="115"/>
    </row>
    <row r="332" spans="1:44" hidden="1" x14ac:dyDescent="0.25">
      <c r="A332" s="149" t="s">
        <v>141</v>
      </c>
      <c r="B332" s="149"/>
      <c r="C332" s="204">
        <v>543</v>
      </c>
      <c r="D332" s="222">
        <v>1.02</v>
      </c>
      <c r="E332" s="223"/>
      <c r="F332" s="111">
        <f t="shared" si="70"/>
        <v>-6</v>
      </c>
      <c r="G332" s="222">
        <f>G319</f>
        <v>1.04</v>
      </c>
      <c r="H332" s="223"/>
      <c r="I332" s="111">
        <f>-ROUND(G332*$C332/100,0)</f>
        <v>-6</v>
      </c>
      <c r="J332" s="111"/>
      <c r="K332" s="222">
        <f>K319</f>
        <v>1.02</v>
      </c>
      <c r="L332" s="223"/>
      <c r="M332" s="111">
        <f>-ROUND(K332*$C332/100,0)</f>
        <v>-6</v>
      </c>
      <c r="N332" s="111"/>
      <c r="O332" s="222" t="str">
        <f>O319</f>
        <v xml:space="preserve"> </v>
      </c>
      <c r="P332" s="223"/>
      <c r="Q332" s="111">
        <f>-ROUND(O332*$C332/100,0)</f>
        <v>0</v>
      </c>
      <c r="R332" s="111"/>
      <c r="S332" s="222" t="str">
        <f>S319</f>
        <v xml:space="preserve"> </v>
      </c>
      <c r="T332" s="223"/>
      <c r="U332" s="111">
        <f>-ROUND(S332*$C332/100,0)</f>
        <v>0</v>
      </c>
      <c r="V332" s="44"/>
      <c r="W332" s="91"/>
      <c r="X332" s="91"/>
      <c r="Y332" s="91"/>
      <c r="Z332" s="44"/>
      <c r="AA332" s="44"/>
      <c r="AB332" s="44"/>
      <c r="AC332" s="44"/>
      <c r="AD332" s="44"/>
      <c r="AE332" s="44"/>
      <c r="AF332" s="44"/>
      <c r="AG332" s="44"/>
      <c r="AH332" s="44"/>
      <c r="AI332" s="44"/>
      <c r="AJ332" s="44"/>
      <c r="AK332" s="44"/>
      <c r="AL332" s="44"/>
      <c r="AM332" s="44"/>
      <c r="AN332" s="44"/>
      <c r="AO332" s="44"/>
      <c r="AP332" s="44"/>
      <c r="AR332" s="115"/>
    </row>
    <row r="333" spans="1:44" hidden="1" x14ac:dyDescent="0.25">
      <c r="A333" s="149" t="s">
        <v>142</v>
      </c>
      <c r="B333" s="149"/>
      <c r="C333" s="204">
        <v>722</v>
      </c>
      <c r="D333" s="222">
        <v>3.7</v>
      </c>
      <c r="E333" s="206"/>
      <c r="F333" s="111">
        <f t="shared" si="70"/>
        <v>-27</v>
      </c>
      <c r="G333" s="222">
        <f>G321</f>
        <v>3.8</v>
      </c>
      <c r="H333" s="206"/>
      <c r="I333" s="111">
        <f>-ROUND(G333*$C333/100,0)</f>
        <v>-27</v>
      </c>
      <c r="J333" s="111"/>
      <c r="K333" s="222" t="e">
        <f>K321</f>
        <v>#REF!</v>
      </c>
      <c r="L333" s="206"/>
      <c r="M333" s="111" t="e">
        <f>-ROUND(K333*$C333/100,0)</f>
        <v>#REF!</v>
      </c>
      <c r="N333" s="111"/>
      <c r="O333" s="222" t="e">
        <f>O321</f>
        <v>#DIV/0!</v>
      </c>
      <c r="P333" s="206"/>
      <c r="Q333" s="111" t="e">
        <f>-ROUND(O333*$C333/100,0)</f>
        <v>#DIV/0!</v>
      </c>
      <c r="R333" s="111"/>
      <c r="S333" s="222" t="e">
        <f>S321</f>
        <v>#DIV/0!</v>
      </c>
      <c r="T333" s="206"/>
      <c r="U333" s="111" t="e">
        <f>-ROUND(S333*$C333/100,0)</f>
        <v>#DIV/0!</v>
      </c>
      <c r="V333" s="44"/>
      <c r="W333" s="91"/>
      <c r="X333" s="91"/>
      <c r="Y333" s="91"/>
      <c r="Z333" s="44"/>
      <c r="AA333" s="44"/>
      <c r="AB333" s="44"/>
      <c r="AC333" s="44"/>
      <c r="AD333" s="44"/>
      <c r="AE333" s="44"/>
      <c r="AF333" s="44"/>
      <c r="AG333" s="44"/>
      <c r="AH333" s="44"/>
      <c r="AI333" s="44"/>
      <c r="AJ333" s="44"/>
      <c r="AK333" s="44"/>
      <c r="AL333" s="44"/>
      <c r="AM333" s="44"/>
      <c r="AN333" s="44"/>
      <c r="AO333" s="44"/>
      <c r="AP333" s="44"/>
      <c r="AR333" s="115"/>
    </row>
    <row r="334" spans="1:44" hidden="1" x14ac:dyDescent="0.25">
      <c r="A334" s="149" t="s">
        <v>143</v>
      </c>
      <c r="B334" s="149"/>
      <c r="C334" s="204">
        <v>7866.6666666666697</v>
      </c>
      <c r="D334" s="224">
        <v>10.628</v>
      </c>
      <c r="E334" s="206" t="s">
        <v>89</v>
      </c>
      <c r="F334" s="111">
        <f>ROUND(D334*$C334/100*D329,0)</f>
        <v>-8</v>
      </c>
      <c r="G334" s="224">
        <f>G322</f>
        <v>10.878</v>
      </c>
      <c r="H334" s="206" t="s">
        <v>89</v>
      </c>
      <c r="I334" s="111">
        <f>ROUND(G334*$C334/100*G329,0)</f>
        <v>-9</v>
      </c>
      <c r="J334" s="111"/>
      <c r="K334" s="224" t="e">
        <f>K322</f>
        <v>#REF!</v>
      </c>
      <c r="L334" s="206" t="s">
        <v>89</v>
      </c>
      <c r="M334" s="111" t="e">
        <f>ROUND(K334*$C334/100*K329,0)</f>
        <v>#REF!</v>
      </c>
      <c r="N334" s="111"/>
      <c r="O334" s="224" t="e">
        <f>O322</f>
        <v>#DIV/0!</v>
      </c>
      <c r="P334" s="206" t="s">
        <v>89</v>
      </c>
      <c r="Q334" s="111" t="e">
        <f>ROUND(O334*$C334/100*O329,0)</f>
        <v>#DIV/0!</v>
      </c>
      <c r="R334" s="111"/>
      <c r="S334" s="224" t="e">
        <f>S322</f>
        <v>#DIV/0!</v>
      </c>
      <c r="T334" s="206" t="s">
        <v>89</v>
      </c>
      <c r="U334" s="111" t="e">
        <f>ROUND(S334*$C334/100*S329,0)</f>
        <v>#DIV/0!</v>
      </c>
      <c r="V334" s="44"/>
      <c r="W334" s="91"/>
      <c r="X334" s="91"/>
      <c r="Y334" s="91"/>
      <c r="Z334" s="44"/>
      <c r="AA334" s="44"/>
      <c r="AB334" s="44"/>
      <c r="AC334" s="44"/>
      <c r="AD334" s="44"/>
      <c r="AE334" s="44"/>
      <c r="AF334" s="44"/>
      <c r="AG334" s="44"/>
      <c r="AH334" s="44"/>
      <c r="AI334" s="44"/>
      <c r="AJ334" s="44"/>
      <c r="AK334" s="44"/>
      <c r="AL334" s="44"/>
      <c r="AM334" s="44"/>
      <c r="AN334" s="44"/>
      <c r="AO334" s="44"/>
      <c r="AP334" s="44"/>
      <c r="AR334" s="115"/>
    </row>
    <row r="335" spans="1:44" hidden="1" x14ac:dyDescent="0.25">
      <c r="A335" s="149" t="s">
        <v>131</v>
      </c>
      <c r="B335" s="149"/>
      <c r="C335" s="204">
        <v>62933.333333333299</v>
      </c>
      <c r="D335" s="224">
        <v>7.3410000000000002</v>
      </c>
      <c r="E335" s="206" t="s">
        <v>89</v>
      </c>
      <c r="F335" s="111">
        <f>ROUND(D335*$C335/100*D329,0)</f>
        <v>-46</v>
      </c>
      <c r="G335" s="224">
        <f>G323</f>
        <v>7.5140000000000002</v>
      </c>
      <c r="H335" s="206" t="s">
        <v>89</v>
      </c>
      <c r="I335" s="111">
        <f>ROUND(G335*$C335/100*G329,0)</f>
        <v>-47</v>
      </c>
      <c r="J335" s="111"/>
      <c r="K335" s="224" t="e">
        <f>K323</f>
        <v>#REF!</v>
      </c>
      <c r="L335" s="206" t="s">
        <v>89</v>
      </c>
      <c r="M335" s="111" t="e">
        <f>ROUND(K335*$C335/100*K329,0)</f>
        <v>#REF!</v>
      </c>
      <c r="N335" s="111"/>
      <c r="O335" s="224" t="e">
        <f>O323</f>
        <v>#DIV/0!</v>
      </c>
      <c r="P335" s="206" t="s">
        <v>89</v>
      </c>
      <c r="Q335" s="111" t="e">
        <f>ROUND(O335*$C335/100*O329,0)</f>
        <v>#DIV/0!</v>
      </c>
      <c r="R335" s="111"/>
      <c r="S335" s="224" t="e">
        <f>S323</f>
        <v>#DIV/0!</v>
      </c>
      <c r="T335" s="206" t="s">
        <v>89</v>
      </c>
      <c r="U335" s="111" t="e">
        <f>ROUND(S335*$C335/100*S329,0)</f>
        <v>#DIV/0!</v>
      </c>
      <c r="V335" s="44"/>
      <c r="W335" s="91"/>
      <c r="X335" s="91"/>
      <c r="Y335" s="91"/>
      <c r="Z335" s="44"/>
      <c r="AA335" s="44"/>
      <c r="AB335" s="44"/>
      <c r="AC335" s="44"/>
      <c r="AD335" s="44"/>
      <c r="AE335" s="44"/>
      <c r="AF335" s="44"/>
      <c r="AG335" s="44"/>
      <c r="AH335" s="44"/>
      <c r="AI335" s="44"/>
      <c r="AJ335" s="44"/>
      <c r="AK335" s="44"/>
      <c r="AL335" s="44"/>
      <c r="AM335" s="44"/>
      <c r="AN335" s="44"/>
      <c r="AO335" s="44"/>
      <c r="AP335" s="44"/>
      <c r="AR335" s="115"/>
    </row>
    <row r="336" spans="1:44" hidden="1" x14ac:dyDescent="0.25">
      <c r="A336" s="149" t="s">
        <v>132</v>
      </c>
      <c r="B336" s="149"/>
      <c r="C336" s="204">
        <v>232200.00000000003</v>
      </c>
      <c r="D336" s="224">
        <v>6.3240000000000007</v>
      </c>
      <c r="E336" s="206" t="s">
        <v>89</v>
      </c>
      <c r="F336" s="111">
        <f>ROUND(D336*$C336/100*D329,0)</f>
        <v>-147</v>
      </c>
      <c r="G336" s="224">
        <f>G324</f>
        <v>6.4720000000000004</v>
      </c>
      <c r="H336" s="206" t="s">
        <v>89</v>
      </c>
      <c r="I336" s="111">
        <f>ROUND(G336*$C336/100*G329,0)</f>
        <v>-150</v>
      </c>
      <c r="J336" s="111"/>
      <c r="K336" s="224" t="e">
        <f>K324</f>
        <v>#REF!</v>
      </c>
      <c r="L336" s="206" t="s">
        <v>89</v>
      </c>
      <c r="M336" s="111" t="e">
        <f>ROUND(K336*$C336/100*K329,0)</f>
        <v>#REF!</v>
      </c>
      <c r="N336" s="111"/>
      <c r="O336" s="224" t="e">
        <f>O324</f>
        <v>#DIV/0!</v>
      </c>
      <c r="P336" s="206" t="s">
        <v>89</v>
      </c>
      <c r="Q336" s="111" t="e">
        <f>ROUND(O336*$C336/100*O329,0)</f>
        <v>#DIV/0!</v>
      </c>
      <c r="R336" s="111"/>
      <c r="S336" s="224" t="e">
        <f>S324</f>
        <v>#DIV/0!</v>
      </c>
      <c r="T336" s="206" t="s">
        <v>89</v>
      </c>
      <c r="U336" s="111" t="e">
        <f>ROUND(S336*$C336/100*S329,0)</f>
        <v>#DIV/0!</v>
      </c>
      <c r="V336" s="44"/>
      <c r="W336" s="91"/>
      <c r="X336" s="91"/>
      <c r="Y336" s="91"/>
      <c r="Z336" s="44"/>
      <c r="AA336" s="44"/>
      <c r="AB336" s="44"/>
      <c r="AC336" s="44"/>
      <c r="AD336" s="44"/>
      <c r="AE336" s="44"/>
      <c r="AF336" s="44"/>
      <c r="AG336" s="44"/>
      <c r="AH336" s="44"/>
      <c r="AI336" s="44"/>
      <c r="AJ336" s="44"/>
      <c r="AK336" s="44"/>
      <c r="AL336" s="44"/>
      <c r="AM336" s="44"/>
      <c r="AN336" s="44"/>
      <c r="AO336" s="44"/>
      <c r="AP336" s="44"/>
      <c r="AR336" s="115"/>
    </row>
    <row r="337" spans="1:44" hidden="1" x14ac:dyDescent="0.25">
      <c r="A337" s="149" t="s">
        <v>133</v>
      </c>
      <c r="B337" s="149"/>
      <c r="C337" s="204">
        <v>475.4</v>
      </c>
      <c r="D337" s="225">
        <v>57</v>
      </c>
      <c r="E337" s="206" t="s">
        <v>89</v>
      </c>
      <c r="F337" s="111">
        <f>ROUND(D337*$C337/100*D329,0)</f>
        <v>-3</v>
      </c>
      <c r="G337" s="225">
        <f>G325</f>
        <v>58</v>
      </c>
      <c r="H337" s="206" t="s">
        <v>89</v>
      </c>
      <c r="I337" s="111">
        <f>ROUND(G337*$C337/100*G329,0)</f>
        <v>-3</v>
      </c>
      <c r="J337" s="111"/>
      <c r="K337" s="225" t="str">
        <f>K325</f>
        <v xml:space="preserve"> </v>
      </c>
      <c r="L337" s="206" t="s">
        <v>89</v>
      </c>
      <c r="M337" s="111">
        <f>ROUND(K337*$C337/100*K329,0)</f>
        <v>0</v>
      </c>
      <c r="N337" s="111"/>
      <c r="O337" s="225" t="e">
        <f>O325</f>
        <v>#DIV/0!</v>
      </c>
      <c r="P337" s="206" t="s">
        <v>89</v>
      </c>
      <c r="Q337" s="111" t="e">
        <f>ROUND(O337*$C337/100*O329,0)</f>
        <v>#DIV/0!</v>
      </c>
      <c r="R337" s="111"/>
      <c r="S337" s="225" t="e">
        <f>S325</f>
        <v>#DIV/0!</v>
      </c>
      <c r="T337" s="206" t="s">
        <v>89</v>
      </c>
      <c r="U337" s="111" t="e">
        <f>ROUND(S337*$C337/100*S329,0)</f>
        <v>#DIV/0!</v>
      </c>
      <c r="V337" s="44"/>
      <c r="W337" s="91"/>
      <c r="X337" s="91"/>
      <c r="Y337" s="91"/>
      <c r="Z337" s="44"/>
      <c r="AA337" s="44"/>
      <c r="AB337" s="44"/>
      <c r="AC337" s="44"/>
      <c r="AD337" s="44"/>
      <c r="AE337" s="44"/>
      <c r="AF337" s="44"/>
      <c r="AG337" s="44"/>
      <c r="AH337" s="44"/>
      <c r="AI337" s="44"/>
      <c r="AJ337" s="44"/>
      <c r="AK337" s="44"/>
      <c r="AL337" s="44"/>
      <c r="AM337" s="44"/>
      <c r="AN337" s="44"/>
      <c r="AO337" s="44"/>
      <c r="AP337" s="44"/>
      <c r="AR337" s="115"/>
    </row>
    <row r="338" spans="1:44" hidden="1" x14ac:dyDescent="0.25">
      <c r="A338" s="149" t="s">
        <v>144</v>
      </c>
      <c r="B338" s="149"/>
      <c r="C338" s="204">
        <v>7.8666666666666698</v>
      </c>
      <c r="D338" s="226">
        <v>60</v>
      </c>
      <c r="E338" s="206"/>
      <c r="F338" s="111">
        <f>ROUND(D338*C338,0)</f>
        <v>472</v>
      </c>
      <c r="G338" s="226">
        <f>$G$198</f>
        <v>60</v>
      </c>
      <c r="H338" s="206"/>
      <c r="I338" s="111">
        <f>ROUND(G338*$C338,0)</f>
        <v>472</v>
      </c>
      <c r="J338" s="111"/>
      <c r="K338" s="226" t="str">
        <f>$K$198</f>
        <v xml:space="preserve"> </v>
      </c>
      <c r="L338" s="206"/>
      <c r="M338" s="111">
        <f>ROUND(K338*$C338,0)</f>
        <v>0</v>
      </c>
      <c r="N338" s="111"/>
      <c r="O338" s="226" t="e">
        <f>$O$198</f>
        <v>#DIV/0!</v>
      </c>
      <c r="P338" s="206"/>
      <c r="Q338" s="111" t="e">
        <f>ROUND(O338*$C338,0)</f>
        <v>#DIV/0!</v>
      </c>
      <c r="R338" s="111"/>
      <c r="S338" s="226" t="e">
        <f>$S$198</f>
        <v>#DIV/0!</v>
      </c>
      <c r="T338" s="206"/>
      <c r="U338" s="111" t="e">
        <f>ROUND(S338*$C338,0)</f>
        <v>#DIV/0!</v>
      </c>
      <c r="V338" s="44"/>
      <c r="W338" s="91"/>
      <c r="X338" s="91"/>
      <c r="Y338" s="91"/>
      <c r="Z338" s="44"/>
      <c r="AA338" s="44"/>
      <c r="AB338" s="44"/>
      <c r="AC338" s="44"/>
      <c r="AD338" s="44"/>
      <c r="AE338" s="44"/>
      <c r="AF338" s="44"/>
      <c r="AG338" s="44"/>
      <c r="AH338" s="44"/>
      <c r="AI338" s="44"/>
      <c r="AJ338" s="44"/>
      <c r="AK338" s="44"/>
      <c r="AL338" s="44"/>
      <c r="AM338" s="44"/>
      <c r="AN338" s="44"/>
      <c r="AO338" s="44"/>
      <c r="AP338" s="44"/>
      <c r="AR338" s="115"/>
    </row>
    <row r="339" spans="1:44" hidden="1" x14ac:dyDescent="0.25">
      <c r="A339" s="149" t="s">
        <v>145</v>
      </c>
      <c r="B339" s="149"/>
      <c r="C339" s="204">
        <v>543</v>
      </c>
      <c r="D339" s="227">
        <v>-30</v>
      </c>
      <c r="E339" s="206" t="s">
        <v>89</v>
      </c>
      <c r="F339" s="111">
        <f>ROUND(D339*C339/100,0)</f>
        <v>-163</v>
      </c>
      <c r="G339" s="227">
        <f>$G$199</f>
        <v>-30</v>
      </c>
      <c r="H339" s="206" t="s">
        <v>89</v>
      </c>
      <c r="I339" s="111">
        <f>ROUND(G339*$C339/100,0)</f>
        <v>-163</v>
      </c>
      <c r="J339" s="111"/>
      <c r="K339" s="227">
        <f>$K$199</f>
        <v>-30</v>
      </c>
      <c r="L339" s="206" t="s">
        <v>89</v>
      </c>
      <c r="M339" s="111">
        <f>ROUND(K339*$C339/100,0)</f>
        <v>-163</v>
      </c>
      <c r="N339" s="111"/>
      <c r="O339" s="227" t="str">
        <f>$O$199</f>
        <v xml:space="preserve"> </v>
      </c>
      <c r="P339" s="206" t="s">
        <v>89</v>
      </c>
      <c r="Q339" s="111">
        <f>ROUND(O339*$C339/100,0)</f>
        <v>0</v>
      </c>
      <c r="R339" s="111"/>
      <c r="S339" s="227" t="str">
        <f>$S$199</f>
        <v xml:space="preserve"> </v>
      </c>
      <c r="T339" s="206" t="s">
        <v>89</v>
      </c>
      <c r="U339" s="111">
        <f>ROUND(S339*$C339/100,0)</f>
        <v>0</v>
      </c>
      <c r="V339" s="44"/>
      <c r="W339" s="91"/>
      <c r="X339" s="91"/>
      <c r="Y339" s="91"/>
      <c r="Z339" s="44"/>
      <c r="AA339" s="44"/>
      <c r="AB339" s="44"/>
      <c r="AC339" s="44"/>
      <c r="AD339" s="44"/>
      <c r="AE339" s="44"/>
      <c r="AF339" s="44"/>
      <c r="AG339" s="44"/>
      <c r="AH339" s="44"/>
      <c r="AI339" s="44"/>
      <c r="AJ339" s="44"/>
      <c r="AK339" s="44"/>
      <c r="AL339" s="44"/>
      <c r="AM339" s="44"/>
      <c r="AN339" s="44"/>
      <c r="AO339" s="44"/>
      <c r="AP339" s="44"/>
      <c r="AR339" s="115"/>
    </row>
    <row r="340" spans="1:44" s="120" customFormat="1" hidden="1" x14ac:dyDescent="0.25">
      <c r="A340" s="119" t="s">
        <v>134</v>
      </c>
      <c r="C340" s="121">
        <f>C334</f>
        <v>7866.6666666666697</v>
      </c>
      <c r="D340" s="128">
        <v>0</v>
      </c>
      <c r="E340" s="122"/>
      <c r="F340" s="123"/>
      <c r="G340" s="124">
        <f>G183</f>
        <v>0</v>
      </c>
      <c r="H340" s="215" t="s">
        <v>89</v>
      </c>
      <c r="I340" s="123">
        <f>ROUND(G340*$C340/100*G329,0)</f>
        <v>0</v>
      </c>
      <c r="J340" s="123"/>
      <c r="K340" s="124" t="str">
        <f>K183</f>
        <v xml:space="preserve"> </v>
      </c>
      <c r="L340" s="215" t="s">
        <v>89</v>
      </c>
      <c r="M340" s="123">
        <f>ROUND(K340*$C340/100*K329,0)</f>
        <v>0</v>
      </c>
      <c r="N340" s="123"/>
      <c r="O340" s="124" t="str">
        <f>O183</f>
        <v xml:space="preserve"> </v>
      </c>
      <c r="P340" s="215" t="s">
        <v>89</v>
      </c>
      <c r="Q340" s="123">
        <f>ROUND(O340*$C340/100*O329,0)</f>
        <v>0</v>
      </c>
      <c r="R340" s="123"/>
      <c r="S340" s="124">
        <f>S183</f>
        <v>0</v>
      </c>
      <c r="T340" s="215" t="s">
        <v>89</v>
      </c>
      <c r="U340" s="123">
        <f>ROUND(S340*$C340/100*S329,0)</f>
        <v>0</v>
      </c>
      <c r="W340" s="112"/>
      <c r="Z340" s="127"/>
      <c r="AA340" s="127"/>
      <c r="AF340" s="122"/>
      <c r="AG340" s="122"/>
      <c r="AH340" s="122"/>
      <c r="AI340" s="122"/>
      <c r="AJ340" s="122"/>
      <c r="AK340" s="122"/>
      <c r="AL340" s="122"/>
      <c r="AM340" s="122"/>
      <c r="AN340" s="122"/>
      <c r="AO340" s="122"/>
      <c r="AP340" s="122"/>
      <c r="AR340" s="126"/>
    </row>
    <row r="341" spans="1:44" s="120" customFormat="1" hidden="1" x14ac:dyDescent="0.25">
      <c r="A341" s="119" t="s">
        <v>135</v>
      </c>
      <c r="C341" s="121">
        <f>C335</f>
        <v>62933.333333333299</v>
      </c>
      <c r="D341" s="128">
        <v>0</v>
      </c>
      <c r="E341" s="122"/>
      <c r="F341" s="123"/>
      <c r="G341" s="124">
        <f>G184</f>
        <v>0</v>
      </c>
      <c r="H341" s="215" t="s">
        <v>89</v>
      </c>
      <c r="I341" s="123">
        <f>ROUND(G341*$C341/100*G329,0)</f>
        <v>0</v>
      </c>
      <c r="J341" s="123"/>
      <c r="K341" s="124" t="str">
        <f>K184</f>
        <v xml:space="preserve"> </v>
      </c>
      <c r="L341" s="215" t="s">
        <v>89</v>
      </c>
      <c r="M341" s="123">
        <f>ROUND(K341*$C341/100*K329,0)</f>
        <v>0</v>
      </c>
      <c r="N341" s="123"/>
      <c r="O341" s="124" t="str">
        <f>O184</f>
        <v xml:space="preserve"> </v>
      </c>
      <c r="P341" s="215" t="s">
        <v>89</v>
      </c>
      <c r="Q341" s="123">
        <f>ROUND(O341*$C341/100*O329,0)</f>
        <v>0</v>
      </c>
      <c r="R341" s="123"/>
      <c r="S341" s="124">
        <f>S184</f>
        <v>0</v>
      </c>
      <c r="T341" s="215" t="s">
        <v>89</v>
      </c>
      <c r="U341" s="123">
        <f>ROUND(S341*$C341/100*S329,0)</f>
        <v>0</v>
      </c>
      <c r="W341" s="112"/>
      <c r="Z341" s="127"/>
      <c r="AA341" s="127"/>
      <c r="AF341" s="122"/>
      <c r="AG341" s="122"/>
      <c r="AH341" s="122"/>
      <c r="AI341" s="122"/>
      <c r="AJ341" s="122"/>
      <c r="AK341" s="122"/>
      <c r="AL341" s="122"/>
      <c r="AM341" s="122"/>
      <c r="AN341" s="122"/>
      <c r="AO341" s="122"/>
      <c r="AP341" s="122"/>
      <c r="AR341" s="126"/>
    </row>
    <row r="342" spans="1:44" s="120" customFormat="1" hidden="1" x14ac:dyDescent="0.25">
      <c r="A342" s="119" t="s">
        <v>136</v>
      </c>
      <c r="C342" s="121">
        <f>C336</f>
        <v>232200.00000000003</v>
      </c>
      <c r="D342" s="128">
        <v>0</v>
      </c>
      <c r="E342" s="122"/>
      <c r="F342" s="123"/>
      <c r="G342" s="124">
        <f>G185</f>
        <v>0</v>
      </c>
      <c r="H342" s="215" t="s">
        <v>89</v>
      </c>
      <c r="I342" s="123">
        <f>ROUND(G342*$C342/100*G329,0)</f>
        <v>0</v>
      </c>
      <c r="J342" s="123"/>
      <c r="K342" s="124" t="str">
        <f>K185</f>
        <v xml:space="preserve"> </v>
      </c>
      <c r="L342" s="215" t="s">
        <v>89</v>
      </c>
      <c r="M342" s="123">
        <f>ROUND(K342*$C342/100*K329,0)</f>
        <v>0</v>
      </c>
      <c r="N342" s="123"/>
      <c r="O342" s="124" t="str">
        <f>O185</f>
        <v xml:space="preserve"> </v>
      </c>
      <c r="P342" s="215" t="s">
        <v>89</v>
      </c>
      <c r="Q342" s="123">
        <f>ROUND(O342*$C342/100*O329,0)</f>
        <v>0</v>
      </c>
      <c r="R342" s="123"/>
      <c r="S342" s="124">
        <f>S185</f>
        <v>0</v>
      </c>
      <c r="T342" s="215" t="s">
        <v>89</v>
      </c>
      <c r="U342" s="123">
        <f>ROUND(S342*$C342/100*S329,0)</f>
        <v>0</v>
      </c>
      <c r="W342" s="112"/>
      <c r="Z342" s="127"/>
      <c r="AA342" s="127"/>
      <c r="AF342" s="122"/>
      <c r="AG342" s="122"/>
      <c r="AH342" s="122"/>
      <c r="AI342" s="122"/>
      <c r="AJ342" s="122"/>
      <c r="AK342" s="122"/>
      <c r="AL342" s="122"/>
      <c r="AM342" s="122"/>
      <c r="AN342" s="122"/>
      <c r="AO342" s="122"/>
      <c r="AP342" s="122"/>
      <c r="AR342" s="126"/>
    </row>
    <row r="343" spans="1:44" hidden="1" x14ac:dyDescent="0.25">
      <c r="A343" s="149" t="s">
        <v>114</v>
      </c>
      <c r="B343" s="149"/>
      <c r="C343" s="204">
        <f>SUM(C322:C324)</f>
        <v>17280151</v>
      </c>
      <c r="D343" s="212"/>
      <c r="E343" s="206"/>
      <c r="F343" s="111">
        <f>SUM(F317:F339)</f>
        <v>1577616</v>
      </c>
      <c r="G343" s="212"/>
      <c r="H343" s="206"/>
      <c r="I343" s="111">
        <f>SUM(I317:I342)</f>
        <v>1614996</v>
      </c>
      <c r="J343" s="111"/>
      <c r="K343" s="212"/>
      <c r="L343" s="206"/>
      <c r="M343" s="111" t="e">
        <f>SUM(M317:M342)</f>
        <v>#REF!</v>
      </c>
      <c r="N343" s="111"/>
      <c r="O343" s="212"/>
      <c r="P343" s="206"/>
      <c r="Q343" s="111" t="e">
        <f>SUM(Q317:Q342)</f>
        <v>#DIV/0!</v>
      </c>
      <c r="R343" s="111"/>
      <c r="S343" s="212"/>
      <c r="T343" s="206"/>
      <c r="U343" s="111" t="e">
        <f>SUM(U317:U342)</f>
        <v>#DIV/0!</v>
      </c>
      <c r="V343" s="44"/>
      <c r="W343" s="91"/>
      <c r="X343" s="91"/>
      <c r="Y343" s="91"/>
      <c r="Z343" s="44"/>
      <c r="AA343" s="44"/>
      <c r="AB343" s="44"/>
      <c r="AC343" s="44"/>
      <c r="AD343" s="44"/>
      <c r="AE343" s="44"/>
      <c r="AF343" s="44"/>
      <c r="AG343" s="44"/>
      <c r="AH343" s="44"/>
      <c r="AI343" s="44"/>
      <c r="AJ343" s="44"/>
      <c r="AK343" s="44"/>
      <c r="AL343" s="44"/>
      <c r="AM343" s="44"/>
      <c r="AN343" s="44"/>
      <c r="AO343" s="44"/>
      <c r="AP343" s="44"/>
      <c r="AR343" s="115"/>
    </row>
    <row r="344" spans="1:44" hidden="1" x14ac:dyDescent="0.25">
      <c r="A344" s="149" t="s">
        <v>92</v>
      </c>
      <c r="B344" s="149"/>
      <c r="C344" s="248">
        <v>53727.522773253761</v>
      </c>
      <c r="D344" s="134"/>
      <c r="E344" s="134"/>
      <c r="F344" s="230">
        <v>4976.1641860674354</v>
      </c>
      <c r="G344" s="134"/>
      <c r="H344" s="134"/>
      <c r="I344" s="230">
        <f>F344</f>
        <v>4976.1641860674354</v>
      </c>
      <c r="J344" s="207"/>
      <c r="K344" s="134"/>
      <c r="L344" s="134"/>
      <c r="M344" s="230" t="e">
        <f>M204/I204*I344</f>
        <v>#DIV/0!</v>
      </c>
      <c r="N344" s="207"/>
      <c r="O344" s="134"/>
      <c r="P344" s="134"/>
      <c r="Q344" s="230" t="e">
        <f>Q204/I204*I344</f>
        <v>#DIV/0!</v>
      </c>
      <c r="R344" s="207"/>
      <c r="S344" s="134"/>
      <c r="T344" s="134"/>
      <c r="U344" s="230" t="e">
        <f>U204/I204*I344</f>
        <v>#DIV/0!</v>
      </c>
      <c r="V344" s="165"/>
      <c r="W344" s="163"/>
      <c r="X344" s="91"/>
      <c r="Y344" s="91"/>
      <c r="Z344" s="44"/>
      <c r="AA344" s="44"/>
      <c r="AB344" s="44"/>
      <c r="AC344" s="44"/>
      <c r="AD344" s="44"/>
      <c r="AE344" s="44"/>
      <c r="AF344" s="44"/>
      <c r="AG344" s="44"/>
      <c r="AH344" s="44"/>
      <c r="AI344" s="44"/>
      <c r="AJ344" s="44"/>
      <c r="AK344" s="44"/>
      <c r="AL344" s="44"/>
      <c r="AM344" s="44"/>
      <c r="AN344" s="44"/>
      <c r="AO344" s="44"/>
      <c r="AP344" s="44"/>
      <c r="AR344" s="115"/>
    </row>
    <row r="345" spans="1:44" ht="16.5" hidden="1" thickBot="1" x14ac:dyDescent="0.3">
      <c r="A345" s="149" t="s">
        <v>115</v>
      </c>
      <c r="B345" s="149"/>
      <c r="C345" s="192">
        <f>SUM(C343:C344)</f>
        <v>17333878.522773255</v>
      </c>
      <c r="D345" s="245"/>
      <c r="E345" s="232"/>
      <c r="F345" s="233">
        <f>F343+F344</f>
        <v>1582592.1641860674</v>
      </c>
      <c r="G345" s="245"/>
      <c r="H345" s="232"/>
      <c r="I345" s="233">
        <f>I343+I344</f>
        <v>1619972.1641860674</v>
      </c>
      <c r="J345" s="207"/>
      <c r="K345" s="245"/>
      <c r="L345" s="232"/>
      <c r="M345" s="233" t="e">
        <f>M343+M344</f>
        <v>#REF!</v>
      </c>
      <c r="N345" s="233"/>
      <c r="O345" s="245"/>
      <c r="P345" s="232"/>
      <c r="Q345" s="233" t="e">
        <f>Q343+Q344</f>
        <v>#DIV/0!</v>
      </c>
      <c r="R345" s="233"/>
      <c r="S345" s="245"/>
      <c r="T345" s="232"/>
      <c r="U345" s="233" t="e">
        <f>U343+U344</f>
        <v>#DIV/0!</v>
      </c>
      <c r="V345" s="166"/>
      <c r="W345" s="167"/>
      <c r="X345" s="91"/>
      <c r="Y345" s="91"/>
      <c r="Z345" s="44"/>
      <c r="AA345" s="44"/>
      <c r="AB345" s="44"/>
      <c r="AC345" s="44"/>
      <c r="AD345" s="44"/>
      <c r="AE345" s="44"/>
      <c r="AF345" s="44"/>
      <c r="AG345" s="44"/>
      <c r="AH345" s="44"/>
      <c r="AI345" s="44"/>
      <c r="AJ345" s="44"/>
      <c r="AK345" s="44"/>
      <c r="AL345" s="44"/>
      <c r="AM345" s="44"/>
      <c r="AN345" s="44"/>
      <c r="AO345" s="44"/>
      <c r="AP345" s="44"/>
      <c r="AR345" s="115"/>
    </row>
    <row r="346" spans="1:44" hidden="1" x14ac:dyDescent="0.25">
      <c r="A346" s="149"/>
      <c r="B346" s="149"/>
      <c r="C346" s="144"/>
      <c r="D346" s="249"/>
      <c r="E346" s="238"/>
      <c r="F346" s="207"/>
      <c r="G346" s="249"/>
      <c r="H346" s="238"/>
      <c r="I346" s="207"/>
      <c r="J346" s="207"/>
      <c r="K346" s="249"/>
      <c r="L346" s="238"/>
      <c r="M346" s="207"/>
      <c r="N346" s="207"/>
      <c r="O346" s="249"/>
      <c r="P346" s="238"/>
      <c r="Q346" s="207"/>
      <c r="R346" s="207"/>
      <c r="S346" s="249"/>
      <c r="T346" s="238"/>
      <c r="U346" s="207"/>
      <c r="V346" s="44"/>
      <c r="W346" s="91"/>
      <c r="X346" s="91"/>
      <c r="Y346" s="91"/>
      <c r="Z346" s="44"/>
      <c r="AA346" s="44"/>
      <c r="AB346" s="44"/>
      <c r="AC346" s="44"/>
      <c r="AD346" s="44"/>
      <c r="AE346" s="44"/>
      <c r="AF346" s="44"/>
      <c r="AG346" s="44"/>
      <c r="AH346" s="44"/>
      <c r="AI346" s="44"/>
      <c r="AJ346" s="44"/>
      <c r="AK346" s="44"/>
      <c r="AL346" s="44"/>
      <c r="AM346" s="44"/>
      <c r="AN346" s="44"/>
      <c r="AO346" s="44"/>
      <c r="AP346" s="44"/>
      <c r="AR346" s="115"/>
    </row>
    <row r="347" spans="1:44" hidden="1" x14ac:dyDescent="0.25">
      <c r="A347" s="168" t="s">
        <v>153</v>
      </c>
      <c r="B347" s="149"/>
      <c r="C347" s="149"/>
      <c r="D347" s="111"/>
      <c r="E347" s="149"/>
      <c r="F347" s="149"/>
      <c r="G347" s="111"/>
      <c r="H347" s="149"/>
      <c r="I347" s="149"/>
      <c r="J347" s="149"/>
      <c r="K347" s="111"/>
      <c r="L347" s="149"/>
      <c r="M347" s="149"/>
      <c r="N347" s="149"/>
      <c r="O347" s="111"/>
      <c r="P347" s="149"/>
      <c r="Q347" s="149"/>
      <c r="R347" s="149"/>
      <c r="S347" s="111"/>
      <c r="T347" s="149"/>
      <c r="U347" s="149"/>
      <c r="V347" s="44"/>
      <c r="W347" s="91"/>
      <c r="X347" s="91"/>
      <c r="Y347" s="91"/>
      <c r="Z347" s="44"/>
      <c r="AA347" s="44"/>
      <c r="AB347" s="44"/>
      <c r="AC347" s="44"/>
      <c r="AD347" s="44"/>
      <c r="AE347" s="44"/>
      <c r="AF347" s="44"/>
      <c r="AG347" s="44"/>
      <c r="AH347" s="44"/>
      <c r="AI347" s="44"/>
      <c r="AJ347" s="44"/>
      <c r="AK347" s="44"/>
      <c r="AL347" s="44"/>
      <c r="AM347" s="44"/>
      <c r="AN347" s="44"/>
      <c r="AO347" s="44"/>
      <c r="AP347" s="44"/>
      <c r="AR347" s="115"/>
    </row>
    <row r="348" spans="1:44" hidden="1" x14ac:dyDescent="0.25">
      <c r="A348" s="149" t="s">
        <v>147</v>
      </c>
      <c r="B348" s="149"/>
      <c r="C348" s="149"/>
      <c r="D348" s="111"/>
      <c r="E348" s="149"/>
      <c r="F348" s="149"/>
      <c r="G348" s="111"/>
      <c r="H348" s="149"/>
      <c r="I348" s="149"/>
      <c r="J348" s="149"/>
      <c r="K348" s="111"/>
      <c r="L348" s="149"/>
      <c r="M348" s="149"/>
      <c r="N348" s="149"/>
      <c r="O348" s="111"/>
      <c r="P348" s="149"/>
      <c r="Q348" s="149"/>
      <c r="R348" s="149"/>
      <c r="S348" s="111"/>
      <c r="T348" s="149"/>
      <c r="U348" s="149"/>
      <c r="V348" s="44"/>
      <c r="W348" s="91"/>
      <c r="X348" s="91"/>
      <c r="Y348" s="91"/>
      <c r="Z348" s="44"/>
      <c r="AA348" s="44"/>
      <c r="AB348" s="44"/>
      <c r="AC348" s="44"/>
      <c r="AD348" s="44"/>
      <c r="AE348" s="44"/>
      <c r="AF348" s="44"/>
      <c r="AG348" s="44"/>
      <c r="AH348" s="44"/>
      <c r="AI348" s="44"/>
      <c r="AJ348" s="44"/>
      <c r="AK348" s="44"/>
      <c r="AL348" s="44"/>
      <c r="AM348" s="44"/>
      <c r="AN348" s="44"/>
      <c r="AO348" s="44"/>
      <c r="AP348" s="44"/>
      <c r="AR348" s="115"/>
    </row>
    <row r="349" spans="1:44" hidden="1" x14ac:dyDescent="0.25">
      <c r="A349" s="149"/>
      <c r="B349" s="149"/>
      <c r="C349" s="149"/>
      <c r="D349" s="111"/>
      <c r="E349" s="149"/>
      <c r="F349" s="149"/>
      <c r="G349" s="111"/>
      <c r="H349" s="149"/>
      <c r="I349" s="149"/>
      <c r="J349" s="149"/>
      <c r="K349" s="111"/>
      <c r="L349" s="149"/>
      <c r="M349" s="149"/>
      <c r="N349" s="149"/>
      <c r="O349" s="111"/>
      <c r="P349" s="149"/>
      <c r="Q349" s="149"/>
      <c r="R349" s="149"/>
      <c r="S349" s="111"/>
      <c r="T349" s="149"/>
      <c r="U349" s="149"/>
      <c r="V349" s="44"/>
      <c r="W349" s="91"/>
      <c r="X349" s="91"/>
      <c r="Y349" s="91"/>
      <c r="Z349" s="44"/>
      <c r="AA349" s="44"/>
      <c r="AB349" s="44"/>
      <c r="AC349" s="44"/>
      <c r="AD349" s="44"/>
      <c r="AE349" s="44"/>
      <c r="AF349" s="44"/>
      <c r="AG349" s="44"/>
      <c r="AH349" s="44"/>
      <c r="AI349" s="44"/>
      <c r="AJ349" s="44"/>
      <c r="AK349" s="44"/>
      <c r="AL349" s="44"/>
      <c r="AM349" s="44"/>
      <c r="AN349" s="44"/>
      <c r="AO349" s="44"/>
      <c r="AP349" s="44"/>
      <c r="AR349" s="115"/>
    </row>
    <row r="350" spans="1:44" hidden="1" x14ac:dyDescent="0.25">
      <c r="A350" s="149" t="s">
        <v>127</v>
      </c>
      <c r="B350" s="149"/>
      <c r="C350" s="204"/>
      <c r="D350" s="111"/>
      <c r="E350" s="149"/>
      <c r="F350" s="149"/>
      <c r="G350" s="111"/>
      <c r="H350" s="149"/>
      <c r="I350" s="149"/>
      <c r="J350" s="149"/>
      <c r="K350" s="111"/>
      <c r="L350" s="149"/>
      <c r="M350" s="149"/>
      <c r="N350" s="149"/>
      <c r="O350" s="111"/>
      <c r="P350" s="149"/>
      <c r="Q350" s="149"/>
      <c r="R350" s="149"/>
      <c r="S350" s="111"/>
      <c r="T350" s="149"/>
      <c r="U350" s="149"/>
      <c r="V350" s="44"/>
      <c r="W350" s="91"/>
      <c r="X350" s="91"/>
      <c r="Y350" s="91"/>
      <c r="Z350" s="44"/>
      <c r="AA350" s="44"/>
      <c r="AB350" s="44"/>
      <c r="AC350" s="44"/>
      <c r="AD350" s="44"/>
      <c r="AE350" s="44"/>
      <c r="AF350" s="44"/>
      <c r="AG350" s="44"/>
      <c r="AH350" s="44"/>
      <c r="AI350" s="44"/>
      <c r="AJ350" s="44"/>
      <c r="AK350" s="44"/>
      <c r="AL350" s="44"/>
      <c r="AM350" s="44"/>
      <c r="AN350" s="44"/>
      <c r="AO350" s="44"/>
      <c r="AP350" s="44"/>
      <c r="AR350" s="115"/>
    </row>
    <row r="351" spans="1:44" hidden="1" x14ac:dyDescent="0.25">
      <c r="A351" s="149" t="s">
        <v>154</v>
      </c>
      <c r="B351" s="149"/>
      <c r="C351" s="204">
        <f>C386+C421</f>
        <v>4499.0963483023515</v>
      </c>
      <c r="D351" s="173">
        <v>9.76</v>
      </c>
      <c r="E351" s="206"/>
      <c r="F351" s="111">
        <f>ROUND(D351*$C351,0)</f>
        <v>43911</v>
      </c>
      <c r="G351" s="173">
        <f>$G$173</f>
        <v>9.99</v>
      </c>
      <c r="H351" s="206"/>
      <c r="I351" s="111">
        <f>I386+I421</f>
        <v>44946</v>
      </c>
      <c r="J351" s="111"/>
      <c r="K351" s="173">
        <f>$K$173</f>
        <v>9.76</v>
      </c>
      <c r="L351" s="206"/>
      <c r="M351" s="111">
        <f>M386+M421</f>
        <v>43912</v>
      </c>
      <c r="N351" s="111"/>
      <c r="O351" s="173" t="str">
        <f>$O$173</f>
        <v xml:space="preserve"> </v>
      </c>
      <c r="P351" s="206"/>
      <c r="Q351" s="111">
        <f>Q386+Q421</f>
        <v>0</v>
      </c>
      <c r="R351" s="111"/>
      <c r="S351" s="173" t="str">
        <f>$S$173</f>
        <v xml:space="preserve"> </v>
      </c>
      <c r="T351" s="206"/>
      <c r="U351" s="111">
        <f>U386+U421</f>
        <v>0</v>
      </c>
      <c r="V351" s="44"/>
      <c r="W351" s="91"/>
      <c r="X351" s="91"/>
      <c r="Y351" s="91"/>
      <c r="Z351" s="44"/>
      <c r="AA351" s="44"/>
      <c r="AB351" s="44"/>
      <c r="AC351" s="44"/>
      <c r="AD351" s="44"/>
      <c r="AE351" s="44"/>
      <c r="AF351" s="44"/>
      <c r="AG351" s="44"/>
      <c r="AH351" s="44"/>
      <c r="AI351" s="44"/>
      <c r="AJ351" s="44"/>
      <c r="AK351" s="44"/>
      <c r="AL351" s="44"/>
      <c r="AM351" s="44"/>
      <c r="AN351" s="44"/>
      <c r="AO351" s="44"/>
      <c r="AP351" s="44"/>
      <c r="AR351" s="115"/>
    </row>
    <row r="352" spans="1:44" hidden="1" x14ac:dyDescent="0.25">
      <c r="A352" s="149" t="s">
        <v>125</v>
      </c>
      <c r="B352" s="149"/>
      <c r="C352" s="204">
        <f>C387+C422</f>
        <v>0</v>
      </c>
      <c r="D352" s="173">
        <v>14.54</v>
      </c>
      <c r="E352" s="208"/>
      <c r="F352" s="111">
        <f t="shared" ref="F352:F353" si="71">ROUND(D352*$C352,0)</f>
        <v>0</v>
      </c>
      <c r="G352" s="173">
        <f>$G$174</f>
        <v>14.89</v>
      </c>
      <c r="H352" s="208"/>
      <c r="I352" s="111">
        <f>I387+I422</f>
        <v>0</v>
      </c>
      <c r="J352" s="111"/>
      <c r="K352" s="173">
        <f>$K$174</f>
        <v>14.54</v>
      </c>
      <c r="L352" s="208"/>
      <c r="M352" s="111">
        <f>M387+M422</f>
        <v>0</v>
      </c>
      <c r="N352" s="111"/>
      <c r="O352" s="173" t="str">
        <f>$O$174</f>
        <v xml:space="preserve"> </v>
      </c>
      <c r="P352" s="208"/>
      <c r="Q352" s="111">
        <f>Q387+Q422</f>
        <v>0</v>
      </c>
      <c r="R352" s="111"/>
      <c r="S352" s="173" t="str">
        <f>$S$174</f>
        <v xml:space="preserve"> </v>
      </c>
      <c r="T352" s="208"/>
      <c r="U352" s="111">
        <f>U387+U422</f>
        <v>0</v>
      </c>
      <c r="V352" s="44"/>
      <c r="W352" s="91"/>
      <c r="X352" s="91"/>
      <c r="Y352" s="91"/>
      <c r="Z352" s="44"/>
      <c r="AA352" s="44"/>
      <c r="AB352" s="44"/>
      <c r="AC352" s="44"/>
      <c r="AD352" s="44"/>
      <c r="AE352" s="44"/>
      <c r="AF352" s="44"/>
      <c r="AG352" s="44"/>
      <c r="AH352" s="44"/>
      <c r="AI352" s="44"/>
      <c r="AJ352" s="44"/>
      <c r="AK352" s="44"/>
      <c r="AL352" s="44"/>
      <c r="AM352" s="44"/>
      <c r="AN352" s="44"/>
      <c r="AO352" s="44"/>
      <c r="AP352" s="44"/>
      <c r="AR352" s="115"/>
    </row>
    <row r="353" spans="1:44" hidden="1" x14ac:dyDescent="0.25">
      <c r="A353" s="149" t="s">
        <v>126</v>
      </c>
      <c r="B353" s="149"/>
      <c r="C353" s="204">
        <f>C388+C423</f>
        <v>0</v>
      </c>
      <c r="D353" s="173">
        <v>1.02</v>
      </c>
      <c r="E353" s="208"/>
      <c r="F353" s="111">
        <f t="shared" si="71"/>
        <v>0</v>
      </c>
      <c r="G353" s="173">
        <f>$G$175</f>
        <v>1.04</v>
      </c>
      <c r="H353" s="208"/>
      <c r="I353" s="111">
        <f>I388+I423</f>
        <v>0</v>
      </c>
      <c r="J353" s="111"/>
      <c r="K353" s="173">
        <f>$K$175</f>
        <v>1.02</v>
      </c>
      <c r="L353" s="208"/>
      <c r="M353" s="111">
        <f>M388+M423</f>
        <v>0</v>
      </c>
      <c r="N353" s="111"/>
      <c r="O353" s="173" t="str">
        <f>$O$175</f>
        <v xml:space="preserve"> </v>
      </c>
      <c r="P353" s="208"/>
      <c r="Q353" s="111">
        <f>Q388+Q423</f>
        <v>0</v>
      </c>
      <c r="R353" s="111"/>
      <c r="S353" s="173" t="str">
        <f>$S$175</f>
        <v xml:space="preserve"> </v>
      </c>
      <c r="T353" s="208"/>
      <c r="U353" s="111">
        <f>U388+U423</f>
        <v>0</v>
      </c>
      <c r="V353" s="44"/>
      <c r="W353" s="91"/>
      <c r="X353" s="91"/>
      <c r="Y353" s="91"/>
      <c r="Z353" s="44"/>
      <c r="AA353" s="44"/>
      <c r="AB353" s="44"/>
      <c r="AC353" s="44"/>
      <c r="AD353" s="44"/>
      <c r="AE353" s="44"/>
      <c r="AF353" s="44"/>
      <c r="AG353" s="44"/>
      <c r="AH353" s="44"/>
      <c r="AI353" s="44"/>
      <c r="AJ353" s="44"/>
      <c r="AK353" s="44"/>
      <c r="AL353" s="44"/>
      <c r="AM353" s="44"/>
      <c r="AN353" s="44"/>
      <c r="AO353" s="44"/>
      <c r="AP353" s="44"/>
      <c r="AR353" s="115"/>
    </row>
    <row r="354" spans="1:44" hidden="1" x14ac:dyDescent="0.25">
      <c r="A354" s="149" t="s">
        <v>128</v>
      </c>
      <c r="B354" s="149"/>
      <c r="C354" s="204">
        <f>SUM(C351:C352)</f>
        <v>4499.0963483023515</v>
      </c>
      <c r="D354" s="173"/>
      <c r="E354" s="206"/>
      <c r="F354" s="111"/>
      <c r="G354" s="173"/>
      <c r="H354" s="206"/>
      <c r="I354" s="111"/>
      <c r="J354" s="111"/>
      <c r="K354" s="173"/>
      <c r="L354" s="206"/>
      <c r="M354" s="111"/>
      <c r="N354" s="111"/>
      <c r="O354" s="173"/>
      <c r="P354" s="206"/>
      <c r="Q354" s="111"/>
      <c r="R354" s="111"/>
      <c r="S354" s="173"/>
      <c r="T354" s="206"/>
      <c r="U354" s="111"/>
      <c r="V354" s="44"/>
      <c r="W354" s="91"/>
      <c r="X354" s="91"/>
      <c r="Y354" s="91"/>
      <c r="Z354" s="44"/>
      <c r="AA354" s="44"/>
      <c r="AB354" s="44"/>
      <c r="AC354" s="44"/>
      <c r="AD354" s="44"/>
      <c r="AE354" s="44"/>
      <c r="AF354" s="44"/>
      <c r="AG354" s="44"/>
      <c r="AH354" s="44"/>
      <c r="AI354" s="44"/>
      <c r="AJ354" s="44"/>
      <c r="AK354" s="44"/>
      <c r="AL354" s="44"/>
      <c r="AM354" s="44"/>
      <c r="AN354" s="44"/>
      <c r="AO354" s="44"/>
      <c r="AP354" s="44"/>
      <c r="AR354" s="115"/>
    </row>
    <row r="355" spans="1:44" hidden="1" x14ac:dyDescent="0.25">
      <c r="A355" s="149" t="s">
        <v>90</v>
      </c>
      <c r="B355" s="149"/>
      <c r="C355" s="204">
        <f t="shared" ref="C355:C360" si="72">C390+C425</f>
        <v>1449.1000000000033</v>
      </c>
      <c r="D355" s="173"/>
      <c r="E355" s="206"/>
      <c r="F355" s="111"/>
      <c r="G355" s="173"/>
      <c r="H355" s="206"/>
      <c r="I355" s="111"/>
      <c r="J355" s="111"/>
      <c r="K355" s="173"/>
      <c r="L355" s="206"/>
      <c r="M355" s="111"/>
      <c r="N355" s="111"/>
      <c r="O355" s="173"/>
      <c r="P355" s="206"/>
      <c r="Q355" s="111"/>
      <c r="R355" s="111"/>
      <c r="S355" s="173"/>
      <c r="T355" s="206"/>
      <c r="U355" s="111"/>
      <c r="V355" s="44"/>
      <c r="W355" s="91"/>
      <c r="X355" s="91"/>
      <c r="Y355" s="91"/>
      <c r="Z355" s="44"/>
      <c r="AA355" s="44"/>
      <c r="AB355" s="44"/>
      <c r="AC355" s="44"/>
      <c r="AD355" s="44"/>
      <c r="AE355" s="44"/>
      <c r="AF355" s="44"/>
      <c r="AG355" s="44"/>
      <c r="AH355" s="44"/>
      <c r="AI355" s="44"/>
      <c r="AJ355" s="44"/>
      <c r="AK355" s="44"/>
      <c r="AL355" s="44"/>
      <c r="AM355" s="44"/>
      <c r="AN355" s="44"/>
      <c r="AO355" s="44"/>
      <c r="AP355" s="44"/>
      <c r="AR355" s="115"/>
    </row>
    <row r="356" spans="1:44" hidden="1" x14ac:dyDescent="0.25">
      <c r="A356" s="149" t="s">
        <v>129</v>
      </c>
      <c r="B356" s="149"/>
      <c r="C356" s="204">
        <f t="shared" si="72"/>
        <v>0</v>
      </c>
      <c r="D356" s="226">
        <v>3.7</v>
      </c>
      <c r="E356" s="206"/>
      <c r="F356" s="111">
        <f>ROUND(D356*C356,0)</f>
        <v>0</v>
      </c>
      <c r="G356" s="226">
        <f>$G$178</f>
        <v>3.8</v>
      </c>
      <c r="H356" s="206"/>
      <c r="I356" s="111">
        <f>I391+I426</f>
        <v>0</v>
      </c>
      <c r="J356" s="111"/>
      <c r="K356" s="226" t="e">
        <f>$K$178</f>
        <v>#REF!</v>
      </c>
      <c r="L356" s="206"/>
      <c r="M356" s="111" t="e">
        <f>M391+M426</f>
        <v>#REF!</v>
      </c>
      <c r="N356" s="111"/>
      <c r="O356" s="226" t="e">
        <f>$O$178</f>
        <v>#DIV/0!</v>
      </c>
      <c r="P356" s="206"/>
      <c r="Q356" s="111" t="e">
        <f>Q391+Q426</f>
        <v>#DIV/0!</v>
      </c>
      <c r="R356" s="111"/>
      <c r="S356" s="226" t="e">
        <f>$S$178</f>
        <v>#DIV/0!</v>
      </c>
      <c r="T356" s="206"/>
      <c r="U356" s="111" t="e">
        <f>U391+U426</f>
        <v>#DIV/0!</v>
      </c>
      <c r="V356" s="44"/>
      <c r="W356" s="91"/>
      <c r="X356" s="91"/>
      <c r="Y356" s="91"/>
      <c r="Z356" s="44"/>
      <c r="AA356" s="44"/>
      <c r="AB356" s="44"/>
      <c r="AC356" s="44"/>
      <c r="AD356" s="44"/>
      <c r="AE356" s="44"/>
      <c r="AF356" s="44"/>
      <c r="AG356" s="44"/>
      <c r="AH356" s="44"/>
      <c r="AI356" s="44"/>
      <c r="AJ356" s="44"/>
      <c r="AK356" s="44"/>
      <c r="AL356" s="44"/>
      <c r="AM356" s="44"/>
      <c r="AN356" s="44"/>
      <c r="AO356" s="44"/>
      <c r="AP356" s="44"/>
      <c r="AR356" s="115"/>
    </row>
    <row r="357" spans="1:44" hidden="1" x14ac:dyDescent="0.25">
      <c r="A357" s="149" t="s">
        <v>130</v>
      </c>
      <c r="B357" s="149"/>
      <c r="C357" s="204">
        <f t="shared" si="72"/>
        <v>1238906.7942953119</v>
      </c>
      <c r="D357" s="175">
        <v>10.628</v>
      </c>
      <c r="E357" s="206" t="s">
        <v>89</v>
      </c>
      <c r="F357" s="111">
        <f>ROUND(D357*C357/100,0)</f>
        <v>131671</v>
      </c>
      <c r="G357" s="175">
        <f>$G$179</f>
        <v>10.878</v>
      </c>
      <c r="H357" s="206" t="s">
        <v>89</v>
      </c>
      <c r="I357" s="111">
        <f>I392+I427</f>
        <v>134769</v>
      </c>
      <c r="J357" s="111"/>
      <c r="K357" s="175" t="e">
        <f>$K$179</f>
        <v>#REF!</v>
      </c>
      <c r="L357" s="206" t="s">
        <v>89</v>
      </c>
      <c r="M357" s="111" t="e">
        <f>M392+M427</f>
        <v>#REF!</v>
      </c>
      <c r="N357" s="111"/>
      <c r="O357" s="175" t="e">
        <f>$O$179</f>
        <v>#DIV/0!</v>
      </c>
      <c r="P357" s="206" t="s">
        <v>89</v>
      </c>
      <c r="Q357" s="111" t="e">
        <f>Q392+Q427</f>
        <v>#DIV/0!</v>
      </c>
      <c r="R357" s="111"/>
      <c r="S357" s="175" t="e">
        <f>$S$179</f>
        <v>#DIV/0!</v>
      </c>
      <c r="T357" s="206" t="s">
        <v>89</v>
      </c>
      <c r="U357" s="111" t="e">
        <f>U392+U427</f>
        <v>#DIV/0!</v>
      </c>
      <c r="V357" s="44"/>
      <c r="W357" s="91"/>
      <c r="X357" s="91"/>
      <c r="Y357" s="91"/>
      <c r="Z357" s="44"/>
      <c r="AA357" s="44"/>
      <c r="AB357" s="44"/>
      <c r="AC357" s="44"/>
      <c r="AD357" s="44"/>
      <c r="AE357" s="44"/>
      <c r="AF357" s="44"/>
      <c r="AG357" s="44"/>
      <c r="AH357" s="44"/>
      <c r="AI357" s="44"/>
      <c r="AJ357" s="44"/>
      <c r="AK357" s="44"/>
      <c r="AL357" s="44"/>
      <c r="AM357" s="44"/>
      <c r="AN357" s="44"/>
      <c r="AO357" s="44"/>
      <c r="AP357" s="44"/>
      <c r="AR357" s="115"/>
    </row>
    <row r="358" spans="1:44" hidden="1" x14ac:dyDescent="0.25">
      <c r="A358" s="149" t="s">
        <v>131</v>
      </c>
      <c r="B358" s="149"/>
      <c r="C358" s="204">
        <f t="shared" si="72"/>
        <v>64875</v>
      </c>
      <c r="D358" s="175">
        <v>7.3410000000000002</v>
      </c>
      <c r="E358" s="206" t="s">
        <v>89</v>
      </c>
      <c r="F358" s="111">
        <f>ROUND(D358*C358/100,0)</f>
        <v>4762</v>
      </c>
      <c r="G358" s="175">
        <f>$G$180</f>
        <v>7.5140000000000002</v>
      </c>
      <c r="H358" s="206" t="s">
        <v>89</v>
      </c>
      <c r="I358" s="111">
        <f>I393+I428</f>
        <v>4875</v>
      </c>
      <c r="J358" s="111"/>
      <c r="K358" s="175" t="e">
        <f>$K$180</f>
        <v>#REF!</v>
      </c>
      <c r="L358" s="206" t="s">
        <v>89</v>
      </c>
      <c r="M358" s="111" t="e">
        <f>M393+M428</f>
        <v>#REF!</v>
      </c>
      <c r="N358" s="111"/>
      <c r="O358" s="175" t="e">
        <f>$O$180</f>
        <v>#DIV/0!</v>
      </c>
      <c r="P358" s="206" t="s">
        <v>89</v>
      </c>
      <c r="Q358" s="111" t="e">
        <f>Q393+Q428</f>
        <v>#DIV/0!</v>
      </c>
      <c r="R358" s="111"/>
      <c r="S358" s="175" t="e">
        <f>$S$180</f>
        <v>#DIV/0!</v>
      </c>
      <c r="T358" s="206" t="s">
        <v>89</v>
      </c>
      <c r="U358" s="111" t="e">
        <f>U393+U428</f>
        <v>#DIV/0!</v>
      </c>
      <c r="V358" s="44"/>
      <c r="W358" s="91"/>
      <c r="X358" s="91"/>
      <c r="Y358" s="91"/>
      <c r="Z358" s="44"/>
      <c r="AA358" s="44"/>
      <c r="AB358" s="44"/>
      <c r="AC358" s="44"/>
      <c r="AD358" s="44"/>
      <c r="AE358" s="44"/>
      <c r="AF358" s="44"/>
      <c r="AG358" s="44"/>
      <c r="AH358" s="44"/>
      <c r="AI358" s="44"/>
      <c r="AJ358" s="44"/>
      <c r="AK358" s="44"/>
      <c r="AL358" s="44"/>
      <c r="AM358" s="44"/>
      <c r="AN358" s="44"/>
      <c r="AO358" s="44"/>
      <c r="AP358" s="44"/>
      <c r="AR358" s="115"/>
    </row>
    <row r="359" spans="1:44" hidden="1" x14ac:dyDescent="0.25">
      <c r="A359" s="149" t="s">
        <v>132</v>
      </c>
      <c r="B359" s="149"/>
      <c r="C359" s="204">
        <f t="shared" si="72"/>
        <v>0</v>
      </c>
      <c r="D359" s="175">
        <v>6.3240000000000007</v>
      </c>
      <c r="E359" s="206" t="s">
        <v>89</v>
      </c>
      <c r="F359" s="111">
        <f>ROUND(D359*C359/100,0)</f>
        <v>0</v>
      </c>
      <c r="G359" s="175">
        <f>$G$181</f>
        <v>6.4720000000000004</v>
      </c>
      <c r="H359" s="206" t="s">
        <v>89</v>
      </c>
      <c r="I359" s="111">
        <f t="shared" ref="I359:I362" si="73">I394+I429</f>
        <v>0</v>
      </c>
      <c r="J359" s="111"/>
      <c r="K359" s="175" t="e">
        <f>$K$181</f>
        <v>#REF!</v>
      </c>
      <c r="L359" s="206" t="s">
        <v>89</v>
      </c>
      <c r="M359" s="111" t="e">
        <f t="shared" ref="M359:M363" si="74">M394+M429</f>
        <v>#REF!</v>
      </c>
      <c r="N359" s="111"/>
      <c r="O359" s="175" t="e">
        <f>$O$181</f>
        <v>#DIV/0!</v>
      </c>
      <c r="P359" s="206" t="s">
        <v>89</v>
      </c>
      <c r="Q359" s="111" t="e">
        <f t="shared" ref="Q359:Q363" si="75">Q394+Q429</f>
        <v>#DIV/0!</v>
      </c>
      <c r="R359" s="111"/>
      <c r="S359" s="175" t="e">
        <f>$S$181</f>
        <v>#DIV/0!</v>
      </c>
      <c r="T359" s="206" t="s">
        <v>89</v>
      </c>
      <c r="U359" s="111" t="e">
        <f t="shared" ref="U359:U362" si="76">U394+U429</f>
        <v>#DIV/0!</v>
      </c>
      <c r="V359" s="44"/>
      <c r="W359" s="91"/>
      <c r="X359" s="91"/>
      <c r="Y359" s="91"/>
      <c r="Z359" s="44"/>
      <c r="AA359" s="44"/>
      <c r="AB359" s="44"/>
      <c r="AC359" s="44"/>
      <c r="AD359" s="44"/>
      <c r="AE359" s="44"/>
      <c r="AF359" s="44"/>
      <c r="AG359" s="44"/>
      <c r="AH359" s="44"/>
      <c r="AI359" s="44"/>
      <c r="AJ359" s="44"/>
      <c r="AK359" s="44"/>
      <c r="AL359" s="44"/>
      <c r="AM359" s="44"/>
      <c r="AN359" s="44"/>
      <c r="AO359" s="44"/>
      <c r="AP359" s="44"/>
      <c r="AR359" s="115"/>
    </row>
    <row r="360" spans="1:44" hidden="1" x14ac:dyDescent="0.25">
      <c r="A360" s="149" t="s">
        <v>133</v>
      </c>
      <c r="B360" s="149"/>
      <c r="C360" s="204">
        <f t="shared" si="72"/>
        <v>0</v>
      </c>
      <c r="D360" s="212">
        <v>57</v>
      </c>
      <c r="E360" s="206" t="s">
        <v>89</v>
      </c>
      <c r="F360" s="111">
        <f>ROUND(D360*C360/100,0)</f>
        <v>0</v>
      </c>
      <c r="G360" s="212">
        <f>$G$182</f>
        <v>58</v>
      </c>
      <c r="H360" s="206" t="s">
        <v>89</v>
      </c>
      <c r="I360" s="111">
        <f t="shared" si="73"/>
        <v>0</v>
      </c>
      <c r="J360" s="111"/>
      <c r="K360" s="212" t="str">
        <f>$K$182</f>
        <v xml:space="preserve"> </v>
      </c>
      <c r="L360" s="206" t="s">
        <v>89</v>
      </c>
      <c r="M360" s="111">
        <f t="shared" si="74"/>
        <v>0</v>
      </c>
      <c r="N360" s="111"/>
      <c r="O360" s="212" t="e">
        <f>$O$182</f>
        <v>#DIV/0!</v>
      </c>
      <c r="P360" s="206" t="s">
        <v>89</v>
      </c>
      <c r="Q360" s="111" t="e">
        <f t="shared" si="75"/>
        <v>#DIV/0!</v>
      </c>
      <c r="R360" s="111"/>
      <c r="S360" s="212" t="e">
        <f>$S$182</f>
        <v>#DIV/0!</v>
      </c>
      <c r="T360" s="206" t="s">
        <v>89</v>
      </c>
      <c r="U360" s="111" t="e">
        <f t="shared" si="76"/>
        <v>#DIV/0!</v>
      </c>
      <c r="V360" s="44"/>
      <c r="W360" s="91"/>
      <c r="X360" s="91"/>
      <c r="Y360" s="91"/>
      <c r="Z360" s="44"/>
      <c r="AA360" s="44"/>
      <c r="AB360" s="44"/>
      <c r="AC360" s="44"/>
      <c r="AD360" s="44"/>
      <c r="AE360" s="44"/>
      <c r="AF360" s="44"/>
      <c r="AG360" s="44"/>
      <c r="AH360" s="44"/>
      <c r="AI360" s="44"/>
      <c r="AJ360" s="44"/>
      <c r="AK360" s="44"/>
      <c r="AL360" s="44"/>
      <c r="AM360" s="44"/>
      <c r="AN360" s="44"/>
      <c r="AO360" s="44"/>
      <c r="AP360" s="44"/>
      <c r="AR360" s="115"/>
    </row>
    <row r="361" spans="1:44" s="120" customFormat="1" hidden="1" x14ac:dyDescent="0.25">
      <c r="A361" s="119" t="s">
        <v>134</v>
      </c>
      <c r="C361" s="214">
        <f>C402+C443</f>
        <v>0</v>
      </c>
      <c r="D361" s="128">
        <v>0</v>
      </c>
      <c r="E361" s="122"/>
      <c r="F361" s="123"/>
      <c r="G361" s="124">
        <f>G183</f>
        <v>0</v>
      </c>
      <c r="H361" s="215" t="s">
        <v>89</v>
      </c>
      <c r="I361" s="111">
        <f t="shared" si="73"/>
        <v>0</v>
      </c>
      <c r="J361" s="111"/>
      <c r="K361" s="124" t="str">
        <f>K183</f>
        <v xml:space="preserve"> </v>
      </c>
      <c r="L361" s="215" t="s">
        <v>89</v>
      </c>
      <c r="M361" s="111">
        <f t="shared" si="74"/>
        <v>0</v>
      </c>
      <c r="N361" s="111"/>
      <c r="O361" s="124" t="str">
        <f>O183</f>
        <v xml:space="preserve"> </v>
      </c>
      <c r="P361" s="215" t="s">
        <v>89</v>
      </c>
      <c r="Q361" s="111">
        <f t="shared" si="75"/>
        <v>0</v>
      </c>
      <c r="R361" s="111"/>
      <c r="S361" s="124">
        <f>S183</f>
        <v>0</v>
      </c>
      <c r="T361" s="215" t="s">
        <v>89</v>
      </c>
      <c r="U361" s="111">
        <f t="shared" si="76"/>
        <v>0</v>
      </c>
      <c r="W361" s="112"/>
      <c r="Z361" s="127"/>
      <c r="AA361" s="127"/>
      <c r="AF361" s="122"/>
      <c r="AG361" s="122"/>
      <c r="AH361" s="122"/>
      <c r="AI361" s="122"/>
      <c r="AJ361" s="122"/>
      <c r="AK361" s="122"/>
      <c r="AL361" s="122"/>
      <c r="AM361" s="122"/>
      <c r="AN361" s="122"/>
      <c r="AO361" s="122"/>
      <c r="AP361" s="122"/>
      <c r="AR361" s="126"/>
    </row>
    <row r="362" spans="1:44" s="120" customFormat="1" hidden="1" x14ac:dyDescent="0.25">
      <c r="A362" s="119" t="s">
        <v>135</v>
      </c>
      <c r="C362" s="214">
        <f>C403+C444</f>
        <v>0</v>
      </c>
      <c r="D362" s="128">
        <v>0</v>
      </c>
      <c r="E362" s="122"/>
      <c r="F362" s="123"/>
      <c r="G362" s="124">
        <f>G184</f>
        <v>0</v>
      </c>
      <c r="H362" s="215" t="s">
        <v>89</v>
      </c>
      <c r="I362" s="111">
        <f t="shared" si="73"/>
        <v>0</v>
      </c>
      <c r="J362" s="111"/>
      <c r="K362" s="124" t="str">
        <f>K184</f>
        <v xml:space="preserve"> </v>
      </c>
      <c r="L362" s="215" t="s">
        <v>89</v>
      </c>
      <c r="M362" s="111">
        <f t="shared" si="74"/>
        <v>0</v>
      </c>
      <c r="N362" s="111"/>
      <c r="O362" s="124" t="str">
        <f>O184</f>
        <v xml:space="preserve"> </v>
      </c>
      <c r="P362" s="215" t="s">
        <v>89</v>
      </c>
      <c r="Q362" s="111">
        <f t="shared" si="75"/>
        <v>0</v>
      </c>
      <c r="R362" s="111"/>
      <c r="S362" s="124">
        <f>S184</f>
        <v>0</v>
      </c>
      <c r="T362" s="215" t="s">
        <v>89</v>
      </c>
      <c r="U362" s="111">
        <f t="shared" si="76"/>
        <v>0</v>
      </c>
      <c r="W362" s="112"/>
      <c r="Z362" s="127"/>
      <c r="AA362" s="127"/>
      <c r="AF362" s="122"/>
      <c r="AG362" s="122"/>
      <c r="AH362" s="122"/>
      <c r="AI362" s="122"/>
      <c r="AJ362" s="122"/>
      <c r="AK362" s="122"/>
      <c r="AL362" s="122"/>
      <c r="AM362" s="122"/>
      <c r="AN362" s="122"/>
      <c r="AO362" s="122"/>
      <c r="AP362" s="122"/>
      <c r="AR362" s="126"/>
    </row>
    <row r="363" spans="1:44" s="120" customFormat="1" hidden="1" x14ac:dyDescent="0.25">
      <c r="A363" s="119" t="s">
        <v>136</v>
      </c>
      <c r="C363" s="214">
        <f>C404+C448</f>
        <v>33312</v>
      </c>
      <c r="D363" s="128">
        <v>0</v>
      </c>
      <c r="E363" s="122"/>
      <c r="F363" s="123"/>
      <c r="G363" s="124">
        <f>G185</f>
        <v>0</v>
      </c>
      <c r="H363" s="215" t="s">
        <v>89</v>
      </c>
      <c r="I363" s="123">
        <f>I404+I448</f>
        <v>8774</v>
      </c>
      <c r="J363" s="123"/>
      <c r="K363" s="124" t="str">
        <f>K185</f>
        <v xml:space="preserve"> </v>
      </c>
      <c r="L363" s="215" t="s">
        <v>89</v>
      </c>
      <c r="M363" s="111">
        <f t="shared" si="74"/>
        <v>0</v>
      </c>
      <c r="N363" s="123"/>
      <c r="O363" s="124" t="str">
        <f>O185</f>
        <v xml:space="preserve"> </v>
      </c>
      <c r="P363" s="215" t="s">
        <v>89</v>
      </c>
      <c r="Q363" s="111">
        <f t="shared" si="75"/>
        <v>0</v>
      </c>
      <c r="R363" s="123"/>
      <c r="S363" s="124">
        <f>S185</f>
        <v>0</v>
      </c>
      <c r="T363" s="215" t="s">
        <v>89</v>
      </c>
      <c r="U363" s="123" t="e">
        <f>U404+U448</f>
        <v>#DIV/0!</v>
      </c>
      <c r="W363" s="112"/>
      <c r="Z363" s="127"/>
      <c r="AA363" s="127"/>
      <c r="AF363" s="122"/>
      <c r="AG363" s="122"/>
      <c r="AH363" s="122"/>
      <c r="AI363" s="122"/>
      <c r="AJ363" s="122"/>
      <c r="AK363" s="122"/>
      <c r="AL363" s="122"/>
      <c r="AM363" s="122"/>
      <c r="AN363" s="122"/>
      <c r="AO363" s="122"/>
      <c r="AP363" s="122"/>
      <c r="AR363" s="126"/>
    </row>
    <row r="364" spans="1:44" hidden="1" x14ac:dyDescent="0.25">
      <c r="A364" s="219" t="s">
        <v>140</v>
      </c>
      <c r="B364" s="149"/>
      <c r="C364" s="204"/>
      <c r="D364" s="220">
        <v>-0.01</v>
      </c>
      <c r="E364" s="206"/>
      <c r="F364" s="111"/>
      <c r="G364" s="220">
        <v>-0.01</v>
      </c>
      <c r="H364" s="206"/>
      <c r="I364" s="111"/>
      <c r="J364" s="111"/>
      <c r="K364" s="220">
        <v>-0.01</v>
      </c>
      <c r="L364" s="206"/>
      <c r="M364" s="111"/>
      <c r="N364" s="111"/>
      <c r="O364" s="220">
        <v>-0.01</v>
      </c>
      <c r="P364" s="206"/>
      <c r="Q364" s="111"/>
      <c r="R364" s="111"/>
      <c r="S364" s="220">
        <v>-0.01</v>
      </c>
      <c r="T364" s="206"/>
      <c r="U364" s="111"/>
      <c r="V364" s="44"/>
      <c r="W364" s="91"/>
      <c r="X364" s="91"/>
      <c r="Y364" s="91"/>
      <c r="Z364" s="44"/>
      <c r="AA364" s="44"/>
      <c r="AB364" s="44"/>
      <c r="AC364" s="44"/>
      <c r="AD364" s="44"/>
      <c r="AE364" s="44"/>
      <c r="AF364" s="44"/>
      <c r="AG364" s="44"/>
      <c r="AH364" s="44"/>
      <c r="AI364" s="44"/>
      <c r="AJ364" s="44"/>
      <c r="AK364" s="44"/>
      <c r="AL364" s="44"/>
      <c r="AM364" s="44"/>
      <c r="AN364" s="44"/>
      <c r="AO364" s="44"/>
      <c r="AP364" s="44"/>
      <c r="AR364" s="115"/>
    </row>
    <row r="365" spans="1:44" hidden="1" x14ac:dyDescent="0.25">
      <c r="A365" s="149" t="s">
        <v>124</v>
      </c>
      <c r="B365" s="149"/>
      <c r="C365" s="204">
        <v>0</v>
      </c>
      <c r="D365" s="222">
        <v>9.76</v>
      </c>
      <c r="E365" s="223"/>
      <c r="F365" s="111">
        <f>-ROUND(D365*$C365/100,0)</f>
        <v>0</v>
      </c>
      <c r="G365" s="222">
        <f>G351</f>
        <v>9.99</v>
      </c>
      <c r="H365" s="223"/>
      <c r="I365" s="111">
        <f t="shared" ref="I365:I378" si="77">I400+I435</f>
        <v>0</v>
      </c>
      <c r="J365" s="111"/>
      <c r="K365" s="222">
        <f>K351</f>
        <v>9.76</v>
      </c>
      <c r="L365" s="223"/>
      <c r="M365" s="111">
        <f t="shared" ref="M365:M378" si="78">M400+M435</f>
        <v>0</v>
      </c>
      <c r="N365" s="111"/>
      <c r="O365" s="222" t="str">
        <f>O351</f>
        <v xml:space="preserve"> </v>
      </c>
      <c r="P365" s="223"/>
      <c r="Q365" s="111">
        <f t="shared" ref="Q365:Q378" si="79">Q400+Q435</f>
        <v>0</v>
      </c>
      <c r="R365" s="111"/>
      <c r="S365" s="222" t="str">
        <f>S351</f>
        <v xml:space="preserve"> </v>
      </c>
      <c r="T365" s="223"/>
      <c r="U365" s="111">
        <f t="shared" ref="U365:U378" si="80">U400+U435</f>
        <v>0</v>
      </c>
      <c r="V365" s="44"/>
      <c r="W365" s="91"/>
      <c r="X365" s="91"/>
      <c r="Y365" s="91"/>
      <c r="Z365" s="44"/>
      <c r="AA365" s="44"/>
      <c r="AB365" s="44"/>
      <c r="AC365" s="44"/>
      <c r="AD365" s="44"/>
      <c r="AE365" s="44"/>
      <c r="AF365" s="44"/>
      <c r="AG365" s="44"/>
      <c r="AH365" s="44"/>
      <c r="AI365" s="44"/>
      <c r="AJ365" s="44"/>
      <c r="AK365" s="44"/>
      <c r="AL365" s="44"/>
      <c r="AM365" s="44"/>
      <c r="AN365" s="44"/>
      <c r="AO365" s="44"/>
      <c r="AP365" s="44"/>
      <c r="AR365" s="115"/>
    </row>
    <row r="366" spans="1:44" hidden="1" x14ac:dyDescent="0.25">
      <c r="A366" s="149" t="s">
        <v>125</v>
      </c>
      <c r="B366" s="149"/>
      <c r="C366" s="204">
        <v>0</v>
      </c>
      <c r="D366" s="222">
        <v>14.54</v>
      </c>
      <c r="E366" s="223"/>
      <c r="F366" s="111">
        <f t="shared" ref="F366:F368" si="81">-ROUND(D366*$C366/100,0)</f>
        <v>0</v>
      </c>
      <c r="G366" s="222">
        <f>G352</f>
        <v>14.89</v>
      </c>
      <c r="H366" s="223"/>
      <c r="I366" s="111">
        <f t="shared" si="77"/>
        <v>0</v>
      </c>
      <c r="J366" s="111"/>
      <c r="K366" s="222">
        <f>K352</f>
        <v>14.54</v>
      </c>
      <c r="L366" s="223"/>
      <c r="M366" s="111">
        <f t="shared" si="78"/>
        <v>0</v>
      </c>
      <c r="N366" s="111"/>
      <c r="O366" s="222" t="str">
        <f>O352</f>
        <v xml:space="preserve"> </v>
      </c>
      <c r="P366" s="223"/>
      <c r="Q366" s="111">
        <f t="shared" si="79"/>
        <v>0</v>
      </c>
      <c r="R366" s="111"/>
      <c r="S366" s="222" t="str">
        <f>S352</f>
        <v xml:space="preserve"> </v>
      </c>
      <c r="T366" s="223"/>
      <c r="U366" s="111">
        <f t="shared" si="80"/>
        <v>0</v>
      </c>
      <c r="V366" s="44"/>
      <c r="W366" s="91"/>
      <c r="X366" s="91"/>
      <c r="Y366" s="91"/>
      <c r="Z366" s="44"/>
      <c r="AA366" s="44"/>
      <c r="AB366" s="44"/>
      <c r="AC366" s="44"/>
      <c r="AD366" s="44"/>
      <c r="AE366" s="44"/>
      <c r="AF366" s="44"/>
      <c r="AG366" s="44"/>
      <c r="AH366" s="44"/>
      <c r="AI366" s="44"/>
      <c r="AJ366" s="44"/>
      <c r="AK366" s="44"/>
      <c r="AL366" s="44"/>
      <c r="AM366" s="44"/>
      <c r="AN366" s="44"/>
      <c r="AO366" s="44"/>
      <c r="AP366" s="44"/>
      <c r="AR366" s="115"/>
    </row>
    <row r="367" spans="1:44" hidden="1" x14ac:dyDescent="0.25">
      <c r="A367" s="149" t="s">
        <v>141</v>
      </c>
      <c r="B367" s="149"/>
      <c r="C367" s="204">
        <v>0</v>
      </c>
      <c r="D367" s="222">
        <v>1.02</v>
      </c>
      <c r="E367" s="223"/>
      <c r="F367" s="111">
        <f t="shared" si="81"/>
        <v>0</v>
      </c>
      <c r="G367" s="222">
        <f>G353</f>
        <v>1.04</v>
      </c>
      <c r="H367" s="223"/>
      <c r="I367" s="111">
        <f t="shared" si="77"/>
        <v>0</v>
      </c>
      <c r="J367" s="111"/>
      <c r="K367" s="222">
        <f>K353</f>
        <v>1.02</v>
      </c>
      <c r="L367" s="223"/>
      <c r="M367" s="111">
        <f t="shared" si="78"/>
        <v>0</v>
      </c>
      <c r="N367" s="111"/>
      <c r="O367" s="222" t="str">
        <f>O353</f>
        <v xml:space="preserve"> </v>
      </c>
      <c r="P367" s="223"/>
      <c r="Q367" s="111">
        <f t="shared" si="79"/>
        <v>0</v>
      </c>
      <c r="R367" s="111"/>
      <c r="S367" s="222" t="str">
        <f>S353</f>
        <v xml:space="preserve"> </v>
      </c>
      <c r="T367" s="223"/>
      <c r="U367" s="111">
        <f t="shared" si="80"/>
        <v>0</v>
      </c>
      <c r="V367" s="44"/>
      <c r="W367" s="91"/>
      <c r="X367" s="91"/>
      <c r="Y367" s="91"/>
      <c r="Z367" s="44"/>
      <c r="AA367" s="44"/>
      <c r="AB367" s="44"/>
      <c r="AC367" s="44"/>
      <c r="AD367" s="44"/>
      <c r="AE367" s="44"/>
      <c r="AF367" s="44"/>
      <c r="AG367" s="44"/>
      <c r="AH367" s="44"/>
      <c r="AI367" s="44"/>
      <c r="AJ367" s="44"/>
      <c r="AK367" s="44"/>
      <c r="AL367" s="44"/>
      <c r="AM367" s="44"/>
      <c r="AN367" s="44"/>
      <c r="AO367" s="44"/>
      <c r="AP367" s="44"/>
      <c r="AR367" s="115"/>
    </row>
    <row r="368" spans="1:44" hidden="1" x14ac:dyDescent="0.25">
      <c r="A368" s="149" t="s">
        <v>142</v>
      </c>
      <c r="B368" s="149"/>
      <c r="C368" s="204">
        <v>0</v>
      </c>
      <c r="D368" s="222">
        <v>3.7</v>
      </c>
      <c r="E368" s="206"/>
      <c r="F368" s="111">
        <f t="shared" si="81"/>
        <v>0</v>
      </c>
      <c r="G368" s="222">
        <f>G356</f>
        <v>3.8</v>
      </c>
      <c r="H368" s="206"/>
      <c r="I368" s="111">
        <f t="shared" si="77"/>
        <v>0</v>
      </c>
      <c r="J368" s="111"/>
      <c r="K368" s="222" t="e">
        <f>K356</f>
        <v>#REF!</v>
      </c>
      <c r="L368" s="206"/>
      <c r="M368" s="111" t="e">
        <f t="shared" si="78"/>
        <v>#REF!</v>
      </c>
      <c r="N368" s="111"/>
      <c r="O368" s="222" t="e">
        <f>O356</f>
        <v>#DIV/0!</v>
      </c>
      <c r="P368" s="206"/>
      <c r="Q368" s="111" t="e">
        <f t="shared" si="79"/>
        <v>#DIV/0!</v>
      </c>
      <c r="R368" s="111"/>
      <c r="S368" s="222" t="e">
        <f>S356</f>
        <v>#DIV/0!</v>
      </c>
      <c r="T368" s="206"/>
      <c r="U368" s="111" t="e">
        <f t="shared" si="80"/>
        <v>#DIV/0!</v>
      </c>
      <c r="V368" s="44"/>
      <c r="W368" s="91"/>
      <c r="X368" s="91"/>
      <c r="Y368" s="91"/>
      <c r="Z368" s="44"/>
      <c r="AA368" s="44"/>
      <c r="AB368" s="44"/>
      <c r="AC368" s="44"/>
      <c r="AD368" s="44"/>
      <c r="AE368" s="44"/>
      <c r="AF368" s="44"/>
      <c r="AG368" s="44"/>
      <c r="AH368" s="44"/>
      <c r="AI368" s="44"/>
      <c r="AJ368" s="44"/>
      <c r="AK368" s="44"/>
      <c r="AL368" s="44"/>
      <c r="AM368" s="44"/>
      <c r="AN368" s="44"/>
      <c r="AO368" s="44"/>
      <c r="AP368" s="44"/>
      <c r="AR368" s="115"/>
    </row>
    <row r="369" spans="1:44" hidden="1" x14ac:dyDescent="0.25">
      <c r="A369" s="149" t="s">
        <v>143</v>
      </c>
      <c r="B369" s="149"/>
      <c r="C369" s="204">
        <v>0</v>
      </c>
      <c r="D369" s="224">
        <v>10.628</v>
      </c>
      <c r="E369" s="206" t="s">
        <v>89</v>
      </c>
      <c r="F369" s="111">
        <f>ROUND(D369*$C369/100*D364,0)</f>
        <v>0</v>
      </c>
      <c r="G369" s="224">
        <f>G357</f>
        <v>10.878</v>
      </c>
      <c r="H369" s="206" t="s">
        <v>89</v>
      </c>
      <c r="I369" s="111">
        <f t="shared" si="77"/>
        <v>0</v>
      </c>
      <c r="J369" s="111"/>
      <c r="K369" s="224" t="e">
        <f>K357</f>
        <v>#REF!</v>
      </c>
      <c r="L369" s="206" t="s">
        <v>89</v>
      </c>
      <c r="M369" s="111" t="e">
        <f t="shared" si="78"/>
        <v>#REF!</v>
      </c>
      <c r="N369" s="111"/>
      <c r="O369" s="224" t="e">
        <f>O357</f>
        <v>#DIV/0!</v>
      </c>
      <c r="P369" s="206" t="s">
        <v>89</v>
      </c>
      <c r="Q369" s="111" t="e">
        <f t="shared" si="79"/>
        <v>#DIV/0!</v>
      </c>
      <c r="R369" s="111"/>
      <c r="S369" s="224" t="e">
        <f>S357</f>
        <v>#DIV/0!</v>
      </c>
      <c r="T369" s="206" t="s">
        <v>89</v>
      </c>
      <c r="U369" s="111" t="e">
        <f t="shared" si="80"/>
        <v>#DIV/0!</v>
      </c>
      <c r="V369" s="44"/>
      <c r="W369" s="91"/>
      <c r="X369" s="91"/>
      <c r="Y369" s="91"/>
      <c r="Z369" s="44"/>
      <c r="AA369" s="44"/>
      <c r="AB369" s="44"/>
      <c r="AC369" s="44"/>
      <c r="AD369" s="44"/>
      <c r="AE369" s="44"/>
      <c r="AF369" s="44"/>
      <c r="AG369" s="44"/>
      <c r="AH369" s="44"/>
      <c r="AI369" s="44"/>
      <c r="AJ369" s="44"/>
      <c r="AK369" s="44"/>
      <c r="AL369" s="44"/>
      <c r="AM369" s="44"/>
      <c r="AN369" s="44"/>
      <c r="AO369" s="44"/>
      <c r="AP369" s="44"/>
      <c r="AR369" s="115"/>
    </row>
    <row r="370" spans="1:44" hidden="1" x14ac:dyDescent="0.25">
      <c r="A370" s="149" t="s">
        <v>131</v>
      </c>
      <c r="B370" s="149"/>
      <c r="C370" s="204">
        <v>0</v>
      </c>
      <c r="D370" s="224">
        <v>7.3410000000000002</v>
      </c>
      <c r="E370" s="206" t="s">
        <v>89</v>
      </c>
      <c r="F370" s="111">
        <f>ROUND(D370*$C370/100*D364,0)</f>
        <v>0</v>
      </c>
      <c r="G370" s="224">
        <f>G358</f>
        <v>7.5140000000000002</v>
      </c>
      <c r="H370" s="206" t="s">
        <v>89</v>
      </c>
      <c r="I370" s="111">
        <f t="shared" si="77"/>
        <v>0</v>
      </c>
      <c r="J370" s="111"/>
      <c r="K370" s="224" t="e">
        <f>K358</f>
        <v>#REF!</v>
      </c>
      <c r="L370" s="206" t="s">
        <v>89</v>
      </c>
      <c r="M370" s="111" t="e">
        <f t="shared" si="78"/>
        <v>#REF!</v>
      </c>
      <c r="N370" s="111"/>
      <c r="O370" s="224" t="e">
        <f>O358</f>
        <v>#DIV/0!</v>
      </c>
      <c r="P370" s="206" t="s">
        <v>89</v>
      </c>
      <c r="Q370" s="111" t="e">
        <f t="shared" si="79"/>
        <v>#DIV/0!</v>
      </c>
      <c r="R370" s="111"/>
      <c r="S370" s="224" t="e">
        <f>S358</f>
        <v>#DIV/0!</v>
      </c>
      <c r="T370" s="206" t="s">
        <v>89</v>
      </c>
      <c r="U370" s="111" t="e">
        <f t="shared" si="80"/>
        <v>#DIV/0!</v>
      </c>
      <c r="V370" s="44"/>
      <c r="W370" s="91"/>
      <c r="X370" s="91"/>
      <c r="Y370" s="91"/>
      <c r="Z370" s="44"/>
      <c r="AA370" s="44"/>
      <c r="AB370" s="44"/>
      <c r="AC370" s="44"/>
      <c r="AD370" s="44"/>
      <c r="AE370" s="44"/>
      <c r="AF370" s="44"/>
      <c r="AG370" s="44"/>
      <c r="AH370" s="44"/>
      <c r="AI370" s="44"/>
      <c r="AJ370" s="44"/>
      <c r="AK370" s="44"/>
      <c r="AL370" s="44"/>
      <c r="AM370" s="44"/>
      <c r="AN370" s="44"/>
      <c r="AO370" s="44"/>
      <c r="AP370" s="44"/>
      <c r="AR370" s="115"/>
    </row>
    <row r="371" spans="1:44" hidden="1" x14ac:dyDescent="0.25">
      <c r="A371" s="149" t="s">
        <v>132</v>
      </c>
      <c r="B371" s="149"/>
      <c r="C371" s="204">
        <v>0</v>
      </c>
      <c r="D371" s="224">
        <v>6.3240000000000007</v>
      </c>
      <c r="E371" s="206" t="s">
        <v>89</v>
      </c>
      <c r="F371" s="111">
        <f>ROUND(D371*$C371/100*D364,0)</f>
        <v>0</v>
      </c>
      <c r="G371" s="224">
        <f>G359</f>
        <v>6.4720000000000004</v>
      </c>
      <c r="H371" s="206" t="s">
        <v>89</v>
      </c>
      <c r="I371" s="111">
        <f t="shared" si="77"/>
        <v>0</v>
      </c>
      <c r="J371" s="111"/>
      <c r="K371" s="224" t="e">
        <f>K359</f>
        <v>#REF!</v>
      </c>
      <c r="L371" s="206" t="s">
        <v>89</v>
      </c>
      <c r="M371" s="111" t="e">
        <f t="shared" si="78"/>
        <v>#REF!</v>
      </c>
      <c r="N371" s="111"/>
      <c r="O371" s="224" t="e">
        <f>O359</f>
        <v>#DIV/0!</v>
      </c>
      <c r="P371" s="206" t="s">
        <v>89</v>
      </c>
      <c r="Q371" s="111" t="e">
        <f t="shared" si="79"/>
        <v>#DIV/0!</v>
      </c>
      <c r="R371" s="111"/>
      <c r="S371" s="224" t="e">
        <f>S359</f>
        <v>#DIV/0!</v>
      </c>
      <c r="T371" s="206" t="s">
        <v>89</v>
      </c>
      <c r="U371" s="111" t="e">
        <f t="shared" si="80"/>
        <v>#DIV/0!</v>
      </c>
      <c r="V371" s="44"/>
      <c r="W371" s="91"/>
      <c r="X371" s="91"/>
      <c r="Y371" s="91"/>
      <c r="Z371" s="44"/>
      <c r="AA371" s="44"/>
      <c r="AB371" s="44"/>
      <c r="AC371" s="44"/>
      <c r="AD371" s="44"/>
      <c r="AE371" s="44"/>
      <c r="AF371" s="44"/>
      <c r="AG371" s="44"/>
      <c r="AH371" s="44"/>
      <c r="AI371" s="44"/>
      <c r="AJ371" s="44"/>
      <c r="AK371" s="44"/>
      <c r="AL371" s="44"/>
      <c r="AM371" s="44"/>
      <c r="AN371" s="44"/>
      <c r="AO371" s="44"/>
      <c r="AP371" s="44"/>
      <c r="AR371" s="115"/>
    </row>
    <row r="372" spans="1:44" hidden="1" x14ac:dyDescent="0.25">
      <c r="A372" s="149" t="s">
        <v>133</v>
      </c>
      <c r="B372" s="149"/>
      <c r="C372" s="204">
        <v>0</v>
      </c>
      <c r="D372" s="225">
        <v>57</v>
      </c>
      <c r="E372" s="206" t="s">
        <v>89</v>
      </c>
      <c r="F372" s="111">
        <f>ROUND(D372*$C372/100*D364,0)</f>
        <v>0</v>
      </c>
      <c r="G372" s="225">
        <f>G360</f>
        <v>58</v>
      </c>
      <c r="H372" s="206" t="s">
        <v>89</v>
      </c>
      <c r="I372" s="111">
        <f t="shared" si="77"/>
        <v>0</v>
      </c>
      <c r="J372" s="111"/>
      <c r="K372" s="225" t="str">
        <f>K360</f>
        <v xml:space="preserve"> </v>
      </c>
      <c r="L372" s="206" t="s">
        <v>89</v>
      </c>
      <c r="M372" s="111">
        <f t="shared" si="78"/>
        <v>0</v>
      </c>
      <c r="N372" s="111"/>
      <c r="O372" s="225" t="e">
        <f>O360</f>
        <v>#DIV/0!</v>
      </c>
      <c r="P372" s="206" t="s">
        <v>89</v>
      </c>
      <c r="Q372" s="111" t="e">
        <f t="shared" si="79"/>
        <v>#DIV/0!</v>
      </c>
      <c r="R372" s="111"/>
      <c r="S372" s="225" t="e">
        <f>S360</f>
        <v>#DIV/0!</v>
      </c>
      <c r="T372" s="206" t="s">
        <v>89</v>
      </c>
      <c r="U372" s="111" t="e">
        <f t="shared" si="80"/>
        <v>#DIV/0!</v>
      </c>
      <c r="V372" s="44"/>
      <c r="W372" s="91"/>
      <c r="X372" s="91"/>
      <c r="Y372" s="91"/>
      <c r="Z372" s="44"/>
      <c r="AA372" s="44"/>
      <c r="AB372" s="44"/>
      <c r="AC372" s="44"/>
      <c r="AD372" s="44"/>
      <c r="AE372" s="44"/>
      <c r="AF372" s="44"/>
      <c r="AG372" s="44"/>
      <c r="AH372" s="44"/>
      <c r="AI372" s="44"/>
      <c r="AJ372" s="44"/>
      <c r="AK372" s="44"/>
      <c r="AL372" s="44"/>
      <c r="AM372" s="44"/>
      <c r="AN372" s="44"/>
      <c r="AO372" s="44"/>
      <c r="AP372" s="44"/>
      <c r="AR372" s="115"/>
    </row>
    <row r="373" spans="1:44" hidden="1" x14ac:dyDescent="0.25">
      <c r="A373" s="149" t="s">
        <v>144</v>
      </c>
      <c r="B373" s="149"/>
      <c r="C373" s="204">
        <v>0</v>
      </c>
      <c r="D373" s="226">
        <v>60</v>
      </c>
      <c r="E373" s="206"/>
      <c r="F373" s="111">
        <f>ROUND(D373*C373,0)</f>
        <v>0</v>
      </c>
      <c r="G373" s="226">
        <f>$G$198</f>
        <v>60</v>
      </c>
      <c r="H373" s="206"/>
      <c r="I373" s="111">
        <f t="shared" si="77"/>
        <v>0</v>
      </c>
      <c r="J373" s="111"/>
      <c r="K373" s="226" t="str">
        <f>$K$198</f>
        <v xml:space="preserve"> </v>
      </c>
      <c r="L373" s="206"/>
      <c r="M373" s="111">
        <f t="shared" si="78"/>
        <v>0</v>
      </c>
      <c r="N373" s="111"/>
      <c r="O373" s="226" t="e">
        <f>$O$198</f>
        <v>#DIV/0!</v>
      </c>
      <c r="P373" s="206"/>
      <c r="Q373" s="111" t="e">
        <f t="shared" si="79"/>
        <v>#DIV/0!</v>
      </c>
      <c r="R373" s="111"/>
      <c r="S373" s="226" t="e">
        <f>$S$198</f>
        <v>#DIV/0!</v>
      </c>
      <c r="T373" s="206"/>
      <c r="U373" s="111" t="e">
        <f t="shared" si="80"/>
        <v>#DIV/0!</v>
      </c>
      <c r="V373" s="44"/>
      <c r="W373" s="91"/>
      <c r="X373" s="91"/>
      <c r="Y373" s="91"/>
      <c r="Z373" s="44"/>
      <c r="AA373" s="44"/>
      <c r="AB373" s="44"/>
      <c r="AC373" s="44"/>
      <c r="AD373" s="44"/>
      <c r="AE373" s="44"/>
      <c r="AF373" s="44"/>
      <c r="AG373" s="44"/>
      <c r="AH373" s="44"/>
      <c r="AI373" s="44"/>
      <c r="AJ373" s="44"/>
      <c r="AK373" s="44"/>
      <c r="AL373" s="44"/>
      <c r="AM373" s="44"/>
      <c r="AN373" s="44"/>
      <c r="AO373" s="44"/>
      <c r="AP373" s="44"/>
      <c r="AR373" s="115"/>
    </row>
    <row r="374" spans="1:44" hidden="1" x14ac:dyDescent="0.25">
      <c r="A374" s="149" t="s">
        <v>145</v>
      </c>
      <c r="B374" s="149"/>
      <c r="C374" s="204">
        <v>0</v>
      </c>
      <c r="D374" s="227">
        <v>-30</v>
      </c>
      <c r="E374" s="206" t="s">
        <v>89</v>
      </c>
      <c r="F374" s="111">
        <f>ROUND(D374*C374/100,0)</f>
        <v>0</v>
      </c>
      <c r="G374" s="227">
        <f>$G$199</f>
        <v>-30</v>
      </c>
      <c r="H374" s="206" t="s">
        <v>89</v>
      </c>
      <c r="I374" s="111">
        <f t="shared" si="77"/>
        <v>0</v>
      </c>
      <c r="J374" s="111"/>
      <c r="K374" s="227">
        <f>$K$199</f>
        <v>-30</v>
      </c>
      <c r="L374" s="206" t="s">
        <v>89</v>
      </c>
      <c r="M374" s="111">
        <f t="shared" si="78"/>
        <v>0</v>
      </c>
      <c r="N374" s="111"/>
      <c r="O374" s="227" t="str">
        <f>$O$199</f>
        <v xml:space="preserve"> </v>
      </c>
      <c r="P374" s="206" t="s">
        <v>89</v>
      </c>
      <c r="Q374" s="111">
        <f t="shared" si="79"/>
        <v>0</v>
      </c>
      <c r="R374" s="111"/>
      <c r="S374" s="227" t="str">
        <f>$S$199</f>
        <v xml:space="preserve"> </v>
      </c>
      <c r="T374" s="206" t="s">
        <v>89</v>
      </c>
      <c r="U374" s="111">
        <f t="shared" si="80"/>
        <v>0</v>
      </c>
      <c r="V374" s="44"/>
      <c r="W374" s="91"/>
      <c r="X374" s="91"/>
      <c r="Y374" s="91"/>
      <c r="Z374" s="44"/>
      <c r="AA374" s="44"/>
      <c r="AB374" s="44"/>
      <c r="AC374" s="44"/>
      <c r="AD374" s="44"/>
      <c r="AE374" s="44"/>
      <c r="AF374" s="44"/>
      <c r="AG374" s="44"/>
      <c r="AH374" s="44"/>
      <c r="AI374" s="44"/>
      <c r="AJ374" s="44"/>
      <c r="AK374" s="44"/>
      <c r="AL374" s="44"/>
      <c r="AM374" s="44"/>
      <c r="AN374" s="44"/>
      <c r="AO374" s="44"/>
      <c r="AP374" s="44"/>
      <c r="AR374" s="115"/>
    </row>
    <row r="375" spans="1:44" s="120" customFormat="1" hidden="1" x14ac:dyDescent="0.25">
      <c r="A375" s="119" t="s">
        <v>134</v>
      </c>
      <c r="C375" s="214">
        <v>0</v>
      </c>
      <c r="D375" s="128">
        <v>0</v>
      </c>
      <c r="E375" s="122"/>
      <c r="F375" s="123"/>
      <c r="G375" s="124">
        <f>G183</f>
        <v>0</v>
      </c>
      <c r="H375" s="215" t="s">
        <v>89</v>
      </c>
      <c r="I375" s="111">
        <f t="shared" si="77"/>
        <v>0</v>
      </c>
      <c r="J375" s="111"/>
      <c r="K375" s="124" t="str">
        <f>K183</f>
        <v xml:space="preserve"> </v>
      </c>
      <c r="L375" s="215" t="s">
        <v>89</v>
      </c>
      <c r="M375" s="111">
        <f t="shared" si="78"/>
        <v>0</v>
      </c>
      <c r="N375" s="111"/>
      <c r="O375" s="124" t="str">
        <f>O183</f>
        <v xml:space="preserve"> </v>
      </c>
      <c r="P375" s="215" t="s">
        <v>89</v>
      </c>
      <c r="Q375" s="111">
        <f t="shared" si="79"/>
        <v>0</v>
      </c>
      <c r="R375" s="111"/>
      <c r="S375" s="124">
        <f>S183</f>
        <v>0</v>
      </c>
      <c r="T375" s="215" t="s">
        <v>89</v>
      </c>
      <c r="U375" s="111">
        <f t="shared" si="80"/>
        <v>0</v>
      </c>
      <c r="W375" s="112"/>
      <c r="Z375" s="127"/>
      <c r="AA375" s="127"/>
      <c r="AF375" s="122"/>
      <c r="AG375" s="122"/>
      <c r="AH375" s="122"/>
      <c r="AI375" s="122"/>
      <c r="AJ375" s="122"/>
      <c r="AK375" s="122"/>
      <c r="AL375" s="122"/>
      <c r="AM375" s="122"/>
      <c r="AN375" s="122"/>
      <c r="AO375" s="122"/>
      <c r="AP375" s="122"/>
      <c r="AR375" s="126"/>
    </row>
    <row r="376" spans="1:44" s="120" customFormat="1" hidden="1" x14ac:dyDescent="0.25">
      <c r="A376" s="119" t="s">
        <v>135</v>
      </c>
      <c r="C376" s="214">
        <v>0</v>
      </c>
      <c r="D376" s="128">
        <v>0</v>
      </c>
      <c r="E376" s="122"/>
      <c r="F376" s="123"/>
      <c r="G376" s="124">
        <f>G184</f>
        <v>0</v>
      </c>
      <c r="H376" s="215" t="s">
        <v>89</v>
      </c>
      <c r="I376" s="111">
        <f t="shared" si="77"/>
        <v>0</v>
      </c>
      <c r="J376" s="111"/>
      <c r="K376" s="124" t="str">
        <f>K184</f>
        <v xml:space="preserve"> </v>
      </c>
      <c r="L376" s="215" t="s">
        <v>89</v>
      </c>
      <c r="M376" s="111">
        <f t="shared" si="78"/>
        <v>0</v>
      </c>
      <c r="N376" s="111"/>
      <c r="O376" s="124" t="str">
        <f>O184</f>
        <v xml:space="preserve"> </v>
      </c>
      <c r="P376" s="215" t="s">
        <v>89</v>
      </c>
      <c r="Q376" s="111">
        <f t="shared" si="79"/>
        <v>0</v>
      </c>
      <c r="R376" s="111"/>
      <c r="S376" s="124">
        <f>S184</f>
        <v>0</v>
      </c>
      <c r="T376" s="215" t="s">
        <v>89</v>
      </c>
      <c r="U376" s="111">
        <f t="shared" si="80"/>
        <v>0</v>
      </c>
      <c r="W376" s="112"/>
      <c r="Z376" s="127"/>
      <c r="AA376" s="127"/>
      <c r="AF376" s="122"/>
      <c r="AG376" s="122"/>
      <c r="AH376" s="122"/>
      <c r="AI376" s="122"/>
      <c r="AJ376" s="122"/>
      <c r="AK376" s="122"/>
      <c r="AL376" s="122"/>
      <c r="AM376" s="122"/>
      <c r="AN376" s="122"/>
      <c r="AO376" s="122"/>
      <c r="AP376" s="122"/>
      <c r="AR376" s="126"/>
    </row>
    <row r="377" spans="1:44" s="120" customFormat="1" hidden="1" x14ac:dyDescent="0.25">
      <c r="A377" s="119" t="s">
        <v>136</v>
      </c>
      <c r="C377" s="214">
        <v>0</v>
      </c>
      <c r="D377" s="128">
        <v>0</v>
      </c>
      <c r="E377" s="122"/>
      <c r="F377" s="123"/>
      <c r="G377" s="124">
        <f>G185</f>
        <v>0</v>
      </c>
      <c r="H377" s="215" t="s">
        <v>89</v>
      </c>
      <c r="I377" s="111">
        <f t="shared" si="77"/>
        <v>0</v>
      </c>
      <c r="J377" s="111"/>
      <c r="K377" s="124" t="str">
        <f>K185</f>
        <v xml:space="preserve"> </v>
      </c>
      <c r="L377" s="215" t="s">
        <v>89</v>
      </c>
      <c r="M377" s="111">
        <f t="shared" si="78"/>
        <v>0</v>
      </c>
      <c r="N377" s="111"/>
      <c r="O377" s="124" t="str">
        <f>O185</f>
        <v xml:space="preserve"> </v>
      </c>
      <c r="P377" s="215" t="s">
        <v>89</v>
      </c>
      <c r="Q377" s="111">
        <f t="shared" si="79"/>
        <v>0</v>
      </c>
      <c r="R377" s="111"/>
      <c r="S377" s="124">
        <f>S185</f>
        <v>0</v>
      </c>
      <c r="T377" s="215" t="s">
        <v>89</v>
      </c>
      <c r="U377" s="111">
        <f t="shared" si="80"/>
        <v>0</v>
      </c>
      <c r="W377" s="112"/>
      <c r="Z377" s="127"/>
      <c r="AA377" s="127"/>
      <c r="AF377" s="122"/>
      <c r="AG377" s="122"/>
      <c r="AH377" s="122"/>
      <c r="AI377" s="122"/>
      <c r="AJ377" s="122"/>
      <c r="AK377" s="122"/>
      <c r="AL377" s="122"/>
      <c r="AM377" s="122"/>
      <c r="AN377" s="122"/>
      <c r="AO377" s="122"/>
      <c r="AP377" s="122"/>
      <c r="AR377" s="126"/>
    </row>
    <row r="378" spans="1:44" hidden="1" x14ac:dyDescent="0.25">
      <c r="A378" s="149" t="s">
        <v>114</v>
      </c>
      <c r="B378" s="149"/>
      <c r="C378" s="204">
        <f>C413+C448</f>
        <v>1303781.7942953119</v>
      </c>
      <c r="D378" s="212"/>
      <c r="E378" s="206"/>
      <c r="F378" s="111">
        <f>F413+F448</f>
        <v>180345</v>
      </c>
      <c r="G378" s="212"/>
      <c r="H378" s="206"/>
      <c r="I378" s="111">
        <f t="shared" si="77"/>
        <v>184590</v>
      </c>
      <c r="J378" s="111"/>
      <c r="K378" s="212"/>
      <c r="L378" s="206"/>
      <c r="M378" s="111" t="e">
        <f t="shared" si="78"/>
        <v>#REF!</v>
      </c>
      <c r="N378" s="111"/>
      <c r="O378" s="212"/>
      <c r="P378" s="206"/>
      <c r="Q378" s="111" t="e">
        <f t="shared" si="79"/>
        <v>#DIV/0!</v>
      </c>
      <c r="R378" s="111"/>
      <c r="S378" s="212"/>
      <c r="T378" s="206"/>
      <c r="U378" s="111" t="e">
        <f t="shared" si="80"/>
        <v>#DIV/0!</v>
      </c>
      <c r="V378" s="44"/>
      <c r="W378" s="91"/>
      <c r="X378" s="91"/>
      <c r="Y378" s="91"/>
      <c r="Z378" s="44"/>
      <c r="AA378" s="44"/>
      <c r="AB378" s="44"/>
      <c r="AC378" s="44"/>
      <c r="AD378" s="44"/>
      <c r="AE378" s="44"/>
      <c r="AF378" s="44"/>
      <c r="AG378" s="44"/>
      <c r="AH378" s="44"/>
      <c r="AI378" s="44"/>
      <c r="AJ378" s="44"/>
      <c r="AK378" s="44"/>
      <c r="AL378" s="44"/>
      <c r="AM378" s="44"/>
      <c r="AN378" s="44"/>
      <c r="AO378" s="44"/>
      <c r="AP378" s="44"/>
      <c r="AR378" s="115"/>
    </row>
    <row r="379" spans="1:44" hidden="1" x14ac:dyDescent="0.25">
      <c r="A379" s="149" t="s">
        <v>92</v>
      </c>
      <c r="B379" s="149"/>
      <c r="C379" s="229">
        <f>C414+C449</f>
        <v>8866.1474847682257</v>
      </c>
      <c r="D379" s="134"/>
      <c r="E379" s="134"/>
      <c r="F379" s="230">
        <f>F414+F449</f>
        <v>1349.4416224178776</v>
      </c>
      <c r="G379" s="134"/>
      <c r="H379" s="134"/>
      <c r="I379" s="230">
        <f>F379</f>
        <v>1349.4416224178776</v>
      </c>
      <c r="J379" s="207"/>
      <c r="K379" s="134"/>
      <c r="L379" s="134"/>
      <c r="M379" s="230" t="e">
        <f>M204/I204*I379</f>
        <v>#DIV/0!</v>
      </c>
      <c r="N379" s="207"/>
      <c r="O379" s="134"/>
      <c r="P379" s="134"/>
      <c r="Q379" s="230" t="e">
        <f>Q204/I204*I379</f>
        <v>#DIV/0!</v>
      </c>
      <c r="R379" s="207"/>
      <c r="S379" s="134"/>
      <c r="T379" s="134"/>
      <c r="U379" s="230" t="e">
        <f>U204/I204*I379</f>
        <v>#DIV/0!</v>
      </c>
      <c r="V379" s="165"/>
      <c r="W379" s="163"/>
      <c r="X379" s="91"/>
      <c r="Y379" s="91"/>
      <c r="Z379" s="44"/>
      <c r="AA379" s="44"/>
      <c r="AB379" s="44"/>
      <c r="AC379" s="44"/>
      <c r="AD379" s="44"/>
      <c r="AE379" s="44"/>
      <c r="AF379" s="44"/>
      <c r="AG379" s="44"/>
      <c r="AH379" s="44"/>
      <c r="AI379" s="44"/>
      <c r="AJ379" s="44"/>
      <c r="AK379" s="44"/>
      <c r="AL379" s="44"/>
      <c r="AM379" s="44"/>
      <c r="AN379" s="44"/>
      <c r="AO379" s="44"/>
      <c r="AP379" s="44"/>
      <c r="AR379" s="115"/>
    </row>
    <row r="380" spans="1:44" ht="16.5" hidden="1" thickBot="1" x14ac:dyDescent="0.3">
      <c r="A380" s="149" t="s">
        <v>115</v>
      </c>
      <c r="B380" s="149"/>
      <c r="C380" s="192">
        <f>SUM(C378:C379)</f>
        <v>1312647.9417800801</v>
      </c>
      <c r="D380" s="245"/>
      <c r="E380" s="232"/>
      <c r="F380" s="233">
        <f>F378+F379</f>
        <v>181694.44162241789</v>
      </c>
      <c r="G380" s="245"/>
      <c r="H380" s="232"/>
      <c r="I380" s="233">
        <f>I378+I379</f>
        <v>185939.44162241789</v>
      </c>
      <c r="J380" s="207"/>
      <c r="K380" s="245"/>
      <c r="L380" s="232"/>
      <c r="M380" s="233" t="e">
        <f>M378+M379</f>
        <v>#REF!</v>
      </c>
      <c r="N380" s="233"/>
      <c r="O380" s="245"/>
      <c r="P380" s="232"/>
      <c r="Q380" s="233" t="e">
        <f>Q378+Q379</f>
        <v>#DIV/0!</v>
      </c>
      <c r="R380" s="233"/>
      <c r="S380" s="245"/>
      <c r="T380" s="232"/>
      <c r="U380" s="233" t="e">
        <f>U378+U379</f>
        <v>#DIV/0!</v>
      </c>
      <c r="V380" s="166"/>
      <c r="W380" s="167"/>
      <c r="X380" s="91"/>
      <c r="Y380" s="91"/>
      <c r="Z380" s="44"/>
      <c r="AA380" s="44"/>
      <c r="AB380" s="44"/>
      <c r="AC380" s="44"/>
      <c r="AD380" s="44"/>
      <c r="AE380" s="44"/>
      <c r="AF380" s="44"/>
      <c r="AG380" s="44"/>
      <c r="AH380" s="44"/>
      <c r="AI380" s="44"/>
      <c r="AJ380" s="44"/>
      <c r="AK380" s="44"/>
      <c r="AL380" s="44"/>
      <c r="AM380" s="44"/>
      <c r="AN380" s="44"/>
      <c r="AO380" s="44"/>
      <c r="AP380" s="44"/>
      <c r="AR380" s="115"/>
    </row>
    <row r="381" spans="1:44" hidden="1" x14ac:dyDescent="0.25">
      <c r="A381" s="149"/>
      <c r="B381" s="149"/>
      <c r="C381" s="169"/>
      <c r="D381" s="226"/>
      <c r="E381" s="149"/>
      <c r="F381" s="111"/>
      <c r="G381" s="226"/>
      <c r="H381" s="149"/>
      <c r="I381" s="111" t="s">
        <v>0</v>
      </c>
      <c r="J381" s="111"/>
      <c r="K381" s="226"/>
      <c r="L381" s="149"/>
      <c r="M381" s="111" t="s">
        <v>0</v>
      </c>
      <c r="N381" s="111"/>
      <c r="O381" s="226"/>
      <c r="P381" s="149"/>
      <c r="Q381" s="111" t="s">
        <v>0</v>
      </c>
      <c r="R381" s="111"/>
      <c r="S381" s="226"/>
      <c r="T381" s="149"/>
      <c r="U381" s="111" t="s">
        <v>0</v>
      </c>
      <c r="V381" s="44"/>
      <c r="W381" s="91"/>
      <c r="X381" s="91"/>
      <c r="Y381" s="91"/>
      <c r="Z381" s="44"/>
      <c r="AA381" s="44"/>
      <c r="AB381" s="44"/>
      <c r="AC381" s="44"/>
      <c r="AD381" s="44"/>
      <c r="AE381" s="44"/>
      <c r="AF381" s="44"/>
      <c r="AG381" s="44"/>
      <c r="AH381" s="44"/>
      <c r="AI381" s="44"/>
      <c r="AJ381" s="44"/>
      <c r="AK381" s="44"/>
      <c r="AL381" s="44"/>
      <c r="AM381" s="44"/>
      <c r="AN381" s="44"/>
      <c r="AO381" s="44"/>
      <c r="AP381" s="44"/>
      <c r="AR381" s="115"/>
    </row>
    <row r="382" spans="1:44" hidden="1" x14ac:dyDescent="0.25">
      <c r="A382" s="168" t="s">
        <v>153</v>
      </c>
      <c r="B382" s="149"/>
      <c r="C382" s="149"/>
      <c r="D382" s="111"/>
      <c r="E382" s="149"/>
      <c r="F382" s="149"/>
      <c r="G382" s="111"/>
      <c r="H382" s="149"/>
      <c r="I382" s="149"/>
      <c r="J382" s="149"/>
      <c r="K382" s="111"/>
      <c r="L382" s="149"/>
      <c r="M382" s="149"/>
      <c r="N382" s="149"/>
      <c r="O382" s="111"/>
      <c r="P382" s="149"/>
      <c r="Q382" s="149"/>
      <c r="R382" s="149"/>
      <c r="S382" s="111"/>
      <c r="T382" s="149"/>
      <c r="U382" s="149"/>
      <c r="V382" s="44"/>
      <c r="W382" s="91"/>
      <c r="X382" s="91"/>
      <c r="Y382" s="91"/>
      <c r="Z382" s="44"/>
      <c r="AA382" s="44"/>
      <c r="AB382" s="44"/>
      <c r="AC382" s="44"/>
      <c r="AD382" s="44"/>
      <c r="AE382" s="44"/>
      <c r="AF382" s="44"/>
      <c r="AG382" s="44"/>
      <c r="AH382" s="44"/>
      <c r="AI382" s="44"/>
      <c r="AJ382" s="44"/>
      <c r="AK382" s="44"/>
      <c r="AL382" s="44"/>
      <c r="AM382" s="44"/>
      <c r="AN382" s="44"/>
      <c r="AO382" s="44"/>
      <c r="AP382" s="44"/>
      <c r="AR382" s="115"/>
    </row>
    <row r="383" spans="1:44" hidden="1" x14ac:dyDescent="0.25">
      <c r="A383" s="149" t="s">
        <v>150</v>
      </c>
      <c r="B383" s="149"/>
      <c r="C383" s="149"/>
      <c r="D383" s="111"/>
      <c r="E383" s="149"/>
      <c r="F383" s="149"/>
      <c r="G383" s="111"/>
      <c r="H383" s="149"/>
      <c r="I383" s="149"/>
      <c r="J383" s="149"/>
      <c r="K383" s="111"/>
      <c r="L383" s="149"/>
      <c r="M383" s="149"/>
      <c r="N383" s="149"/>
      <c r="O383" s="111"/>
      <c r="P383" s="149"/>
      <c r="Q383" s="149"/>
      <c r="R383" s="149"/>
      <c r="S383" s="111"/>
      <c r="T383" s="149"/>
      <c r="U383" s="149"/>
      <c r="V383" s="44"/>
      <c r="W383" s="91"/>
      <c r="X383" s="91"/>
      <c r="Y383" s="91"/>
      <c r="Z383" s="44"/>
      <c r="AA383" s="44"/>
      <c r="AB383" s="44"/>
      <c r="AC383" s="44"/>
      <c r="AD383" s="44"/>
      <c r="AE383" s="44"/>
      <c r="AF383" s="44"/>
      <c r="AG383" s="44"/>
      <c r="AH383" s="44"/>
      <c r="AI383" s="44"/>
      <c r="AJ383" s="44"/>
      <c r="AK383" s="44"/>
      <c r="AL383" s="44"/>
      <c r="AM383" s="44"/>
      <c r="AN383" s="44"/>
      <c r="AO383" s="44"/>
      <c r="AP383" s="44"/>
      <c r="AR383" s="115"/>
    </row>
    <row r="384" spans="1:44" hidden="1" x14ac:dyDescent="0.25">
      <c r="A384" s="149"/>
      <c r="B384" s="149"/>
      <c r="C384" s="149"/>
      <c r="D384" s="111"/>
      <c r="E384" s="149"/>
      <c r="F384" s="149"/>
      <c r="G384" s="111"/>
      <c r="H384" s="149"/>
      <c r="I384" s="149"/>
      <c r="J384" s="149"/>
      <c r="K384" s="111"/>
      <c r="L384" s="149"/>
      <c r="M384" s="149"/>
      <c r="N384" s="149"/>
      <c r="O384" s="111"/>
      <c r="P384" s="149"/>
      <c r="Q384" s="149"/>
      <c r="R384" s="149"/>
      <c r="S384" s="111"/>
      <c r="T384" s="149"/>
      <c r="U384" s="149"/>
      <c r="V384" s="44"/>
      <c r="W384" s="91"/>
      <c r="X384" s="91"/>
      <c r="Y384" s="91"/>
      <c r="Z384" s="44"/>
      <c r="AA384" s="44"/>
      <c r="AB384" s="44"/>
      <c r="AC384" s="44"/>
      <c r="AD384" s="44"/>
      <c r="AE384" s="44"/>
      <c r="AF384" s="44"/>
      <c r="AG384" s="44"/>
      <c r="AH384" s="44"/>
      <c r="AI384" s="44"/>
      <c r="AJ384" s="44"/>
      <c r="AK384" s="44"/>
      <c r="AL384" s="44"/>
      <c r="AM384" s="44"/>
      <c r="AN384" s="44"/>
      <c r="AO384" s="44"/>
      <c r="AP384" s="44"/>
      <c r="AR384" s="115"/>
    </row>
    <row r="385" spans="1:44" hidden="1" x14ac:dyDescent="0.25">
      <c r="A385" s="149" t="s">
        <v>127</v>
      </c>
      <c r="B385" s="149"/>
      <c r="C385" s="204"/>
      <c r="D385" s="111"/>
      <c r="E385" s="149"/>
      <c r="F385" s="149"/>
      <c r="G385" s="111"/>
      <c r="H385" s="149"/>
      <c r="I385" s="149"/>
      <c r="J385" s="149"/>
      <c r="K385" s="111"/>
      <c r="L385" s="149"/>
      <c r="M385" s="149"/>
      <c r="N385" s="149"/>
      <c r="O385" s="111"/>
      <c r="P385" s="149"/>
      <c r="Q385" s="149"/>
      <c r="R385" s="149"/>
      <c r="S385" s="111"/>
      <c r="T385" s="149"/>
      <c r="U385" s="149"/>
      <c r="V385" s="44"/>
      <c r="W385" s="91"/>
      <c r="X385" s="91"/>
      <c r="Y385" s="91"/>
      <c r="Z385" s="44"/>
      <c r="AA385" s="44"/>
      <c r="AB385" s="44"/>
      <c r="AC385" s="44"/>
      <c r="AD385" s="44"/>
      <c r="AE385" s="44"/>
      <c r="AF385" s="44"/>
      <c r="AG385" s="44"/>
      <c r="AH385" s="44"/>
      <c r="AI385" s="44"/>
      <c r="AJ385" s="44"/>
      <c r="AK385" s="44"/>
      <c r="AL385" s="44"/>
      <c r="AM385" s="44"/>
      <c r="AN385" s="44"/>
      <c r="AO385" s="44"/>
      <c r="AP385" s="44"/>
      <c r="AR385" s="115"/>
    </row>
    <row r="386" spans="1:44" hidden="1" x14ac:dyDescent="0.25">
      <c r="A386" s="149" t="s">
        <v>154</v>
      </c>
      <c r="B386" s="149"/>
      <c r="C386" s="204">
        <v>3983.5574873188079</v>
      </c>
      <c r="D386" s="173">
        <v>9.76</v>
      </c>
      <c r="E386" s="206"/>
      <c r="F386" s="111">
        <f>ROUND(D386*$C386,0)</f>
        <v>38880</v>
      </c>
      <c r="G386" s="173">
        <f>$G$173</f>
        <v>9.99</v>
      </c>
      <c r="H386" s="206"/>
      <c r="I386" s="111">
        <f>ROUND(G386*$C386,0)</f>
        <v>39796</v>
      </c>
      <c r="J386" s="111"/>
      <c r="K386" s="173">
        <f>$K$173</f>
        <v>9.76</v>
      </c>
      <c r="L386" s="206"/>
      <c r="M386" s="111">
        <f>ROUND(K386*$C386,0)</f>
        <v>38880</v>
      </c>
      <c r="N386" s="111"/>
      <c r="O386" s="173" t="str">
        <f>$O$173</f>
        <v xml:space="preserve"> </v>
      </c>
      <c r="P386" s="206"/>
      <c r="Q386" s="111">
        <f>ROUND(O386*$C386,0)</f>
        <v>0</v>
      </c>
      <c r="R386" s="111"/>
      <c r="S386" s="173" t="str">
        <f>$S$173</f>
        <v xml:space="preserve"> </v>
      </c>
      <c r="T386" s="206"/>
      <c r="U386" s="111">
        <f>ROUND(S386*$C386,0)</f>
        <v>0</v>
      </c>
      <c r="V386" s="44"/>
      <c r="W386" s="91"/>
      <c r="X386" s="91"/>
      <c r="Y386" s="91"/>
      <c r="Z386" s="44"/>
      <c r="AA386" s="44"/>
      <c r="AB386" s="44"/>
      <c r="AC386" s="44"/>
      <c r="AD386" s="44"/>
      <c r="AE386" s="44"/>
      <c r="AF386" s="44"/>
      <c r="AG386" s="44"/>
      <c r="AH386" s="44"/>
      <c r="AI386" s="44"/>
      <c r="AJ386" s="44"/>
      <c r="AK386" s="44"/>
      <c r="AL386" s="44"/>
      <c r="AM386" s="44"/>
      <c r="AN386" s="44"/>
      <c r="AO386" s="44"/>
      <c r="AP386" s="44"/>
      <c r="AR386" s="115"/>
    </row>
    <row r="387" spans="1:44" hidden="1" x14ac:dyDescent="0.25">
      <c r="A387" s="149" t="s">
        <v>125</v>
      </c>
      <c r="B387" s="149"/>
      <c r="C387" s="204">
        <v>0</v>
      </c>
      <c r="D387" s="173">
        <v>14.54</v>
      </c>
      <c r="E387" s="208"/>
      <c r="F387" s="111">
        <f t="shared" ref="F387:F388" si="82">ROUND(D387*$C387,0)</f>
        <v>0</v>
      </c>
      <c r="G387" s="173">
        <f>$G$174</f>
        <v>14.89</v>
      </c>
      <c r="H387" s="208"/>
      <c r="I387" s="111">
        <f>ROUND(G387*$C387,0)</f>
        <v>0</v>
      </c>
      <c r="J387" s="111"/>
      <c r="K387" s="173">
        <f>$K$174</f>
        <v>14.54</v>
      </c>
      <c r="L387" s="208"/>
      <c r="M387" s="111">
        <f>ROUND(K387*$C387,0)</f>
        <v>0</v>
      </c>
      <c r="N387" s="111"/>
      <c r="O387" s="173" t="str">
        <f>$O$174</f>
        <v xml:space="preserve"> </v>
      </c>
      <c r="P387" s="208"/>
      <c r="Q387" s="111">
        <f>ROUND(O387*$C387,0)</f>
        <v>0</v>
      </c>
      <c r="R387" s="111"/>
      <c r="S387" s="173" t="str">
        <f>$S$174</f>
        <v xml:space="preserve"> </v>
      </c>
      <c r="T387" s="208"/>
      <c r="U387" s="111">
        <f>ROUND(S387*$C387,0)</f>
        <v>0</v>
      </c>
      <c r="V387" s="44"/>
      <c r="W387" s="91"/>
      <c r="X387" s="91"/>
      <c r="Y387" s="91"/>
      <c r="Z387" s="44"/>
      <c r="AA387" s="44"/>
      <c r="AB387" s="44"/>
      <c r="AC387" s="44"/>
      <c r="AD387" s="44"/>
      <c r="AE387" s="44"/>
      <c r="AF387" s="44"/>
      <c r="AG387" s="44"/>
      <c r="AH387" s="44"/>
      <c r="AI387" s="44"/>
      <c r="AJ387" s="44"/>
      <c r="AK387" s="44"/>
      <c r="AL387" s="44"/>
      <c r="AM387" s="44"/>
      <c r="AN387" s="44"/>
      <c r="AO387" s="44"/>
      <c r="AP387" s="44"/>
      <c r="AR387" s="115"/>
    </row>
    <row r="388" spans="1:44" hidden="1" x14ac:dyDescent="0.25">
      <c r="A388" s="149" t="s">
        <v>126</v>
      </c>
      <c r="B388" s="149"/>
      <c r="C388" s="204">
        <v>0</v>
      </c>
      <c r="D388" s="173">
        <v>1.02</v>
      </c>
      <c r="E388" s="208"/>
      <c r="F388" s="111">
        <f t="shared" si="82"/>
        <v>0</v>
      </c>
      <c r="G388" s="173">
        <f>$G$175</f>
        <v>1.04</v>
      </c>
      <c r="H388" s="208"/>
      <c r="I388" s="111">
        <f>ROUND(G388*$C388,0)</f>
        <v>0</v>
      </c>
      <c r="J388" s="111"/>
      <c r="K388" s="173">
        <f>$K$175</f>
        <v>1.02</v>
      </c>
      <c r="L388" s="208"/>
      <c r="M388" s="111">
        <f>ROUND(K388*$C388,0)</f>
        <v>0</v>
      </c>
      <c r="N388" s="111"/>
      <c r="O388" s="173" t="str">
        <f>$O$175</f>
        <v xml:space="preserve"> </v>
      </c>
      <c r="P388" s="208"/>
      <c r="Q388" s="111">
        <f>ROUND(O388*$C388,0)</f>
        <v>0</v>
      </c>
      <c r="R388" s="111"/>
      <c r="S388" s="173" t="str">
        <f>$S$175</f>
        <v xml:space="preserve"> </v>
      </c>
      <c r="T388" s="208"/>
      <c r="U388" s="111">
        <f>ROUND(S388*$C388,0)</f>
        <v>0</v>
      </c>
      <c r="V388" s="44"/>
      <c r="W388" s="91"/>
      <c r="X388" s="91"/>
      <c r="Y388" s="91"/>
      <c r="Z388" s="44"/>
      <c r="AA388" s="44"/>
      <c r="AB388" s="44"/>
      <c r="AC388" s="44"/>
      <c r="AD388" s="44"/>
      <c r="AE388" s="44"/>
      <c r="AF388" s="44"/>
      <c r="AG388" s="44"/>
      <c r="AH388" s="44"/>
      <c r="AI388" s="44"/>
      <c r="AJ388" s="44"/>
      <c r="AK388" s="44"/>
      <c r="AL388" s="44"/>
      <c r="AM388" s="44"/>
      <c r="AN388" s="44"/>
      <c r="AO388" s="44"/>
      <c r="AP388" s="44"/>
      <c r="AR388" s="115"/>
    </row>
    <row r="389" spans="1:44" hidden="1" x14ac:dyDescent="0.25">
      <c r="A389" s="149" t="s">
        <v>128</v>
      </c>
      <c r="B389" s="149"/>
      <c r="C389" s="204">
        <f>SUM(C386:C387)</f>
        <v>3983.5574873188079</v>
      </c>
      <c r="D389" s="173"/>
      <c r="E389" s="206"/>
      <c r="F389" s="111"/>
      <c r="G389" s="173"/>
      <c r="H389" s="206"/>
      <c r="I389" s="111"/>
      <c r="J389" s="111"/>
      <c r="K389" s="173"/>
      <c r="L389" s="206"/>
      <c r="M389" s="111"/>
      <c r="N389" s="111"/>
      <c r="O389" s="173"/>
      <c r="P389" s="206"/>
      <c r="Q389" s="111"/>
      <c r="R389" s="111"/>
      <c r="S389" s="173"/>
      <c r="T389" s="206"/>
      <c r="U389" s="111"/>
      <c r="V389" s="44"/>
      <c r="W389" s="91"/>
      <c r="X389" s="91"/>
      <c r="Y389" s="91"/>
      <c r="Z389" s="44"/>
      <c r="AA389" s="44"/>
      <c r="AB389" s="44"/>
      <c r="AC389" s="44"/>
      <c r="AD389" s="44"/>
      <c r="AE389" s="44"/>
      <c r="AF389" s="44"/>
      <c r="AG389" s="44"/>
      <c r="AH389" s="44"/>
      <c r="AI389" s="44"/>
      <c r="AJ389" s="44"/>
      <c r="AK389" s="44"/>
      <c r="AL389" s="44"/>
      <c r="AM389" s="44"/>
      <c r="AN389" s="44"/>
      <c r="AO389" s="44"/>
      <c r="AP389" s="44"/>
      <c r="AR389" s="115"/>
    </row>
    <row r="390" spans="1:44" hidden="1" x14ac:dyDescent="0.25">
      <c r="A390" s="149" t="s">
        <v>90</v>
      </c>
      <c r="B390" s="149"/>
      <c r="C390" s="204">
        <v>1401.1000000000033</v>
      </c>
      <c r="D390" s="173"/>
      <c r="E390" s="206"/>
      <c r="F390" s="111"/>
      <c r="G390" s="173"/>
      <c r="H390" s="206"/>
      <c r="I390" s="111"/>
      <c r="J390" s="111"/>
      <c r="K390" s="173"/>
      <c r="L390" s="206"/>
      <c r="M390" s="111"/>
      <c r="N390" s="111"/>
      <c r="O390" s="173"/>
      <c r="P390" s="206"/>
      <c r="Q390" s="111"/>
      <c r="R390" s="111"/>
      <c r="S390" s="173"/>
      <c r="T390" s="206"/>
      <c r="U390" s="111"/>
      <c r="V390" s="44"/>
      <c r="W390" s="91"/>
      <c r="X390" s="91"/>
      <c r="Y390" s="91"/>
      <c r="Z390" s="44"/>
      <c r="AA390" s="44"/>
      <c r="AB390" s="44"/>
      <c r="AC390" s="44"/>
      <c r="AD390" s="44"/>
      <c r="AE390" s="44"/>
      <c r="AF390" s="44"/>
      <c r="AG390" s="44"/>
      <c r="AH390" s="44"/>
      <c r="AI390" s="44"/>
      <c r="AJ390" s="44"/>
      <c r="AK390" s="44"/>
      <c r="AL390" s="44"/>
      <c r="AM390" s="44"/>
      <c r="AN390" s="44"/>
      <c r="AO390" s="44"/>
      <c r="AP390" s="44"/>
      <c r="AR390" s="115"/>
    </row>
    <row r="391" spans="1:44" hidden="1" x14ac:dyDescent="0.25">
      <c r="A391" s="149" t="s">
        <v>129</v>
      </c>
      <c r="B391" s="149"/>
      <c r="C391" s="204">
        <v>0</v>
      </c>
      <c r="D391" s="226">
        <v>3.7</v>
      </c>
      <c r="E391" s="206"/>
      <c r="F391" s="111">
        <f>ROUND(D391*C391,0)</f>
        <v>0</v>
      </c>
      <c r="G391" s="226">
        <f>$G$178</f>
        <v>3.8</v>
      </c>
      <c r="H391" s="206"/>
      <c r="I391" s="111">
        <f>ROUND(G391*$C391,0)</f>
        <v>0</v>
      </c>
      <c r="J391" s="111"/>
      <c r="K391" s="226" t="e">
        <f>$K$178</f>
        <v>#REF!</v>
      </c>
      <c r="L391" s="206"/>
      <c r="M391" s="111" t="e">
        <f>ROUND(K391*$C391,0)</f>
        <v>#REF!</v>
      </c>
      <c r="N391" s="111"/>
      <c r="O391" s="226" t="e">
        <f>$O$178</f>
        <v>#DIV/0!</v>
      </c>
      <c r="P391" s="206"/>
      <c r="Q391" s="111" t="e">
        <f>ROUND(O391*$C391,0)</f>
        <v>#DIV/0!</v>
      </c>
      <c r="R391" s="111"/>
      <c r="S391" s="226" t="e">
        <f>$S$178</f>
        <v>#DIV/0!</v>
      </c>
      <c r="T391" s="206"/>
      <c r="U391" s="111" t="e">
        <f>ROUND(S391*$C391,0)</f>
        <v>#DIV/0!</v>
      </c>
      <c r="V391" s="44"/>
      <c r="W391" s="91"/>
      <c r="X391" s="91"/>
      <c r="Y391" s="91"/>
      <c r="Z391" s="44"/>
      <c r="AA391" s="44"/>
      <c r="AB391" s="44"/>
      <c r="AC391" s="44"/>
      <c r="AD391" s="44"/>
      <c r="AE391" s="44"/>
      <c r="AF391" s="44"/>
      <c r="AG391" s="44"/>
      <c r="AH391" s="44"/>
      <c r="AI391" s="44"/>
      <c r="AJ391" s="44"/>
      <c r="AK391" s="44"/>
      <c r="AL391" s="44"/>
      <c r="AM391" s="44"/>
      <c r="AN391" s="44"/>
      <c r="AO391" s="44"/>
      <c r="AP391" s="44"/>
      <c r="AR391" s="115"/>
    </row>
    <row r="392" spans="1:44" hidden="1" x14ac:dyDescent="0.25">
      <c r="A392" s="149" t="s">
        <v>130</v>
      </c>
      <c r="B392" s="149"/>
      <c r="C392" s="204">
        <v>1205594.7942953119</v>
      </c>
      <c r="D392" s="175">
        <v>10.628</v>
      </c>
      <c r="E392" s="206" t="s">
        <v>89</v>
      </c>
      <c r="F392" s="111">
        <f>ROUND(D392*C392/100,0)</f>
        <v>128131</v>
      </c>
      <c r="G392" s="175">
        <f>$G$179</f>
        <v>10.878</v>
      </c>
      <c r="H392" s="206" t="s">
        <v>89</v>
      </c>
      <c r="I392" s="111">
        <f>ROUND(G392*$C392/100,0)</f>
        <v>131145</v>
      </c>
      <c r="J392" s="111"/>
      <c r="K392" s="175" t="e">
        <f>$K$179</f>
        <v>#REF!</v>
      </c>
      <c r="L392" s="206" t="s">
        <v>89</v>
      </c>
      <c r="M392" s="111" t="e">
        <f>ROUND(K392*$C392/100,0)</f>
        <v>#REF!</v>
      </c>
      <c r="N392" s="111"/>
      <c r="O392" s="175" t="e">
        <f>$O$179</f>
        <v>#DIV/0!</v>
      </c>
      <c r="P392" s="206" t="s">
        <v>89</v>
      </c>
      <c r="Q392" s="111" t="e">
        <f>ROUND(O392*$C392/100,0)</f>
        <v>#DIV/0!</v>
      </c>
      <c r="R392" s="111"/>
      <c r="S392" s="175" t="e">
        <f>$S$179</f>
        <v>#DIV/0!</v>
      </c>
      <c r="T392" s="206" t="s">
        <v>89</v>
      </c>
      <c r="U392" s="111" t="e">
        <f>ROUND(S392*$C392/100,0)</f>
        <v>#DIV/0!</v>
      </c>
      <c r="V392" s="44"/>
      <c r="W392" s="91"/>
      <c r="X392" s="91"/>
      <c r="Y392" s="91"/>
      <c r="Z392" s="44"/>
      <c r="AA392" s="44"/>
      <c r="AB392" s="44"/>
      <c r="AC392" s="44"/>
      <c r="AD392" s="44"/>
      <c r="AE392" s="44"/>
      <c r="AF392" s="44"/>
      <c r="AG392" s="44"/>
      <c r="AH392" s="44"/>
      <c r="AI392" s="44"/>
      <c r="AJ392" s="44"/>
      <c r="AK392" s="44"/>
      <c r="AL392" s="44"/>
      <c r="AM392" s="44"/>
      <c r="AN392" s="44"/>
      <c r="AO392" s="44"/>
      <c r="AP392" s="44"/>
      <c r="AR392" s="115"/>
    </row>
    <row r="393" spans="1:44" hidden="1" x14ac:dyDescent="0.25">
      <c r="A393" s="149" t="s">
        <v>131</v>
      </c>
      <c r="B393" s="169"/>
      <c r="C393" s="204">
        <v>64875</v>
      </c>
      <c r="D393" s="175">
        <v>7.3410000000000002</v>
      </c>
      <c r="E393" s="206" t="s">
        <v>89</v>
      </c>
      <c r="F393" s="111">
        <f>ROUND(D393*C393/100,0)</f>
        <v>4762</v>
      </c>
      <c r="G393" s="175">
        <f>$G$180</f>
        <v>7.5140000000000002</v>
      </c>
      <c r="H393" s="206" t="s">
        <v>89</v>
      </c>
      <c r="I393" s="111">
        <f>ROUND(G393*$C393/100,0)</f>
        <v>4875</v>
      </c>
      <c r="J393" s="111"/>
      <c r="K393" s="175" t="e">
        <f>$K$180</f>
        <v>#REF!</v>
      </c>
      <c r="L393" s="206" t="s">
        <v>89</v>
      </c>
      <c r="M393" s="111" t="e">
        <f>ROUND(K393*$C393/100,0)</f>
        <v>#REF!</v>
      </c>
      <c r="N393" s="111"/>
      <c r="O393" s="175" t="e">
        <f>$O$180</f>
        <v>#DIV/0!</v>
      </c>
      <c r="P393" s="206" t="s">
        <v>89</v>
      </c>
      <c r="Q393" s="111" t="e">
        <f>ROUND(O393*$C393/100,0)</f>
        <v>#DIV/0!</v>
      </c>
      <c r="R393" s="111"/>
      <c r="S393" s="175" t="e">
        <f>$S$180</f>
        <v>#DIV/0!</v>
      </c>
      <c r="T393" s="206" t="s">
        <v>89</v>
      </c>
      <c r="U393" s="111" t="e">
        <f>ROUND(S393*$C393/100,0)</f>
        <v>#DIV/0!</v>
      </c>
      <c r="V393" s="44"/>
      <c r="W393" s="91"/>
      <c r="X393" s="91"/>
      <c r="Y393" s="91"/>
      <c r="Z393" s="44"/>
      <c r="AA393" s="44"/>
      <c r="AB393" s="44"/>
      <c r="AC393" s="44"/>
      <c r="AD393" s="44"/>
      <c r="AE393" s="44"/>
      <c r="AF393" s="44"/>
      <c r="AG393" s="44"/>
      <c r="AH393" s="44"/>
      <c r="AI393" s="44"/>
      <c r="AJ393" s="44"/>
      <c r="AK393" s="44"/>
      <c r="AL393" s="44"/>
      <c r="AM393" s="44"/>
      <c r="AN393" s="44"/>
      <c r="AO393" s="44"/>
      <c r="AP393" s="44"/>
      <c r="AR393" s="115"/>
    </row>
    <row r="394" spans="1:44" hidden="1" x14ac:dyDescent="0.25">
      <c r="A394" s="149" t="s">
        <v>132</v>
      </c>
      <c r="B394" s="149"/>
      <c r="C394" s="204">
        <v>0</v>
      </c>
      <c r="D394" s="175">
        <v>6.3240000000000007</v>
      </c>
      <c r="E394" s="206" t="s">
        <v>89</v>
      </c>
      <c r="F394" s="111">
        <f>ROUND(D394*C394/100,0)</f>
        <v>0</v>
      </c>
      <c r="G394" s="175">
        <f>$G$181</f>
        <v>6.4720000000000004</v>
      </c>
      <c r="H394" s="206" t="s">
        <v>89</v>
      </c>
      <c r="I394" s="111">
        <f>ROUND(G394*$C394/100,0)</f>
        <v>0</v>
      </c>
      <c r="J394" s="111"/>
      <c r="K394" s="175" t="e">
        <f>$K$181</f>
        <v>#REF!</v>
      </c>
      <c r="L394" s="206" t="s">
        <v>89</v>
      </c>
      <c r="M394" s="111" t="e">
        <f>ROUND(K394*$C394/100,0)</f>
        <v>#REF!</v>
      </c>
      <c r="N394" s="111"/>
      <c r="O394" s="175" t="e">
        <f>$O$181</f>
        <v>#DIV/0!</v>
      </c>
      <c r="P394" s="206" t="s">
        <v>89</v>
      </c>
      <c r="Q394" s="111" t="e">
        <f>ROUND(O394*$C394/100,0)</f>
        <v>#DIV/0!</v>
      </c>
      <c r="R394" s="111"/>
      <c r="S394" s="175" t="e">
        <f>$S$181</f>
        <v>#DIV/0!</v>
      </c>
      <c r="T394" s="206" t="s">
        <v>89</v>
      </c>
      <c r="U394" s="111" t="e">
        <f>ROUND(S394*$C394/100,0)</f>
        <v>#DIV/0!</v>
      </c>
      <c r="V394" s="44"/>
      <c r="W394" s="91"/>
      <c r="X394" s="91"/>
      <c r="Y394" s="91"/>
      <c r="Z394" s="44"/>
      <c r="AA394" s="44"/>
      <c r="AB394" s="44"/>
      <c r="AC394" s="44"/>
      <c r="AD394" s="44"/>
      <c r="AE394" s="44"/>
      <c r="AF394" s="44"/>
      <c r="AG394" s="44"/>
      <c r="AH394" s="44"/>
      <c r="AI394" s="44"/>
      <c r="AJ394" s="44"/>
      <c r="AK394" s="44"/>
      <c r="AL394" s="44"/>
      <c r="AM394" s="44"/>
      <c r="AN394" s="44"/>
      <c r="AO394" s="44"/>
      <c r="AP394" s="44"/>
      <c r="AR394" s="115"/>
    </row>
    <row r="395" spans="1:44" hidden="1" x14ac:dyDescent="0.25">
      <c r="A395" s="149" t="s">
        <v>133</v>
      </c>
      <c r="B395" s="149"/>
      <c r="C395" s="204">
        <v>0</v>
      </c>
      <c r="D395" s="212">
        <v>57</v>
      </c>
      <c r="E395" s="206" t="s">
        <v>89</v>
      </c>
      <c r="F395" s="111">
        <f>ROUND(D395*C395/100,0)</f>
        <v>0</v>
      </c>
      <c r="G395" s="212">
        <f>$G$182</f>
        <v>58</v>
      </c>
      <c r="H395" s="206" t="s">
        <v>89</v>
      </c>
      <c r="I395" s="111">
        <f>ROUND(G395*$C395/100,0)</f>
        <v>0</v>
      </c>
      <c r="J395" s="111"/>
      <c r="K395" s="212" t="str">
        <f>$K$182</f>
        <v xml:space="preserve"> </v>
      </c>
      <c r="L395" s="206" t="s">
        <v>89</v>
      </c>
      <c r="M395" s="111">
        <f>ROUND(K395*$C395/100,0)</f>
        <v>0</v>
      </c>
      <c r="N395" s="111"/>
      <c r="O395" s="212" t="e">
        <f>$O$182</f>
        <v>#DIV/0!</v>
      </c>
      <c r="P395" s="206" t="s">
        <v>89</v>
      </c>
      <c r="Q395" s="111" t="e">
        <f>ROUND(O395*$C395/100,0)</f>
        <v>#DIV/0!</v>
      </c>
      <c r="R395" s="111"/>
      <c r="S395" s="212" t="e">
        <f>$S$182</f>
        <v>#DIV/0!</v>
      </c>
      <c r="T395" s="206" t="s">
        <v>89</v>
      </c>
      <c r="U395" s="111" t="e">
        <f>ROUND(S395*$C395/100,0)</f>
        <v>#DIV/0!</v>
      </c>
      <c r="V395" s="44"/>
      <c r="W395" s="91"/>
      <c r="X395" s="91"/>
      <c r="Y395" s="91"/>
      <c r="Z395" s="44"/>
      <c r="AA395" s="44"/>
      <c r="AB395" s="44"/>
      <c r="AC395" s="44"/>
      <c r="AD395" s="44"/>
      <c r="AE395" s="44"/>
      <c r="AF395" s="44"/>
      <c r="AG395" s="44"/>
      <c r="AH395" s="44"/>
      <c r="AI395" s="44"/>
      <c r="AJ395" s="44"/>
      <c r="AK395" s="44"/>
      <c r="AL395" s="44"/>
      <c r="AM395" s="44"/>
      <c r="AN395" s="44"/>
      <c r="AO395" s="44"/>
      <c r="AP395" s="44"/>
      <c r="AR395" s="115"/>
    </row>
    <row r="396" spans="1:44" s="120" customFormat="1" hidden="1" x14ac:dyDescent="0.25">
      <c r="A396" s="119" t="s">
        <v>134</v>
      </c>
      <c r="C396" s="121">
        <f>C392</f>
        <v>1205594.7942953119</v>
      </c>
      <c r="D396" s="128">
        <v>0</v>
      </c>
      <c r="E396" s="122"/>
      <c r="F396" s="123"/>
      <c r="G396" s="124">
        <f>G183</f>
        <v>0</v>
      </c>
      <c r="H396" s="215" t="s">
        <v>89</v>
      </c>
      <c r="I396" s="123">
        <f t="shared" ref="I396:I398" si="83">ROUND(G396*$C396/100,0)</f>
        <v>0</v>
      </c>
      <c r="J396" s="123"/>
      <c r="K396" s="124" t="str">
        <f>K183</f>
        <v xml:space="preserve"> </v>
      </c>
      <c r="L396" s="215" t="s">
        <v>89</v>
      </c>
      <c r="M396" s="123">
        <f t="shared" ref="M396:M398" si="84">ROUND(K396*$C396/100,0)</f>
        <v>0</v>
      </c>
      <c r="N396" s="123"/>
      <c r="O396" s="124" t="str">
        <f>O183</f>
        <v xml:space="preserve"> </v>
      </c>
      <c r="P396" s="215" t="s">
        <v>89</v>
      </c>
      <c r="Q396" s="123">
        <f t="shared" ref="Q396:Q398" si="85">ROUND(O396*$C396/100,0)</f>
        <v>0</v>
      </c>
      <c r="R396" s="123"/>
      <c r="S396" s="124">
        <f>S183</f>
        <v>0</v>
      </c>
      <c r="T396" s="215" t="s">
        <v>89</v>
      </c>
      <c r="U396" s="123">
        <f t="shared" ref="U396:U398" si="86">ROUND(S396*$C396/100,0)</f>
        <v>0</v>
      </c>
      <c r="W396" s="112"/>
      <c r="Z396" s="127"/>
      <c r="AA396" s="127"/>
      <c r="AF396" s="122"/>
      <c r="AG396" s="122"/>
      <c r="AH396" s="122"/>
      <c r="AI396" s="122"/>
      <c r="AJ396" s="122"/>
      <c r="AK396" s="122"/>
      <c r="AL396" s="122"/>
      <c r="AM396" s="122"/>
      <c r="AN396" s="122"/>
      <c r="AO396" s="122"/>
      <c r="AP396" s="122"/>
      <c r="AR396" s="126"/>
    </row>
    <row r="397" spans="1:44" s="120" customFormat="1" hidden="1" x14ac:dyDescent="0.25">
      <c r="A397" s="119" t="s">
        <v>135</v>
      </c>
      <c r="C397" s="121">
        <f>C393</f>
        <v>64875</v>
      </c>
      <c r="D397" s="128">
        <v>0</v>
      </c>
      <c r="E397" s="122"/>
      <c r="F397" s="123"/>
      <c r="G397" s="124">
        <f>G184</f>
        <v>0</v>
      </c>
      <c r="H397" s="215" t="s">
        <v>89</v>
      </c>
      <c r="I397" s="123">
        <f t="shared" si="83"/>
        <v>0</v>
      </c>
      <c r="J397" s="123"/>
      <c r="K397" s="124" t="str">
        <f>K184</f>
        <v xml:space="preserve"> </v>
      </c>
      <c r="L397" s="215" t="s">
        <v>89</v>
      </c>
      <c r="M397" s="123">
        <f t="shared" si="84"/>
        <v>0</v>
      </c>
      <c r="N397" s="123"/>
      <c r="O397" s="124" t="str">
        <f>O184</f>
        <v xml:space="preserve"> </v>
      </c>
      <c r="P397" s="215" t="s">
        <v>89</v>
      </c>
      <c r="Q397" s="123">
        <f t="shared" si="85"/>
        <v>0</v>
      </c>
      <c r="R397" s="123"/>
      <c r="S397" s="124">
        <f>S184</f>
        <v>0</v>
      </c>
      <c r="T397" s="215" t="s">
        <v>89</v>
      </c>
      <c r="U397" s="123">
        <f t="shared" si="86"/>
        <v>0</v>
      </c>
      <c r="W397" s="112"/>
      <c r="Z397" s="127"/>
      <c r="AA397" s="127"/>
      <c r="AF397" s="122"/>
      <c r="AG397" s="122"/>
      <c r="AH397" s="122"/>
      <c r="AI397" s="122"/>
      <c r="AJ397" s="122"/>
      <c r="AK397" s="122"/>
      <c r="AL397" s="122"/>
      <c r="AM397" s="122"/>
      <c r="AN397" s="122"/>
      <c r="AO397" s="122"/>
      <c r="AP397" s="122"/>
      <c r="AR397" s="126"/>
    </row>
    <row r="398" spans="1:44" s="120" customFormat="1" hidden="1" x14ac:dyDescent="0.25">
      <c r="A398" s="119" t="s">
        <v>136</v>
      </c>
      <c r="C398" s="121">
        <f>C394</f>
        <v>0</v>
      </c>
      <c r="D398" s="128">
        <v>0</v>
      </c>
      <c r="E398" s="122"/>
      <c r="F398" s="123"/>
      <c r="G398" s="124">
        <f>G185</f>
        <v>0</v>
      </c>
      <c r="H398" s="215" t="s">
        <v>89</v>
      </c>
      <c r="I398" s="123">
        <f t="shared" si="83"/>
        <v>0</v>
      </c>
      <c r="J398" s="123"/>
      <c r="K398" s="124" t="str">
        <f>K185</f>
        <v xml:space="preserve"> </v>
      </c>
      <c r="L398" s="215" t="s">
        <v>89</v>
      </c>
      <c r="M398" s="123">
        <f t="shared" si="84"/>
        <v>0</v>
      </c>
      <c r="N398" s="123"/>
      <c r="O398" s="124" t="str">
        <f>O185</f>
        <v xml:space="preserve"> </v>
      </c>
      <c r="P398" s="215" t="s">
        <v>89</v>
      </c>
      <c r="Q398" s="123">
        <f t="shared" si="85"/>
        <v>0</v>
      </c>
      <c r="R398" s="123"/>
      <c r="S398" s="124">
        <f>S185</f>
        <v>0</v>
      </c>
      <c r="T398" s="215" t="s">
        <v>89</v>
      </c>
      <c r="U398" s="123">
        <f t="shared" si="86"/>
        <v>0</v>
      </c>
      <c r="W398" s="112"/>
      <c r="Z398" s="127"/>
      <c r="AA398" s="127"/>
      <c r="AF398" s="122"/>
      <c r="AG398" s="122"/>
      <c r="AH398" s="122"/>
      <c r="AI398" s="122"/>
      <c r="AJ398" s="122"/>
      <c r="AK398" s="122"/>
      <c r="AL398" s="122"/>
      <c r="AM398" s="122"/>
      <c r="AN398" s="122"/>
      <c r="AO398" s="122"/>
      <c r="AP398" s="122"/>
      <c r="AR398" s="126"/>
    </row>
    <row r="399" spans="1:44" hidden="1" x14ac:dyDescent="0.25">
      <c r="A399" s="219" t="s">
        <v>140</v>
      </c>
      <c r="B399" s="149"/>
      <c r="C399" s="204"/>
      <c r="D399" s="220">
        <v>-0.01</v>
      </c>
      <c r="E399" s="206"/>
      <c r="F399" s="111"/>
      <c r="G399" s="220">
        <v>-0.01</v>
      </c>
      <c r="H399" s="206"/>
      <c r="I399" s="111"/>
      <c r="J399" s="111"/>
      <c r="K399" s="220">
        <v>-0.01</v>
      </c>
      <c r="L399" s="206"/>
      <c r="M399" s="111"/>
      <c r="N399" s="111"/>
      <c r="O399" s="220">
        <v>-0.01</v>
      </c>
      <c r="P399" s="206"/>
      <c r="Q399" s="111"/>
      <c r="R399" s="111"/>
      <c r="S399" s="220">
        <v>-0.01</v>
      </c>
      <c r="T399" s="206"/>
      <c r="U399" s="111"/>
      <c r="V399" s="44"/>
      <c r="W399" s="91"/>
      <c r="X399" s="91"/>
      <c r="Y399" s="91"/>
      <c r="Z399" s="44"/>
      <c r="AA399" s="44"/>
      <c r="AB399" s="44"/>
      <c r="AC399" s="44"/>
      <c r="AD399" s="44"/>
      <c r="AE399" s="44"/>
      <c r="AF399" s="44"/>
      <c r="AG399" s="44"/>
      <c r="AH399" s="44"/>
      <c r="AI399" s="44"/>
      <c r="AJ399" s="44"/>
      <c r="AK399" s="44"/>
      <c r="AL399" s="44"/>
      <c r="AM399" s="44"/>
      <c r="AN399" s="44"/>
      <c r="AO399" s="44"/>
      <c r="AP399" s="44"/>
      <c r="AR399" s="115"/>
    </row>
    <row r="400" spans="1:44" hidden="1" x14ac:dyDescent="0.25">
      <c r="A400" s="149" t="s">
        <v>124</v>
      </c>
      <c r="B400" s="149"/>
      <c r="C400" s="204">
        <v>0</v>
      </c>
      <c r="D400" s="222">
        <v>9.76</v>
      </c>
      <c r="E400" s="223"/>
      <c r="F400" s="111">
        <f>-ROUND(D400*$C400/100,0)</f>
        <v>0</v>
      </c>
      <c r="G400" s="222">
        <f>G386</f>
        <v>9.99</v>
      </c>
      <c r="H400" s="223"/>
      <c r="I400" s="111">
        <f>-ROUND(G400*$C400/100,0)</f>
        <v>0</v>
      </c>
      <c r="J400" s="111"/>
      <c r="K400" s="222">
        <f>K386</f>
        <v>9.76</v>
      </c>
      <c r="L400" s="223"/>
      <c r="M400" s="111">
        <f>-ROUND(K400*$C400/100,0)</f>
        <v>0</v>
      </c>
      <c r="N400" s="111"/>
      <c r="O400" s="222" t="str">
        <f>O386</f>
        <v xml:space="preserve"> </v>
      </c>
      <c r="P400" s="223"/>
      <c r="Q400" s="111">
        <f>-ROUND(O400*$C400/100,0)</f>
        <v>0</v>
      </c>
      <c r="R400" s="111"/>
      <c r="S400" s="222" t="str">
        <f>S386</f>
        <v xml:space="preserve"> </v>
      </c>
      <c r="T400" s="223"/>
      <c r="U400" s="111">
        <f>-ROUND(S400*$C400/100,0)</f>
        <v>0</v>
      </c>
      <c r="V400" s="44"/>
      <c r="W400" s="91"/>
      <c r="X400" s="91"/>
      <c r="Y400" s="91"/>
      <c r="Z400" s="44"/>
      <c r="AA400" s="44"/>
      <c r="AB400" s="44"/>
      <c r="AC400" s="44"/>
      <c r="AD400" s="44"/>
      <c r="AE400" s="44"/>
      <c r="AF400" s="44"/>
      <c r="AG400" s="44"/>
      <c r="AH400" s="44"/>
      <c r="AI400" s="44"/>
      <c r="AJ400" s="44"/>
      <c r="AK400" s="44"/>
      <c r="AL400" s="44"/>
      <c r="AM400" s="44"/>
      <c r="AN400" s="44"/>
      <c r="AO400" s="44"/>
      <c r="AP400" s="44"/>
      <c r="AR400" s="115"/>
    </row>
    <row r="401" spans="1:44" hidden="1" x14ac:dyDescent="0.25">
      <c r="A401" s="149" t="s">
        <v>125</v>
      </c>
      <c r="B401" s="149"/>
      <c r="C401" s="204">
        <v>0</v>
      </c>
      <c r="D401" s="222">
        <v>14.54</v>
      </c>
      <c r="E401" s="223"/>
      <c r="F401" s="111">
        <f t="shared" ref="F401:F403" si="87">-ROUND(D401*$C401/100,0)</f>
        <v>0</v>
      </c>
      <c r="G401" s="222">
        <f>G387</f>
        <v>14.89</v>
      </c>
      <c r="H401" s="223"/>
      <c r="I401" s="111">
        <f>-ROUND(G401*$C401/100,0)</f>
        <v>0</v>
      </c>
      <c r="J401" s="111"/>
      <c r="K401" s="222">
        <f>K387</f>
        <v>14.54</v>
      </c>
      <c r="L401" s="223"/>
      <c r="M401" s="111">
        <f>-ROUND(K401*$C401/100,0)</f>
        <v>0</v>
      </c>
      <c r="N401" s="111"/>
      <c r="O401" s="222" t="str">
        <f>O387</f>
        <v xml:space="preserve"> </v>
      </c>
      <c r="P401" s="223"/>
      <c r="Q401" s="111">
        <f>-ROUND(O401*$C401/100,0)</f>
        <v>0</v>
      </c>
      <c r="R401" s="111"/>
      <c r="S401" s="222" t="str">
        <f>S387</f>
        <v xml:space="preserve"> </v>
      </c>
      <c r="T401" s="223"/>
      <c r="U401" s="111">
        <f>-ROUND(S401*$C401/100,0)</f>
        <v>0</v>
      </c>
      <c r="V401" s="44"/>
      <c r="W401" s="91"/>
      <c r="X401" s="91"/>
      <c r="Y401" s="91"/>
      <c r="Z401" s="44"/>
      <c r="AA401" s="44"/>
      <c r="AB401" s="44"/>
      <c r="AC401" s="44"/>
      <c r="AD401" s="44"/>
      <c r="AE401" s="44"/>
      <c r="AF401" s="44"/>
      <c r="AG401" s="44"/>
      <c r="AH401" s="44"/>
      <c r="AI401" s="44"/>
      <c r="AJ401" s="44"/>
      <c r="AK401" s="44"/>
      <c r="AL401" s="44"/>
      <c r="AM401" s="44"/>
      <c r="AN401" s="44"/>
      <c r="AO401" s="44"/>
      <c r="AP401" s="44"/>
      <c r="AR401" s="115"/>
    </row>
    <row r="402" spans="1:44" hidden="1" x14ac:dyDescent="0.25">
      <c r="A402" s="149" t="s">
        <v>141</v>
      </c>
      <c r="B402" s="149"/>
      <c r="C402" s="204">
        <v>0</v>
      </c>
      <c r="D402" s="222">
        <v>1.02</v>
      </c>
      <c r="E402" s="223"/>
      <c r="F402" s="111">
        <f t="shared" si="87"/>
        <v>0</v>
      </c>
      <c r="G402" s="222">
        <f>G388</f>
        <v>1.04</v>
      </c>
      <c r="H402" s="223"/>
      <c r="I402" s="111">
        <f>-ROUND(G402*$C402/100,0)</f>
        <v>0</v>
      </c>
      <c r="J402" s="111"/>
      <c r="K402" s="222">
        <f>K388</f>
        <v>1.02</v>
      </c>
      <c r="L402" s="223"/>
      <c r="M402" s="111">
        <f>-ROUND(K402*$C402/100,0)</f>
        <v>0</v>
      </c>
      <c r="N402" s="111"/>
      <c r="O402" s="222" t="str">
        <f>O388</f>
        <v xml:space="preserve"> </v>
      </c>
      <c r="P402" s="223"/>
      <c r="Q402" s="111">
        <f>-ROUND(O402*$C402/100,0)</f>
        <v>0</v>
      </c>
      <c r="R402" s="111"/>
      <c r="S402" s="222" t="str">
        <f>S388</f>
        <v xml:space="preserve"> </v>
      </c>
      <c r="T402" s="223"/>
      <c r="U402" s="111">
        <f>-ROUND(S402*$C402/100,0)</f>
        <v>0</v>
      </c>
      <c r="V402" s="44"/>
      <c r="W402" s="91"/>
      <c r="X402" s="91"/>
      <c r="Y402" s="91"/>
      <c r="Z402" s="44"/>
      <c r="AA402" s="44"/>
      <c r="AB402" s="44"/>
      <c r="AC402" s="44"/>
      <c r="AD402" s="44"/>
      <c r="AE402" s="44"/>
      <c r="AF402" s="44"/>
      <c r="AG402" s="44"/>
      <c r="AH402" s="44"/>
      <c r="AI402" s="44"/>
      <c r="AJ402" s="44"/>
      <c r="AK402" s="44"/>
      <c r="AL402" s="44"/>
      <c r="AM402" s="44"/>
      <c r="AN402" s="44"/>
      <c r="AO402" s="44"/>
      <c r="AP402" s="44"/>
      <c r="AR402" s="115"/>
    </row>
    <row r="403" spans="1:44" hidden="1" x14ac:dyDescent="0.25">
      <c r="A403" s="149" t="s">
        <v>142</v>
      </c>
      <c r="B403" s="149"/>
      <c r="C403" s="204">
        <v>0</v>
      </c>
      <c r="D403" s="222">
        <v>3.7</v>
      </c>
      <c r="E403" s="206"/>
      <c r="F403" s="111">
        <f t="shared" si="87"/>
        <v>0</v>
      </c>
      <c r="G403" s="222">
        <f>G391</f>
        <v>3.8</v>
      </c>
      <c r="H403" s="206"/>
      <c r="I403" s="111">
        <f>-ROUND(G403*$C403/100,0)</f>
        <v>0</v>
      </c>
      <c r="J403" s="111"/>
      <c r="K403" s="222" t="e">
        <f>K391</f>
        <v>#REF!</v>
      </c>
      <c r="L403" s="206"/>
      <c r="M403" s="111" t="e">
        <f>-ROUND(K403*$C403/100,0)</f>
        <v>#REF!</v>
      </c>
      <c r="N403" s="111"/>
      <c r="O403" s="222" t="e">
        <f>O391</f>
        <v>#DIV/0!</v>
      </c>
      <c r="P403" s="206"/>
      <c r="Q403" s="111" t="e">
        <f>-ROUND(O403*$C403/100,0)</f>
        <v>#DIV/0!</v>
      </c>
      <c r="R403" s="111"/>
      <c r="S403" s="222" t="e">
        <f>S391</f>
        <v>#DIV/0!</v>
      </c>
      <c r="T403" s="206"/>
      <c r="U403" s="111" t="e">
        <f>-ROUND(S403*$C403/100,0)</f>
        <v>#DIV/0!</v>
      </c>
      <c r="V403" s="44"/>
      <c r="W403" s="91"/>
      <c r="X403" s="91"/>
      <c r="Y403" s="91"/>
      <c r="Z403" s="44"/>
      <c r="AA403" s="44"/>
      <c r="AB403" s="44"/>
      <c r="AC403" s="44"/>
      <c r="AD403" s="44"/>
      <c r="AE403" s="44"/>
      <c r="AF403" s="44"/>
      <c r="AG403" s="44"/>
      <c r="AH403" s="44"/>
      <c r="AI403" s="44"/>
      <c r="AJ403" s="44"/>
      <c r="AK403" s="44"/>
      <c r="AL403" s="44"/>
      <c r="AM403" s="44"/>
      <c r="AN403" s="44"/>
      <c r="AO403" s="44"/>
      <c r="AP403" s="44"/>
      <c r="AR403" s="115"/>
    </row>
    <row r="404" spans="1:44" hidden="1" x14ac:dyDescent="0.25">
      <c r="A404" s="149" t="s">
        <v>143</v>
      </c>
      <c r="B404" s="149"/>
      <c r="C404" s="204">
        <v>0</v>
      </c>
      <c r="D404" s="224">
        <v>10.628</v>
      </c>
      <c r="E404" s="206" t="s">
        <v>89</v>
      </c>
      <c r="F404" s="111">
        <f>ROUND(D404*$C404/100*D399,0)</f>
        <v>0</v>
      </c>
      <c r="G404" s="224">
        <f>G392</f>
        <v>10.878</v>
      </c>
      <c r="H404" s="206" t="s">
        <v>89</v>
      </c>
      <c r="I404" s="111">
        <f>ROUND(G404*$C404/100*G399,0)</f>
        <v>0</v>
      </c>
      <c r="J404" s="111"/>
      <c r="K404" s="224" t="e">
        <f>K392</f>
        <v>#REF!</v>
      </c>
      <c r="L404" s="206" t="s">
        <v>89</v>
      </c>
      <c r="M404" s="111" t="e">
        <f>ROUND(K404*$C404/100*K399,0)</f>
        <v>#REF!</v>
      </c>
      <c r="N404" s="111"/>
      <c r="O404" s="224" t="e">
        <f>O392</f>
        <v>#DIV/0!</v>
      </c>
      <c r="P404" s="206" t="s">
        <v>89</v>
      </c>
      <c r="Q404" s="111" t="e">
        <f>ROUND(O404*$C404/100*O399,0)</f>
        <v>#DIV/0!</v>
      </c>
      <c r="R404" s="111"/>
      <c r="S404" s="224" t="e">
        <f>S392</f>
        <v>#DIV/0!</v>
      </c>
      <c r="T404" s="206" t="s">
        <v>89</v>
      </c>
      <c r="U404" s="111" t="e">
        <f>ROUND(S404*$C404/100*S399,0)</f>
        <v>#DIV/0!</v>
      </c>
      <c r="V404" s="44"/>
      <c r="W404" s="91"/>
      <c r="X404" s="91"/>
      <c r="Y404" s="91"/>
      <c r="Z404" s="44"/>
      <c r="AA404" s="44"/>
      <c r="AB404" s="44"/>
      <c r="AC404" s="44"/>
      <c r="AD404" s="44"/>
      <c r="AE404" s="44"/>
      <c r="AF404" s="44"/>
      <c r="AG404" s="44"/>
      <c r="AH404" s="44"/>
      <c r="AI404" s="44"/>
      <c r="AJ404" s="44"/>
      <c r="AK404" s="44"/>
      <c r="AL404" s="44"/>
      <c r="AM404" s="44"/>
      <c r="AN404" s="44"/>
      <c r="AO404" s="44"/>
      <c r="AP404" s="44"/>
      <c r="AR404" s="115"/>
    </row>
    <row r="405" spans="1:44" hidden="1" x14ac:dyDescent="0.25">
      <c r="A405" s="149" t="s">
        <v>131</v>
      </c>
      <c r="B405" s="149"/>
      <c r="C405" s="204">
        <v>0</v>
      </c>
      <c r="D405" s="224">
        <v>7.3410000000000002</v>
      </c>
      <c r="E405" s="206" t="s">
        <v>89</v>
      </c>
      <c r="F405" s="111">
        <f>ROUND(D405*$C405/100*D399,0)</f>
        <v>0</v>
      </c>
      <c r="G405" s="224">
        <f>G393</f>
        <v>7.5140000000000002</v>
      </c>
      <c r="H405" s="206" t="s">
        <v>89</v>
      </c>
      <c r="I405" s="111">
        <f>ROUND(G405*$C405/100*G399,0)</f>
        <v>0</v>
      </c>
      <c r="J405" s="111"/>
      <c r="K405" s="224" t="e">
        <f>K393</f>
        <v>#REF!</v>
      </c>
      <c r="L405" s="206" t="s">
        <v>89</v>
      </c>
      <c r="M405" s="111" t="e">
        <f>ROUND(K405*$C405/100*K399,0)</f>
        <v>#REF!</v>
      </c>
      <c r="N405" s="111"/>
      <c r="O405" s="224" t="e">
        <f>O393</f>
        <v>#DIV/0!</v>
      </c>
      <c r="P405" s="206" t="s">
        <v>89</v>
      </c>
      <c r="Q405" s="111" t="e">
        <f>ROUND(O405*$C405/100*O399,0)</f>
        <v>#DIV/0!</v>
      </c>
      <c r="R405" s="111"/>
      <c r="S405" s="224" t="e">
        <f>S393</f>
        <v>#DIV/0!</v>
      </c>
      <c r="T405" s="206" t="s">
        <v>89</v>
      </c>
      <c r="U405" s="111" t="e">
        <f>ROUND(S405*$C405/100*S399,0)</f>
        <v>#DIV/0!</v>
      </c>
      <c r="V405" s="44"/>
      <c r="W405" s="91"/>
      <c r="X405" s="91"/>
      <c r="Y405" s="91"/>
      <c r="Z405" s="44"/>
      <c r="AA405" s="44"/>
      <c r="AB405" s="44"/>
      <c r="AC405" s="44"/>
      <c r="AD405" s="44"/>
      <c r="AE405" s="44"/>
      <c r="AF405" s="44"/>
      <c r="AG405" s="44"/>
      <c r="AH405" s="44"/>
      <c r="AI405" s="44"/>
      <c r="AJ405" s="44"/>
      <c r="AK405" s="44"/>
      <c r="AL405" s="44"/>
      <c r="AM405" s="44"/>
      <c r="AN405" s="44"/>
      <c r="AO405" s="44"/>
      <c r="AP405" s="44"/>
      <c r="AR405" s="115"/>
    </row>
    <row r="406" spans="1:44" hidden="1" x14ac:dyDescent="0.25">
      <c r="A406" s="149" t="s">
        <v>132</v>
      </c>
      <c r="B406" s="149"/>
      <c r="C406" s="204">
        <v>0</v>
      </c>
      <c r="D406" s="224">
        <v>6.3240000000000007</v>
      </c>
      <c r="E406" s="206" t="s">
        <v>89</v>
      </c>
      <c r="F406" s="111">
        <f>ROUND(D406*$C406/100*D399,0)</f>
        <v>0</v>
      </c>
      <c r="G406" s="224">
        <f>G394</f>
        <v>6.4720000000000004</v>
      </c>
      <c r="H406" s="206" t="s">
        <v>89</v>
      </c>
      <c r="I406" s="111">
        <f>ROUND(G406*$C406/100*G399,0)</f>
        <v>0</v>
      </c>
      <c r="J406" s="111"/>
      <c r="K406" s="224" t="e">
        <f>K394</f>
        <v>#REF!</v>
      </c>
      <c r="L406" s="206" t="s">
        <v>89</v>
      </c>
      <c r="M406" s="111" t="e">
        <f>ROUND(K406*$C406/100*K399,0)</f>
        <v>#REF!</v>
      </c>
      <c r="N406" s="111"/>
      <c r="O406" s="224" t="e">
        <f>O394</f>
        <v>#DIV/0!</v>
      </c>
      <c r="P406" s="206" t="s">
        <v>89</v>
      </c>
      <c r="Q406" s="111" t="e">
        <f>ROUND(O406*$C406/100*O399,0)</f>
        <v>#DIV/0!</v>
      </c>
      <c r="R406" s="111"/>
      <c r="S406" s="224" t="e">
        <f>S394</f>
        <v>#DIV/0!</v>
      </c>
      <c r="T406" s="206" t="s">
        <v>89</v>
      </c>
      <c r="U406" s="111" t="e">
        <f>ROUND(S406*$C406/100*S399,0)</f>
        <v>#DIV/0!</v>
      </c>
      <c r="V406" s="44"/>
      <c r="W406" s="91"/>
      <c r="X406" s="91"/>
      <c r="Y406" s="91"/>
      <c r="Z406" s="44"/>
      <c r="AA406" s="44"/>
      <c r="AB406" s="44"/>
      <c r="AC406" s="44"/>
      <c r="AD406" s="44"/>
      <c r="AE406" s="44"/>
      <c r="AF406" s="44"/>
      <c r="AG406" s="44"/>
      <c r="AH406" s="44"/>
      <c r="AI406" s="44"/>
      <c r="AJ406" s="44"/>
      <c r="AK406" s="44"/>
      <c r="AL406" s="44"/>
      <c r="AM406" s="44"/>
      <c r="AN406" s="44"/>
      <c r="AO406" s="44"/>
      <c r="AP406" s="44"/>
      <c r="AR406" s="115"/>
    </row>
    <row r="407" spans="1:44" hidden="1" x14ac:dyDescent="0.25">
      <c r="A407" s="149" t="s">
        <v>133</v>
      </c>
      <c r="B407" s="149"/>
      <c r="C407" s="204">
        <v>0</v>
      </c>
      <c r="D407" s="225">
        <v>57</v>
      </c>
      <c r="E407" s="206" t="s">
        <v>89</v>
      </c>
      <c r="F407" s="111">
        <f>ROUND(D407*$C407/100*D399,0)</f>
        <v>0</v>
      </c>
      <c r="G407" s="225">
        <f>G395</f>
        <v>58</v>
      </c>
      <c r="H407" s="206" t="s">
        <v>89</v>
      </c>
      <c r="I407" s="111">
        <f>ROUND(G407*$C407/100*G399,0)</f>
        <v>0</v>
      </c>
      <c r="J407" s="111"/>
      <c r="K407" s="225" t="str">
        <f>K395</f>
        <v xml:space="preserve"> </v>
      </c>
      <c r="L407" s="206" t="s">
        <v>89</v>
      </c>
      <c r="M407" s="111">
        <f>ROUND(K407*$C407/100*K399,0)</f>
        <v>0</v>
      </c>
      <c r="N407" s="111"/>
      <c r="O407" s="225" t="e">
        <f>O395</f>
        <v>#DIV/0!</v>
      </c>
      <c r="P407" s="206" t="s">
        <v>89</v>
      </c>
      <c r="Q407" s="111" t="e">
        <f>ROUND(O407*$C407/100*O399,0)</f>
        <v>#DIV/0!</v>
      </c>
      <c r="R407" s="111"/>
      <c r="S407" s="225" t="e">
        <f>S395</f>
        <v>#DIV/0!</v>
      </c>
      <c r="T407" s="206" t="s">
        <v>89</v>
      </c>
      <c r="U407" s="111" t="e">
        <f>ROUND(S407*$C407/100*S399,0)</f>
        <v>#DIV/0!</v>
      </c>
      <c r="V407" s="44"/>
      <c r="W407" s="91"/>
      <c r="X407" s="91"/>
      <c r="Y407" s="91"/>
      <c r="Z407" s="44"/>
      <c r="AA407" s="44"/>
      <c r="AB407" s="44"/>
      <c r="AC407" s="44"/>
      <c r="AD407" s="44"/>
      <c r="AE407" s="44"/>
      <c r="AF407" s="44"/>
      <c r="AG407" s="44"/>
      <c r="AH407" s="44"/>
      <c r="AI407" s="44"/>
      <c r="AJ407" s="44"/>
      <c r="AK407" s="44"/>
      <c r="AL407" s="44"/>
      <c r="AM407" s="44"/>
      <c r="AN407" s="44"/>
      <c r="AO407" s="44"/>
      <c r="AP407" s="44"/>
      <c r="AR407" s="115"/>
    </row>
    <row r="408" spans="1:44" hidden="1" x14ac:dyDescent="0.25">
      <c r="A408" s="149" t="s">
        <v>144</v>
      </c>
      <c r="B408" s="149"/>
      <c r="C408" s="204">
        <v>0</v>
      </c>
      <c r="D408" s="226">
        <v>60</v>
      </c>
      <c r="E408" s="206"/>
      <c r="F408" s="111">
        <f>ROUND(D408*C408,0)</f>
        <v>0</v>
      </c>
      <c r="G408" s="226">
        <f>$G$198</f>
        <v>60</v>
      </c>
      <c r="H408" s="206"/>
      <c r="I408" s="111">
        <f>ROUND(G408*$C408,0)</f>
        <v>0</v>
      </c>
      <c r="J408" s="111"/>
      <c r="K408" s="226" t="str">
        <f>$K$198</f>
        <v xml:space="preserve"> </v>
      </c>
      <c r="L408" s="206"/>
      <c r="M408" s="111">
        <f>ROUND(K408*$C408,0)</f>
        <v>0</v>
      </c>
      <c r="N408" s="111"/>
      <c r="O408" s="226" t="e">
        <f>$O$198</f>
        <v>#DIV/0!</v>
      </c>
      <c r="P408" s="206"/>
      <c r="Q408" s="111" t="e">
        <f>ROUND(O408*$C408,0)</f>
        <v>#DIV/0!</v>
      </c>
      <c r="R408" s="111"/>
      <c r="S408" s="226" t="e">
        <f>$S$198</f>
        <v>#DIV/0!</v>
      </c>
      <c r="T408" s="206"/>
      <c r="U408" s="111" t="e">
        <f>ROUND(S408*$C408,0)</f>
        <v>#DIV/0!</v>
      </c>
      <c r="V408" s="44"/>
      <c r="W408" s="91"/>
      <c r="X408" s="91"/>
      <c r="Y408" s="91"/>
      <c r="Z408" s="44"/>
      <c r="AA408" s="44"/>
      <c r="AB408" s="44"/>
      <c r="AC408" s="44"/>
      <c r="AD408" s="44"/>
      <c r="AE408" s="44"/>
      <c r="AF408" s="44"/>
      <c r="AG408" s="44"/>
      <c r="AH408" s="44"/>
      <c r="AI408" s="44"/>
      <c r="AJ408" s="44"/>
      <c r="AK408" s="44"/>
      <c r="AL408" s="44"/>
      <c r="AM408" s="44"/>
      <c r="AN408" s="44"/>
      <c r="AO408" s="44"/>
      <c r="AP408" s="44"/>
      <c r="AR408" s="115"/>
    </row>
    <row r="409" spans="1:44" hidden="1" x14ac:dyDescent="0.25">
      <c r="A409" s="149" t="s">
        <v>145</v>
      </c>
      <c r="B409" s="149"/>
      <c r="C409" s="204">
        <v>0</v>
      </c>
      <c r="D409" s="227">
        <v>-30</v>
      </c>
      <c r="E409" s="206" t="s">
        <v>89</v>
      </c>
      <c r="F409" s="111">
        <f>ROUND(D409*C409/100,0)</f>
        <v>0</v>
      </c>
      <c r="G409" s="227">
        <f>$G$199</f>
        <v>-30</v>
      </c>
      <c r="H409" s="206" t="s">
        <v>89</v>
      </c>
      <c r="I409" s="111">
        <f>ROUND(G409*$C409/100,0)</f>
        <v>0</v>
      </c>
      <c r="J409" s="111"/>
      <c r="K409" s="227">
        <f>$K$199</f>
        <v>-30</v>
      </c>
      <c r="L409" s="206" t="s">
        <v>89</v>
      </c>
      <c r="M409" s="111">
        <f>ROUND(K409*$C409/100,0)</f>
        <v>0</v>
      </c>
      <c r="N409" s="111"/>
      <c r="O409" s="227" t="str">
        <f>$O$199</f>
        <v xml:space="preserve"> </v>
      </c>
      <c r="P409" s="206" t="s">
        <v>89</v>
      </c>
      <c r="Q409" s="111">
        <f>ROUND(O409*$C409/100,0)</f>
        <v>0</v>
      </c>
      <c r="R409" s="111"/>
      <c r="S409" s="227" t="str">
        <f>$S$199</f>
        <v xml:space="preserve"> </v>
      </c>
      <c r="T409" s="206" t="s">
        <v>89</v>
      </c>
      <c r="U409" s="111">
        <f>ROUND(S409*$C409/100,0)</f>
        <v>0</v>
      </c>
      <c r="V409" s="44"/>
      <c r="W409" s="91"/>
      <c r="X409" s="91"/>
      <c r="Y409" s="91"/>
      <c r="Z409" s="44"/>
      <c r="AA409" s="44"/>
      <c r="AB409" s="44"/>
      <c r="AC409" s="44"/>
      <c r="AD409" s="44"/>
      <c r="AE409" s="44"/>
      <c r="AF409" s="44"/>
      <c r="AG409" s="44"/>
      <c r="AH409" s="44"/>
      <c r="AI409" s="44"/>
      <c r="AJ409" s="44"/>
      <c r="AK409" s="44"/>
      <c r="AL409" s="44"/>
      <c r="AM409" s="44"/>
      <c r="AN409" s="44"/>
      <c r="AO409" s="44"/>
      <c r="AP409" s="44"/>
      <c r="AR409" s="115"/>
    </row>
    <row r="410" spans="1:44" s="120" customFormat="1" hidden="1" x14ac:dyDescent="0.25">
      <c r="A410" s="119" t="s">
        <v>134</v>
      </c>
      <c r="C410" s="121">
        <f>C404</f>
        <v>0</v>
      </c>
      <c r="D410" s="128">
        <v>0</v>
      </c>
      <c r="E410" s="122"/>
      <c r="F410" s="123"/>
      <c r="G410" s="124">
        <f>G183</f>
        <v>0</v>
      </c>
      <c r="H410" s="215" t="s">
        <v>89</v>
      </c>
      <c r="I410" s="111">
        <f>ROUND(G410*$C410/100*G399,0)</f>
        <v>0</v>
      </c>
      <c r="J410" s="111"/>
      <c r="K410" s="124" t="str">
        <f>K183</f>
        <v xml:space="preserve"> </v>
      </c>
      <c r="L410" s="215" t="s">
        <v>89</v>
      </c>
      <c r="M410" s="111">
        <f>ROUND(K410*$C410/100*K399,0)</f>
        <v>0</v>
      </c>
      <c r="N410" s="111"/>
      <c r="O410" s="124" t="str">
        <f>O183</f>
        <v xml:space="preserve"> </v>
      </c>
      <c r="P410" s="215" t="s">
        <v>89</v>
      </c>
      <c r="Q410" s="111">
        <f>ROUND(O410*$C410/100*O399,0)</f>
        <v>0</v>
      </c>
      <c r="R410" s="111"/>
      <c r="S410" s="124">
        <f>S183</f>
        <v>0</v>
      </c>
      <c r="T410" s="215" t="s">
        <v>89</v>
      </c>
      <c r="U410" s="111">
        <f>ROUND(S410*$C410/100*S399,0)</f>
        <v>0</v>
      </c>
      <c r="W410" s="112"/>
      <c r="Z410" s="127"/>
      <c r="AA410" s="127"/>
      <c r="AF410" s="122"/>
      <c r="AG410" s="122"/>
      <c r="AH410" s="122"/>
      <c r="AI410" s="122"/>
      <c r="AJ410" s="122"/>
      <c r="AK410" s="122"/>
      <c r="AL410" s="122"/>
      <c r="AM410" s="122"/>
      <c r="AN410" s="122"/>
      <c r="AO410" s="122"/>
      <c r="AP410" s="122"/>
      <c r="AR410" s="126"/>
    </row>
    <row r="411" spans="1:44" s="120" customFormat="1" hidden="1" x14ac:dyDescent="0.25">
      <c r="A411" s="119" t="s">
        <v>135</v>
      </c>
      <c r="C411" s="121">
        <f>C405</f>
        <v>0</v>
      </c>
      <c r="D411" s="128">
        <v>0</v>
      </c>
      <c r="E411" s="122"/>
      <c r="F411" s="123"/>
      <c r="G411" s="124">
        <f>G184</f>
        <v>0</v>
      </c>
      <c r="H411" s="215" t="s">
        <v>89</v>
      </c>
      <c r="I411" s="111">
        <f>ROUND(G411*$C411/100*G399,0)</f>
        <v>0</v>
      </c>
      <c r="J411" s="111"/>
      <c r="K411" s="124" t="str">
        <f>K184</f>
        <v xml:space="preserve"> </v>
      </c>
      <c r="L411" s="215" t="s">
        <v>89</v>
      </c>
      <c r="M411" s="111">
        <f>ROUND(K411*$C411/100*K399,0)</f>
        <v>0</v>
      </c>
      <c r="N411" s="111"/>
      <c r="O411" s="124" t="str">
        <f>O184</f>
        <v xml:space="preserve"> </v>
      </c>
      <c r="P411" s="215" t="s">
        <v>89</v>
      </c>
      <c r="Q411" s="111">
        <f>ROUND(O411*$C411/100*O399,0)</f>
        <v>0</v>
      </c>
      <c r="R411" s="111"/>
      <c r="S411" s="124">
        <f>S184</f>
        <v>0</v>
      </c>
      <c r="T411" s="215" t="s">
        <v>89</v>
      </c>
      <c r="U411" s="111">
        <f>ROUND(S411*$C411/100*S399,0)</f>
        <v>0</v>
      </c>
      <c r="W411" s="112"/>
      <c r="Z411" s="127"/>
      <c r="AA411" s="127"/>
      <c r="AF411" s="122"/>
      <c r="AG411" s="122"/>
      <c r="AH411" s="122"/>
      <c r="AI411" s="122"/>
      <c r="AJ411" s="122"/>
      <c r="AK411" s="122"/>
      <c r="AL411" s="122"/>
      <c r="AM411" s="122"/>
      <c r="AN411" s="122"/>
      <c r="AO411" s="122"/>
      <c r="AP411" s="122"/>
      <c r="AR411" s="126"/>
    </row>
    <row r="412" spans="1:44" s="120" customFormat="1" hidden="1" x14ac:dyDescent="0.25">
      <c r="A412" s="119" t="s">
        <v>136</v>
      </c>
      <c r="C412" s="121">
        <f>C406</f>
        <v>0</v>
      </c>
      <c r="D412" s="128">
        <v>0</v>
      </c>
      <c r="E412" s="122"/>
      <c r="F412" s="123"/>
      <c r="G412" s="124">
        <f>G185</f>
        <v>0</v>
      </c>
      <c r="H412" s="215" t="s">
        <v>89</v>
      </c>
      <c r="I412" s="111">
        <f>ROUND(G412*$C412/100*G399,0)</f>
        <v>0</v>
      </c>
      <c r="J412" s="111"/>
      <c r="K412" s="124" t="str">
        <f>K185</f>
        <v xml:space="preserve"> </v>
      </c>
      <c r="L412" s="215" t="s">
        <v>89</v>
      </c>
      <c r="M412" s="111">
        <f>ROUND(K412*$C412/100*K399,0)</f>
        <v>0</v>
      </c>
      <c r="N412" s="111"/>
      <c r="O412" s="124" t="str">
        <f>O185</f>
        <v xml:space="preserve"> </v>
      </c>
      <c r="P412" s="215" t="s">
        <v>89</v>
      </c>
      <c r="Q412" s="111">
        <f>ROUND(O412*$C412/100*O399,0)</f>
        <v>0</v>
      </c>
      <c r="R412" s="111"/>
      <c r="S412" s="124">
        <f>S185</f>
        <v>0</v>
      </c>
      <c r="T412" s="215" t="s">
        <v>89</v>
      </c>
      <c r="U412" s="111">
        <f>ROUND(S412*$C412/100*S399,0)</f>
        <v>0</v>
      </c>
      <c r="W412" s="112"/>
      <c r="Z412" s="127"/>
      <c r="AA412" s="127"/>
      <c r="AF412" s="122"/>
      <c r="AG412" s="122"/>
      <c r="AH412" s="122"/>
      <c r="AI412" s="122"/>
      <c r="AJ412" s="122"/>
      <c r="AK412" s="122"/>
      <c r="AL412" s="122"/>
      <c r="AM412" s="122"/>
      <c r="AN412" s="122"/>
      <c r="AO412" s="122"/>
      <c r="AP412" s="122"/>
      <c r="AR412" s="126"/>
    </row>
    <row r="413" spans="1:44" hidden="1" x14ac:dyDescent="0.25">
      <c r="A413" s="149" t="s">
        <v>114</v>
      </c>
      <c r="B413" s="149"/>
      <c r="C413" s="204">
        <f>SUM(C392:C394)</f>
        <v>1270469.7942953119</v>
      </c>
      <c r="D413" s="212"/>
      <c r="E413" s="206"/>
      <c r="F413" s="111">
        <f>SUM(F386:F409)</f>
        <v>171773</v>
      </c>
      <c r="G413" s="212"/>
      <c r="H413" s="206"/>
      <c r="I413" s="111">
        <f>SUM(I386:I412)</f>
        <v>175816</v>
      </c>
      <c r="J413" s="111"/>
      <c r="K413" s="212"/>
      <c r="L413" s="206"/>
      <c r="M413" s="111" t="e">
        <f>SUM(M386:M412)</f>
        <v>#REF!</v>
      </c>
      <c r="N413" s="111"/>
      <c r="O413" s="212"/>
      <c r="P413" s="206"/>
      <c r="Q413" s="111" t="e">
        <f>SUM(Q386:Q412)</f>
        <v>#DIV/0!</v>
      </c>
      <c r="R413" s="111"/>
      <c r="S413" s="212"/>
      <c r="T413" s="206"/>
      <c r="U413" s="111" t="e">
        <f>SUM(U386:U412)</f>
        <v>#DIV/0!</v>
      </c>
      <c r="V413" s="44"/>
      <c r="W413" s="91"/>
      <c r="X413" s="91"/>
      <c r="Y413" s="91"/>
      <c r="Z413" s="44"/>
      <c r="AA413" s="44"/>
      <c r="AB413" s="44"/>
      <c r="AC413" s="44"/>
      <c r="AD413" s="44"/>
      <c r="AE413" s="44"/>
      <c r="AF413" s="44"/>
      <c r="AG413" s="44"/>
      <c r="AH413" s="44"/>
      <c r="AI413" s="44"/>
      <c r="AJ413" s="44"/>
      <c r="AK413" s="44"/>
      <c r="AL413" s="44"/>
      <c r="AM413" s="44"/>
      <c r="AN413" s="44"/>
      <c r="AO413" s="44"/>
      <c r="AP413" s="44"/>
      <c r="AR413" s="115"/>
    </row>
    <row r="414" spans="1:44" hidden="1" x14ac:dyDescent="0.25">
      <c r="A414" s="149" t="s">
        <v>92</v>
      </c>
      <c r="B414" s="149"/>
      <c r="C414" s="248">
        <v>8762.5736653830463</v>
      </c>
      <c r="D414" s="134"/>
      <c r="E414" s="134"/>
      <c r="F414" s="230">
        <v>1323.3384329358348</v>
      </c>
      <c r="G414" s="134"/>
      <c r="H414" s="134"/>
      <c r="I414" s="230">
        <f>F414</f>
        <v>1323.3384329358348</v>
      </c>
      <c r="J414" s="207"/>
      <c r="K414" s="134"/>
      <c r="L414" s="134"/>
      <c r="M414" s="230" t="e">
        <f>M204/I204*I414</f>
        <v>#DIV/0!</v>
      </c>
      <c r="N414" s="207"/>
      <c r="O414" s="134"/>
      <c r="P414" s="134"/>
      <c r="Q414" s="230" t="e">
        <f>Q204/I204*I414</f>
        <v>#DIV/0!</v>
      </c>
      <c r="R414" s="207"/>
      <c r="S414" s="134"/>
      <c r="T414" s="134"/>
      <c r="U414" s="230" t="e">
        <f>U204/I204*I414</f>
        <v>#DIV/0!</v>
      </c>
      <c r="V414" s="165"/>
      <c r="W414" s="163"/>
      <c r="X414" s="91"/>
      <c r="Y414" s="91"/>
      <c r="Z414" s="44"/>
      <c r="AA414" s="44"/>
      <c r="AB414" s="44"/>
      <c r="AC414" s="44"/>
      <c r="AD414" s="44"/>
      <c r="AE414" s="44"/>
      <c r="AF414" s="44"/>
      <c r="AG414" s="44"/>
      <c r="AH414" s="44"/>
      <c r="AI414" s="44"/>
      <c r="AJ414" s="44"/>
      <c r="AK414" s="44"/>
      <c r="AL414" s="44"/>
      <c r="AM414" s="44"/>
      <c r="AN414" s="44"/>
      <c r="AO414" s="44"/>
      <c r="AP414" s="44"/>
      <c r="AR414" s="115"/>
    </row>
    <row r="415" spans="1:44" ht="16.5" hidden="1" thickBot="1" x14ac:dyDescent="0.3">
      <c r="A415" s="149" t="s">
        <v>115</v>
      </c>
      <c r="B415" s="149"/>
      <c r="C415" s="192">
        <f>SUM(C413:C414)</f>
        <v>1279232.3679606949</v>
      </c>
      <c r="D415" s="245"/>
      <c r="E415" s="232"/>
      <c r="F415" s="233">
        <f>F413+F414</f>
        <v>173096.33843293582</v>
      </c>
      <c r="G415" s="245"/>
      <c r="H415" s="232"/>
      <c r="I415" s="233">
        <f>I413+I414</f>
        <v>177139.33843293582</v>
      </c>
      <c r="J415" s="207"/>
      <c r="K415" s="245"/>
      <c r="L415" s="232"/>
      <c r="M415" s="233" t="e">
        <f>M413+M414</f>
        <v>#REF!</v>
      </c>
      <c r="N415" s="233"/>
      <c r="O415" s="245"/>
      <c r="P415" s="232"/>
      <c r="Q415" s="233" t="e">
        <f>Q413+Q414</f>
        <v>#DIV/0!</v>
      </c>
      <c r="R415" s="233"/>
      <c r="S415" s="245"/>
      <c r="T415" s="232"/>
      <c r="U415" s="233" t="e">
        <f>U413+U414</f>
        <v>#DIV/0!</v>
      </c>
      <c r="V415" s="166"/>
      <c r="W415" s="167"/>
      <c r="X415" s="91"/>
      <c r="Y415" s="91"/>
      <c r="Z415" s="44"/>
      <c r="AA415" s="44"/>
      <c r="AB415" s="44"/>
      <c r="AC415" s="44"/>
      <c r="AD415" s="44"/>
      <c r="AE415" s="44"/>
      <c r="AF415" s="44"/>
      <c r="AG415" s="44"/>
      <c r="AH415" s="44"/>
      <c r="AI415" s="44"/>
      <c r="AJ415" s="44"/>
      <c r="AK415" s="44"/>
      <c r="AL415" s="44"/>
      <c r="AM415" s="44"/>
      <c r="AN415" s="44"/>
      <c r="AO415" s="44"/>
      <c r="AP415" s="44"/>
      <c r="AR415" s="115"/>
    </row>
    <row r="416" spans="1:44" hidden="1" x14ac:dyDescent="0.25">
      <c r="A416" s="149"/>
      <c r="B416" s="149"/>
      <c r="C416" s="169"/>
      <c r="D416" s="226"/>
      <c r="E416" s="149"/>
      <c r="F416" s="111"/>
      <c r="G416" s="226"/>
      <c r="H416" s="149"/>
      <c r="I416" s="111" t="s">
        <v>0</v>
      </c>
      <c r="J416" s="111"/>
      <c r="K416" s="226"/>
      <c r="L416" s="149"/>
      <c r="M416" s="111" t="s">
        <v>0</v>
      </c>
      <c r="N416" s="111"/>
      <c r="O416" s="226"/>
      <c r="P416" s="149"/>
      <c r="Q416" s="111" t="s">
        <v>0</v>
      </c>
      <c r="R416" s="111"/>
      <c r="S416" s="226"/>
      <c r="T416" s="149"/>
      <c r="U416" s="111" t="s">
        <v>0</v>
      </c>
      <c r="V416" s="44"/>
      <c r="W416" s="91"/>
      <c r="X416" s="91"/>
      <c r="Y416" s="91"/>
      <c r="Z416" s="44"/>
      <c r="AA416" s="44"/>
      <c r="AB416" s="44"/>
      <c r="AC416" s="44"/>
      <c r="AD416" s="44"/>
      <c r="AE416" s="44"/>
      <c r="AF416" s="44"/>
      <c r="AG416" s="44"/>
      <c r="AH416" s="44"/>
      <c r="AI416" s="44"/>
      <c r="AJ416" s="44"/>
      <c r="AK416" s="44"/>
      <c r="AL416" s="44"/>
      <c r="AM416" s="44"/>
      <c r="AN416" s="44"/>
      <c r="AO416" s="44"/>
      <c r="AP416" s="44"/>
      <c r="AR416" s="115"/>
    </row>
    <row r="417" spans="1:44" hidden="1" x14ac:dyDescent="0.25">
      <c r="A417" s="168" t="s">
        <v>153</v>
      </c>
      <c r="B417" s="149"/>
      <c r="C417" s="149"/>
      <c r="D417" s="111"/>
      <c r="E417" s="149"/>
      <c r="F417" s="149"/>
      <c r="G417" s="111"/>
      <c r="H417" s="149"/>
      <c r="I417" s="149"/>
      <c r="J417" s="149"/>
      <c r="K417" s="111"/>
      <c r="L417" s="149"/>
      <c r="M417" s="149"/>
      <c r="N417" s="149"/>
      <c r="O417" s="111"/>
      <c r="P417" s="149"/>
      <c r="Q417" s="149"/>
      <c r="R417" s="149"/>
      <c r="S417" s="111"/>
      <c r="T417" s="149"/>
      <c r="U417" s="149"/>
      <c r="V417" s="44"/>
      <c r="W417" s="91"/>
      <c r="X417" s="91"/>
      <c r="Y417" s="91"/>
      <c r="Z417" s="44"/>
      <c r="AA417" s="44"/>
      <c r="AB417" s="44"/>
      <c r="AC417" s="44"/>
      <c r="AD417" s="44"/>
      <c r="AE417" s="44"/>
      <c r="AF417" s="44"/>
      <c r="AG417" s="44"/>
      <c r="AH417" s="44"/>
      <c r="AI417" s="44"/>
      <c r="AJ417" s="44"/>
      <c r="AK417" s="44"/>
      <c r="AL417" s="44"/>
      <c r="AM417" s="44"/>
      <c r="AN417" s="44"/>
      <c r="AO417" s="44"/>
      <c r="AP417" s="44"/>
      <c r="AR417" s="115"/>
    </row>
    <row r="418" spans="1:44" hidden="1" x14ac:dyDescent="0.25">
      <c r="A418" s="149" t="s">
        <v>152</v>
      </c>
      <c r="B418" s="149"/>
      <c r="C418" s="149"/>
      <c r="D418" s="111"/>
      <c r="E418" s="149"/>
      <c r="F418" s="149"/>
      <c r="G418" s="111"/>
      <c r="H418" s="149"/>
      <c r="I418" s="149"/>
      <c r="J418" s="149"/>
      <c r="K418" s="111"/>
      <c r="L418" s="149"/>
      <c r="M418" s="149"/>
      <c r="N418" s="149"/>
      <c r="O418" s="111"/>
      <c r="P418" s="149"/>
      <c r="Q418" s="149"/>
      <c r="R418" s="149"/>
      <c r="S418" s="111"/>
      <c r="T418" s="149"/>
      <c r="U418" s="149"/>
      <c r="V418" s="44"/>
      <c r="W418" s="91"/>
      <c r="X418" s="91"/>
      <c r="Y418" s="91"/>
      <c r="Z418" s="44"/>
      <c r="AA418" s="44"/>
      <c r="AB418" s="44"/>
      <c r="AC418" s="44"/>
      <c r="AD418" s="44"/>
      <c r="AE418" s="44"/>
      <c r="AF418" s="44"/>
      <c r="AG418" s="44"/>
      <c r="AH418" s="44"/>
      <c r="AI418" s="44"/>
      <c r="AJ418" s="44"/>
      <c r="AK418" s="44"/>
      <c r="AL418" s="44"/>
      <c r="AM418" s="44"/>
      <c r="AN418" s="44"/>
      <c r="AO418" s="44"/>
      <c r="AP418" s="44"/>
      <c r="AR418" s="115"/>
    </row>
    <row r="419" spans="1:44" hidden="1" x14ac:dyDescent="0.25">
      <c r="A419" s="149"/>
      <c r="B419" s="149"/>
      <c r="C419" s="149"/>
      <c r="D419" s="111"/>
      <c r="E419" s="149"/>
      <c r="F419" s="149"/>
      <c r="G419" s="111"/>
      <c r="H419" s="149"/>
      <c r="I419" s="149"/>
      <c r="J419" s="149"/>
      <c r="K419" s="111"/>
      <c r="L419" s="149"/>
      <c r="M419" s="149"/>
      <c r="N419" s="149"/>
      <c r="O419" s="111"/>
      <c r="P419" s="149"/>
      <c r="Q419" s="149"/>
      <c r="R419" s="149"/>
      <c r="S419" s="111"/>
      <c r="T419" s="149"/>
      <c r="U419" s="149"/>
      <c r="V419" s="44"/>
      <c r="W419" s="91"/>
      <c r="X419" s="91"/>
      <c r="Y419" s="91"/>
      <c r="Z419" s="44"/>
      <c r="AA419" s="44"/>
      <c r="AB419" s="44"/>
      <c r="AC419" s="44"/>
      <c r="AD419" s="44"/>
      <c r="AE419" s="44"/>
      <c r="AF419" s="44"/>
      <c r="AG419" s="44"/>
      <c r="AH419" s="44"/>
      <c r="AI419" s="44"/>
      <c r="AJ419" s="44"/>
      <c r="AK419" s="44"/>
      <c r="AL419" s="44"/>
      <c r="AM419" s="44"/>
      <c r="AN419" s="44"/>
      <c r="AO419" s="44"/>
      <c r="AP419" s="44"/>
      <c r="AR419" s="115"/>
    </row>
    <row r="420" spans="1:44" hidden="1" x14ac:dyDescent="0.25">
      <c r="A420" s="149" t="s">
        <v>127</v>
      </c>
      <c r="B420" s="149"/>
      <c r="C420" s="204"/>
      <c r="D420" s="111"/>
      <c r="E420" s="149"/>
      <c r="F420" s="149"/>
      <c r="G420" s="111"/>
      <c r="H420" s="149"/>
      <c r="I420" s="149"/>
      <c r="J420" s="149"/>
      <c r="K420" s="111"/>
      <c r="L420" s="149"/>
      <c r="M420" s="149"/>
      <c r="N420" s="149"/>
      <c r="O420" s="111"/>
      <c r="P420" s="149"/>
      <c r="Q420" s="149"/>
      <c r="R420" s="149"/>
      <c r="S420" s="111"/>
      <c r="T420" s="149"/>
      <c r="U420" s="149"/>
      <c r="V420" s="44"/>
      <c r="W420" s="91"/>
      <c r="X420" s="91"/>
      <c r="Y420" s="91"/>
      <c r="Z420" s="44"/>
      <c r="AA420" s="44"/>
      <c r="AB420" s="44"/>
      <c r="AC420" s="44"/>
      <c r="AD420" s="44"/>
      <c r="AE420" s="44"/>
      <c r="AF420" s="44"/>
      <c r="AG420" s="44"/>
      <c r="AH420" s="44"/>
      <c r="AI420" s="44"/>
      <c r="AJ420" s="44"/>
      <c r="AK420" s="44"/>
      <c r="AL420" s="44"/>
      <c r="AM420" s="44"/>
      <c r="AN420" s="44"/>
      <c r="AO420" s="44"/>
      <c r="AP420" s="44"/>
      <c r="AR420" s="115"/>
    </row>
    <row r="421" spans="1:44" hidden="1" x14ac:dyDescent="0.25">
      <c r="A421" s="149" t="s">
        <v>154</v>
      </c>
      <c r="B421" s="149"/>
      <c r="C421" s="204">
        <v>515.53886098354405</v>
      </c>
      <c r="D421" s="173">
        <v>9.76</v>
      </c>
      <c r="E421" s="206"/>
      <c r="F421" s="111">
        <f>ROUND(D421*$C421,0)</f>
        <v>5032</v>
      </c>
      <c r="G421" s="173">
        <f>$G$173</f>
        <v>9.99</v>
      </c>
      <c r="H421" s="206"/>
      <c r="I421" s="111">
        <f>ROUND(G421*$C421,0)</f>
        <v>5150</v>
      </c>
      <c r="J421" s="111"/>
      <c r="K421" s="173">
        <f>$K$173</f>
        <v>9.76</v>
      </c>
      <c r="L421" s="206"/>
      <c r="M421" s="111">
        <f>ROUND(K421*$C421,0)</f>
        <v>5032</v>
      </c>
      <c r="N421" s="111"/>
      <c r="O421" s="173" t="str">
        <f>$O$173</f>
        <v xml:space="preserve"> </v>
      </c>
      <c r="P421" s="206"/>
      <c r="Q421" s="111">
        <f>ROUND(O421*$C421,0)</f>
        <v>0</v>
      </c>
      <c r="R421" s="111"/>
      <c r="S421" s="173" t="str">
        <f>$S$173</f>
        <v xml:space="preserve"> </v>
      </c>
      <c r="T421" s="206"/>
      <c r="U421" s="111">
        <f>ROUND(S421*$C421,0)</f>
        <v>0</v>
      </c>
      <c r="V421" s="44"/>
      <c r="W421" s="91"/>
      <c r="X421" s="91"/>
      <c r="Y421" s="91"/>
      <c r="Z421" s="44"/>
      <c r="AA421" s="44"/>
      <c r="AB421" s="44"/>
      <c r="AC421" s="44"/>
      <c r="AD421" s="44"/>
      <c r="AE421" s="44"/>
      <c r="AF421" s="44"/>
      <c r="AG421" s="44"/>
      <c r="AH421" s="44"/>
      <c r="AI421" s="44"/>
      <c r="AJ421" s="44"/>
      <c r="AK421" s="44"/>
      <c r="AL421" s="44"/>
      <c r="AM421" s="44"/>
      <c r="AN421" s="44"/>
      <c r="AO421" s="44"/>
      <c r="AP421" s="44"/>
      <c r="AR421" s="115"/>
    </row>
    <row r="422" spans="1:44" hidden="1" x14ac:dyDescent="0.25">
      <c r="A422" s="149" t="s">
        <v>125</v>
      </c>
      <c r="B422" s="149"/>
      <c r="C422" s="204">
        <v>0</v>
      </c>
      <c r="D422" s="173">
        <v>14.54</v>
      </c>
      <c r="E422" s="208"/>
      <c r="F422" s="111">
        <f t="shared" ref="F422:F423" si="88">ROUND(D422*$C422,0)</f>
        <v>0</v>
      </c>
      <c r="G422" s="173">
        <f>$G$174</f>
        <v>14.89</v>
      </c>
      <c r="H422" s="208"/>
      <c r="I422" s="111">
        <f>ROUND(G422*$C422,0)</f>
        <v>0</v>
      </c>
      <c r="J422" s="111"/>
      <c r="K422" s="173">
        <f>$K$174</f>
        <v>14.54</v>
      </c>
      <c r="L422" s="208"/>
      <c r="M422" s="111">
        <f>ROUND(K422*$C422,0)</f>
        <v>0</v>
      </c>
      <c r="N422" s="111"/>
      <c r="O422" s="173" t="str">
        <f>$O$174</f>
        <v xml:space="preserve"> </v>
      </c>
      <c r="P422" s="208"/>
      <c r="Q422" s="111">
        <f>ROUND(O422*$C422,0)</f>
        <v>0</v>
      </c>
      <c r="R422" s="111"/>
      <c r="S422" s="173" t="str">
        <f>$S$174</f>
        <v xml:space="preserve"> </v>
      </c>
      <c r="T422" s="208"/>
      <c r="U422" s="111">
        <f>ROUND(S422*$C422,0)</f>
        <v>0</v>
      </c>
      <c r="V422" s="44"/>
      <c r="W422" s="91"/>
      <c r="X422" s="91"/>
      <c r="Y422" s="91"/>
      <c r="Z422" s="44"/>
      <c r="AA422" s="44"/>
      <c r="AB422" s="44"/>
      <c r="AC422" s="44"/>
      <c r="AD422" s="44"/>
      <c r="AE422" s="44"/>
      <c r="AF422" s="44"/>
      <c r="AG422" s="44"/>
      <c r="AH422" s="44"/>
      <c r="AI422" s="44"/>
      <c r="AJ422" s="44"/>
      <c r="AK422" s="44"/>
      <c r="AL422" s="44"/>
      <c r="AM422" s="44"/>
      <c r="AN422" s="44"/>
      <c r="AO422" s="44"/>
      <c r="AP422" s="44"/>
      <c r="AR422" s="115"/>
    </row>
    <row r="423" spans="1:44" hidden="1" x14ac:dyDescent="0.25">
      <c r="A423" s="149" t="s">
        <v>126</v>
      </c>
      <c r="B423" s="149"/>
      <c r="C423" s="204">
        <v>0</v>
      </c>
      <c r="D423" s="173">
        <v>1.02</v>
      </c>
      <c r="E423" s="208"/>
      <c r="F423" s="111">
        <f t="shared" si="88"/>
        <v>0</v>
      </c>
      <c r="G423" s="173">
        <f>$G$175</f>
        <v>1.04</v>
      </c>
      <c r="H423" s="208"/>
      <c r="I423" s="111">
        <f>ROUND(G423*$C423,0)</f>
        <v>0</v>
      </c>
      <c r="J423" s="111"/>
      <c r="K423" s="173">
        <f>$K$175</f>
        <v>1.02</v>
      </c>
      <c r="L423" s="208"/>
      <c r="M423" s="111">
        <f>ROUND(K423*$C423,0)</f>
        <v>0</v>
      </c>
      <c r="N423" s="111"/>
      <c r="O423" s="173" t="str">
        <f>$O$175</f>
        <v xml:space="preserve"> </v>
      </c>
      <c r="P423" s="208"/>
      <c r="Q423" s="111">
        <f>ROUND(O423*$C423,0)</f>
        <v>0</v>
      </c>
      <c r="R423" s="111"/>
      <c r="S423" s="173" t="str">
        <f>$S$175</f>
        <v xml:space="preserve"> </v>
      </c>
      <c r="T423" s="208"/>
      <c r="U423" s="111">
        <f>ROUND(S423*$C423,0)</f>
        <v>0</v>
      </c>
      <c r="V423" s="44"/>
      <c r="W423" s="91"/>
      <c r="X423" s="91"/>
      <c r="Y423" s="91"/>
      <c r="Z423" s="44"/>
      <c r="AA423" s="44"/>
      <c r="AB423" s="44"/>
      <c r="AC423" s="44"/>
      <c r="AD423" s="44"/>
      <c r="AE423" s="44"/>
      <c r="AF423" s="44"/>
      <c r="AG423" s="44"/>
      <c r="AH423" s="44"/>
      <c r="AI423" s="44"/>
      <c r="AJ423" s="44"/>
      <c r="AK423" s="44"/>
      <c r="AL423" s="44"/>
      <c r="AM423" s="44"/>
      <c r="AN423" s="44"/>
      <c r="AO423" s="44"/>
      <c r="AP423" s="44"/>
      <c r="AR423" s="115"/>
    </row>
    <row r="424" spans="1:44" hidden="1" x14ac:dyDescent="0.25">
      <c r="A424" s="149" t="s">
        <v>128</v>
      </c>
      <c r="B424" s="149"/>
      <c r="C424" s="204">
        <f>SUM(C421:C422)</f>
        <v>515.53886098354405</v>
      </c>
      <c r="D424" s="173"/>
      <c r="E424" s="206"/>
      <c r="F424" s="111"/>
      <c r="G424" s="173"/>
      <c r="H424" s="206"/>
      <c r="I424" s="111"/>
      <c r="J424" s="111"/>
      <c r="K424" s="173"/>
      <c r="L424" s="206"/>
      <c r="M424" s="111"/>
      <c r="N424" s="111"/>
      <c r="O424" s="173"/>
      <c r="P424" s="206"/>
      <c r="Q424" s="111"/>
      <c r="R424" s="111"/>
      <c r="S424" s="173"/>
      <c r="T424" s="206"/>
      <c r="U424" s="111"/>
      <c r="V424" s="44"/>
      <c r="W424" s="91"/>
      <c r="X424" s="91"/>
      <c r="Y424" s="91"/>
      <c r="Z424" s="44"/>
      <c r="AA424" s="44"/>
      <c r="AB424" s="44"/>
      <c r="AC424" s="44"/>
      <c r="AD424" s="44"/>
      <c r="AE424" s="44"/>
      <c r="AF424" s="44"/>
      <c r="AG424" s="44"/>
      <c r="AH424" s="44"/>
      <c r="AI424" s="44"/>
      <c r="AJ424" s="44"/>
      <c r="AK424" s="44"/>
      <c r="AL424" s="44"/>
      <c r="AM424" s="44"/>
      <c r="AN424" s="44"/>
      <c r="AO424" s="44"/>
      <c r="AP424" s="44"/>
      <c r="AR424" s="115"/>
    </row>
    <row r="425" spans="1:44" hidden="1" x14ac:dyDescent="0.25">
      <c r="A425" s="149" t="s">
        <v>90</v>
      </c>
      <c r="B425" s="149"/>
      <c r="C425" s="204">
        <v>48</v>
      </c>
      <c r="D425" s="173"/>
      <c r="E425" s="206"/>
      <c r="F425" s="111"/>
      <c r="G425" s="173"/>
      <c r="H425" s="206"/>
      <c r="I425" s="111"/>
      <c r="J425" s="111"/>
      <c r="K425" s="173"/>
      <c r="L425" s="206"/>
      <c r="M425" s="111"/>
      <c r="N425" s="111"/>
      <c r="O425" s="173"/>
      <c r="P425" s="206"/>
      <c r="Q425" s="111"/>
      <c r="R425" s="111"/>
      <c r="S425" s="173"/>
      <c r="T425" s="206"/>
      <c r="U425" s="111"/>
      <c r="V425" s="44"/>
      <c r="W425" s="91"/>
      <c r="X425" s="91"/>
      <c r="Y425" s="91"/>
      <c r="Z425" s="44"/>
      <c r="AA425" s="44"/>
      <c r="AB425" s="44"/>
      <c r="AC425" s="44"/>
      <c r="AD425" s="44"/>
      <c r="AE425" s="44"/>
      <c r="AF425" s="44"/>
      <c r="AG425" s="44"/>
      <c r="AH425" s="44"/>
      <c r="AI425" s="44"/>
      <c r="AJ425" s="44"/>
      <c r="AK425" s="44"/>
      <c r="AL425" s="44"/>
      <c r="AM425" s="44"/>
      <c r="AN425" s="44"/>
      <c r="AO425" s="44"/>
      <c r="AP425" s="44"/>
      <c r="AR425" s="115"/>
    </row>
    <row r="426" spans="1:44" hidden="1" x14ac:dyDescent="0.25">
      <c r="A426" s="149" t="s">
        <v>129</v>
      </c>
      <c r="B426" s="149"/>
      <c r="C426" s="204">
        <v>0</v>
      </c>
      <c r="D426" s="226">
        <v>3.7</v>
      </c>
      <c r="E426" s="206"/>
      <c r="F426" s="111">
        <f>ROUND(D426*C426,0)</f>
        <v>0</v>
      </c>
      <c r="G426" s="226">
        <f>$G$178</f>
        <v>3.8</v>
      </c>
      <c r="H426" s="206"/>
      <c r="I426" s="111">
        <f>ROUND(G426*$C426,0)</f>
        <v>0</v>
      </c>
      <c r="J426" s="111"/>
      <c r="K426" s="226" t="e">
        <f>$K$178</f>
        <v>#REF!</v>
      </c>
      <c r="L426" s="206"/>
      <c r="M426" s="111" t="e">
        <f>ROUND(K426*$C426,0)</f>
        <v>#REF!</v>
      </c>
      <c r="N426" s="111"/>
      <c r="O426" s="226" t="e">
        <f>$O$178</f>
        <v>#DIV/0!</v>
      </c>
      <c r="P426" s="206"/>
      <c r="Q426" s="111" t="e">
        <f>ROUND(O426*$C426,0)</f>
        <v>#DIV/0!</v>
      </c>
      <c r="R426" s="111"/>
      <c r="S426" s="226" t="e">
        <f>$S$178</f>
        <v>#DIV/0!</v>
      </c>
      <c r="T426" s="206"/>
      <c r="U426" s="111" t="e">
        <f>ROUND(S426*$C426,0)</f>
        <v>#DIV/0!</v>
      </c>
      <c r="V426" s="44"/>
      <c r="W426" s="91"/>
      <c r="X426" s="91"/>
      <c r="Y426" s="91"/>
      <c r="Z426" s="44"/>
      <c r="AA426" s="44"/>
      <c r="AB426" s="44"/>
      <c r="AC426" s="44"/>
      <c r="AD426" s="44"/>
      <c r="AE426" s="44"/>
      <c r="AF426" s="44"/>
      <c r="AG426" s="44"/>
      <c r="AH426" s="44"/>
      <c r="AI426" s="44"/>
      <c r="AJ426" s="44"/>
      <c r="AK426" s="44"/>
      <c r="AL426" s="44"/>
      <c r="AM426" s="44"/>
      <c r="AN426" s="44"/>
      <c r="AO426" s="44"/>
      <c r="AP426" s="44"/>
      <c r="AR426" s="115"/>
    </row>
    <row r="427" spans="1:44" hidden="1" x14ac:dyDescent="0.25">
      <c r="A427" s="149" t="s">
        <v>130</v>
      </c>
      <c r="B427" s="149"/>
      <c r="C427" s="204">
        <v>33312</v>
      </c>
      <c r="D427" s="175">
        <v>10.628</v>
      </c>
      <c r="E427" s="206" t="s">
        <v>89</v>
      </c>
      <c r="F427" s="111">
        <f>ROUND(D427*C427/100,0)</f>
        <v>3540</v>
      </c>
      <c r="G427" s="175">
        <f>$G$179</f>
        <v>10.878</v>
      </c>
      <c r="H427" s="206" t="s">
        <v>89</v>
      </c>
      <c r="I427" s="111">
        <f>ROUND(G427*$C427/100,0)</f>
        <v>3624</v>
      </c>
      <c r="J427" s="111"/>
      <c r="K427" s="175" t="e">
        <f>$K$179</f>
        <v>#REF!</v>
      </c>
      <c r="L427" s="206" t="s">
        <v>89</v>
      </c>
      <c r="M427" s="111" t="e">
        <f>ROUND(K427*$C427/100,0)</f>
        <v>#REF!</v>
      </c>
      <c r="N427" s="111"/>
      <c r="O427" s="175" t="e">
        <f>$O$179</f>
        <v>#DIV/0!</v>
      </c>
      <c r="P427" s="206" t="s">
        <v>89</v>
      </c>
      <c r="Q427" s="111" t="e">
        <f>ROUND(O427*$C427/100,0)</f>
        <v>#DIV/0!</v>
      </c>
      <c r="R427" s="111"/>
      <c r="S427" s="175" t="e">
        <f>$S$179</f>
        <v>#DIV/0!</v>
      </c>
      <c r="T427" s="206" t="s">
        <v>89</v>
      </c>
      <c r="U427" s="111" t="e">
        <f>ROUND(S427*$C427/100,0)</f>
        <v>#DIV/0!</v>
      </c>
      <c r="V427" s="44"/>
      <c r="W427" s="91"/>
      <c r="X427" s="91"/>
      <c r="Y427" s="91"/>
      <c r="Z427" s="44"/>
      <c r="AA427" s="44"/>
      <c r="AB427" s="44"/>
      <c r="AC427" s="44"/>
      <c r="AD427" s="44"/>
      <c r="AE427" s="44"/>
      <c r="AF427" s="44"/>
      <c r="AG427" s="44"/>
      <c r="AH427" s="44"/>
      <c r="AI427" s="44"/>
      <c r="AJ427" s="44"/>
      <c r="AK427" s="44"/>
      <c r="AL427" s="44"/>
      <c r="AM427" s="44"/>
      <c r="AN427" s="44"/>
      <c r="AO427" s="44"/>
      <c r="AP427" s="44"/>
      <c r="AR427" s="115"/>
    </row>
    <row r="428" spans="1:44" hidden="1" x14ac:dyDescent="0.25">
      <c r="A428" s="149" t="s">
        <v>131</v>
      </c>
      <c r="B428" s="149"/>
      <c r="C428" s="204">
        <v>0</v>
      </c>
      <c r="D428" s="175">
        <v>7.3410000000000002</v>
      </c>
      <c r="E428" s="206" t="s">
        <v>89</v>
      </c>
      <c r="F428" s="111">
        <f>ROUND(D428*C428/100,0)</f>
        <v>0</v>
      </c>
      <c r="G428" s="175">
        <f>$G$180</f>
        <v>7.5140000000000002</v>
      </c>
      <c r="H428" s="206" t="s">
        <v>89</v>
      </c>
      <c r="I428" s="111">
        <f>ROUND(G428*$C428/100,0)</f>
        <v>0</v>
      </c>
      <c r="J428" s="111"/>
      <c r="K428" s="175" t="e">
        <f>$K$180</f>
        <v>#REF!</v>
      </c>
      <c r="L428" s="206" t="s">
        <v>89</v>
      </c>
      <c r="M428" s="111" t="e">
        <f>ROUND(K428*$C428/100,0)</f>
        <v>#REF!</v>
      </c>
      <c r="N428" s="111"/>
      <c r="O428" s="175" t="e">
        <f>$O$180</f>
        <v>#DIV/0!</v>
      </c>
      <c r="P428" s="206" t="s">
        <v>89</v>
      </c>
      <c r="Q428" s="111" t="e">
        <f>ROUND(O428*$C428/100,0)</f>
        <v>#DIV/0!</v>
      </c>
      <c r="R428" s="111"/>
      <c r="S428" s="175" t="e">
        <f>$S$180</f>
        <v>#DIV/0!</v>
      </c>
      <c r="T428" s="206" t="s">
        <v>89</v>
      </c>
      <c r="U428" s="111" t="e">
        <f>ROUND(S428*$C428/100,0)</f>
        <v>#DIV/0!</v>
      </c>
      <c r="V428" s="44"/>
      <c r="W428" s="91"/>
      <c r="X428" s="91"/>
      <c r="Y428" s="91"/>
      <c r="Z428" s="44"/>
      <c r="AA428" s="44"/>
      <c r="AB428" s="44"/>
      <c r="AC428" s="44"/>
      <c r="AD428" s="44"/>
      <c r="AE428" s="44"/>
      <c r="AF428" s="44"/>
      <c r="AG428" s="44"/>
      <c r="AH428" s="44"/>
      <c r="AI428" s="44"/>
      <c r="AJ428" s="44"/>
      <c r="AK428" s="44"/>
      <c r="AL428" s="44"/>
      <c r="AM428" s="44"/>
      <c r="AN428" s="44"/>
      <c r="AO428" s="44"/>
      <c r="AP428" s="44"/>
      <c r="AR428" s="115"/>
    </row>
    <row r="429" spans="1:44" hidden="1" x14ac:dyDescent="0.25">
      <c r="A429" s="149" t="s">
        <v>132</v>
      </c>
      <c r="B429" s="149"/>
      <c r="C429" s="204">
        <v>0</v>
      </c>
      <c r="D429" s="175">
        <v>6.3240000000000007</v>
      </c>
      <c r="E429" s="206" t="s">
        <v>89</v>
      </c>
      <c r="F429" s="111">
        <f>ROUND(D429*C429/100,0)</f>
        <v>0</v>
      </c>
      <c r="G429" s="175">
        <f>$G$181</f>
        <v>6.4720000000000004</v>
      </c>
      <c r="H429" s="206" t="s">
        <v>89</v>
      </c>
      <c r="I429" s="111">
        <f>ROUND(G429*$C429/100,0)</f>
        <v>0</v>
      </c>
      <c r="J429" s="111"/>
      <c r="K429" s="175" t="e">
        <f>$K$181</f>
        <v>#REF!</v>
      </c>
      <c r="L429" s="206" t="s">
        <v>89</v>
      </c>
      <c r="M429" s="111" t="e">
        <f>ROUND(K429*$C429/100,0)</f>
        <v>#REF!</v>
      </c>
      <c r="N429" s="111"/>
      <c r="O429" s="175" t="e">
        <f>$O$181</f>
        <v>#DIV/0!</v>
      </c>
      <c r="P429" s="206" t="s">
        <v>89</v>
      </c>
      <c r="Q429" s="111" t="e">
        <f>ROUND(O429*$C429/100,0)</f>
        <v>#DIV/0!</v>
      </c>
      <c r="R429" s="111"/>
      <c r="S429" s="175" t="e">
        <f>$S$181</f>
        <v>#DIV/0!</v>
      </c>
      <c r="T429" s="206" t="s">
        <v>89</v>
      </c>
      <c r="U429" s="111" t="e">
        <f>ROUND(S429*$C429/100,0)</f>
        <v>#DIV/0!</v>
      </c>
      <c r="V429" s="44"/>
      <c r="W429" s="91"/>
      <c r="X429" s="91"/>
      <c r="Y429" s="91"/>
      <c r="Z429" s="44"/>
      <c r="AA429" s="44"/>
      <c r="AB429" s="44"/>
      <c r="AC429" s="44"/>
      <c r="AD429" s="44"/>
      <c r="AE429" s="44"/>
      <c r="AF429" s="44"/>
      <c r="AG429" s="44"/>
      <c r="AH429" s="44"/>
      <c r="AI429" s="44"/>
      <c r="AJ429" s="44"/>
      <c r="AK429" s="44"/>
      <c r="AL429" s="44"/>
      <c r="AM429" s="44"/>
      <c r="AN429" s="44"/>
      <c r="AO429" s="44"/>
      <c r="AP429" s="44"/>
      <c r="AR429" s="115"/>
    </row>
    <row r="430" spans="1:44" hidden="1" x14ac:dyDescent="0.25">
      <c r="A430" s="149" t="s">
        <v>133</v>
      </c>
      <c r="B430" s="149"/>
      <c r="C430" s="204">
        <v>0</v>
      </c>
      <c r="D430" s="212">
        <v>57</v>
      </c>
      <c r="E430" s="206" t="s">
        <v>89</v>
      </c>
      <c r="F430" s="111">
        <f>ROUND(D430*C430/100,0)</f>
        <v>0</v>
      </c>
      <c r="G430" s="212">
        <f>$G$182</f>
        <v>58</v>
      </c>
      <c r="H430" s="206" t="s">
        <v>89</v>
      </c>
      <c r="I430" s="111">
        <f>ROUND(G430*$C430/100,0)</f>
        <v>0</v>
      </c>
      <c r="J430" s="111"/>
      <c r="K430" s="212" t="str">
        <f>$K$182</f>
        <v xml:space="preserve"> </v>
      </c>
      <c r="L430" s="206" t="s">
        <v>89</v>
      </c>
      <c r="M430" s="111">
        <f>ROUND(K430*$C430/100,0)</f>
        <v>0</v>
      </c>
      <c r="N430" s="111"/>
      <c r="O430" s="212" t="e">
        <f>$O$182</f>
        <v>#DIV/0!</v>
      </c>
      <c r="P430" s="206" t="s">
        <v>89</v>
      </c>
      <c r="Q430" s="111" t="e">
        <f>ROUND(O430*$C430/100,0)</f>
        <v>#DIV/0!</v>
      </c>
      <c r="R430" s="111"/>
      <c r="S430" s="212" t="e">
        <f>$S$182</f>
        <v>#DIV/0!</v>
      </c>
      <c r="T430" s="206" t="s">
        <v>89</v>
      </c>
      <c r="U430" s="111" t="e">
        <f>ROUND(S430*$C430/100,0)</f>
        <v>#DIV/0!</v>
      </c>
      <c r="V430" s="44"/>
      <c r="W430" s="91"/>
      <c r="X430" s="91"/>
      <c r="Y430" s="91"/>
      <c r="Z430" s="44"/>
      <c r="AA430" s="44"/>
      <c r="AB430" s="44"/>
      <c r="AC430" s="44"/>
      <c r="AD430" s="44"/>
      <c r="AE430" s="44"/>
      <c r="AF430" s="44"/>
      <c r="AG430" s="44"/>
      <c r="AH430" s="44"/>
      <c r="AI430" s="44"/>
      <c r="AJ430" s="44"/>
      <c r="AK430" s="44"/>
      <c r="AL430" s="44"/>
      <c r="AM430" s="44"/>
      <c r="AN430" s="44"/>
      <c r="AO430" s="44"/>
      <c r="AP430" s="44"/>
      <c r="AR430" s="115"/>
    </row>
    <row r="431" spans="1:44" s="120" customFormat="1" hidden="1" x14ac:dyDescent="0.25">
      <c r="A431" s="119" t="s">
        <v>134</v>
      </c>
      <c r="C431" s="121">
        <f>C427</f>
        <v>33312</v>
      </c>
      <c r="D431" s="128">
        <v>0</v>
      </c>
      <c r="E431" s="122"/>
      <c r="F431" s="123"/>
      <c r="G431" s="124">
        <f>G183</f>
        <v>0</v>
      </c>
      <c r="H431" s="215" t="s">
        <v>89</v>
      </c>
      <c r="I431" s="123">
        <f t="shared" ref="I431:I433" si="89">ROUND(G431*$C431/100,0)</f>
        <v>0</v>
      </c>
      <c r="J431" s="123"/>
      <c r="K431" s="124" t="str">
        <f>K183</f>
        <v xml:space="preserve"> </v>
      </c>
      <c r="L431" s="215" t="s">
        <v>89</v>
      </c>
      <c r="M431" s="123">
        <f t="shared" ref="M431:M433" si="90">ROUND(K431*$C431/100,0)</f>
        <v>0</v>
      </c>
      <c r="N431" s="123"/>
      <c r="O431" s="124" t="str">
        <f>O183</f>
        <v xml:space="preserve"> </v>
      </c>
      <c r="P431" s="215" t="s">
        <v>89</v>
      </c>
      <c r="Q431" s="123">
        <f t="shared" ref="Q431:Q433" si="91">ROUND(O431*$C431/100,0)</f>
        <v>0</v>
      </c>
      <c r="R431" s="123"/>
      <c r="S431" s="124">
        <f>S183</f>
        <v>0</v>
      </c>
      <c r="T431" s="215" t="s">
        <v>89</v>
      </c>
      <c r="U431" s="123">
        <f t="shared" ref="U431:U433" si="92">ROUND(S431*$C431/100,0)</f>
        <v>0</v>
      </c>
      <c r="W431" s="112"/>
      <c r="Z431" s="127"/>
      <c r="AA431" s="127"/>
      <c r="AF431" s="122"/>
      <c r="AG431" s="122"/>
      <c r="AH431" s="122"/>
      <c r="AI431" s="122"/>
      <c r="AJ431" s="122"/>
      <c r="AK431" s="122"/>
      <c r="AL431" s="122"/>
      <c r="AM431" s="122"/>
      <c r="AN431" s="122"/>
      <c r="AO431" s="122"/>
      <c r="AP431" s="122"/>
      <c r="AR431" s="126"/>
    </row>
    <row r="432" spans="1:44" s="120" customFormat="1" hidden="1" x14ac:dyDescent="0.25">
      <c r="A432" s="119" t="s">
        <v>135</v>
      </c>
      <c r="C432" s="121">
        <f>C428</f>
        <v>0</v>
      </c>
      <c r="D432" s="128">
        <v>0</v>
      </c>
      <c r="E432" s="122"/>
      <c r="F432" s="123"/>
      <c r="G432" s="124">
        <f>G184</f>
        <v>0</v>
      </c>
      <c r="H432" s="215" t="s">
        <v>89</v>
      </c>
      <c r="I432" s="123">
        <f t="shared" si="89"/>
        <v>0</v>
      </c>
      <c r="J432" s="123"/>
      <c r="K432" s="124" t="str">
        <f>K184</f>
        <v xml:space="preserve"> </v>
      </c>
      <c r="L432" s="215" t="s">
        <v>89</v>
      </c>
      <c r="M432" s="123">
        <f t="shared" si="90"/>
        <v>0</v>
      </c>
      <c r="N432" s="123"/>
      <c r="O432" s="124" t="str">
        <f>O184</f>
        <v xml:space="preserve"> </v>
      </c>
      <c r="P432" s="215" t="s">
        <v>89</v>
      </c>
      <c r="Q432" s="123">
        <f t="shared" si="91"/>
        <v>0</v>
      </c>
      <c r="R432" s="123"/>
      <c r="S432" s="124">
        <f>S184</f>
        <v>0</v>
      </c>
      <c r="T432" s="215" t="s">
        <v>89</v>
      </c>
      <c r="U432" s="123">
        <f t="shared" si="92"/>
        <v>0</v>
      </c>
      <c r="W432" s="112"/>
      <c r="Z432" s="127"/>
      <c r="AA432" s="127"/>
      <c r="AF432" s="122"/>
      <c r="AG432" s="122"/>
      <c r="AH432" s="122"/>
      <c r="AI432" s="122"/>
      <c r="AJ432" s="122"/>
      <c r="AK432" s="122"/>
      <c r="AL432" s="122"/>
      <c r="AM432" s="122"/>
      <c r="AN432" s="122"/>
      <c r="AO432" s="122"/>
      <c r="AP432" s="122"/>
      <c r="AR432" s="126"/>
    </row>
    <row r="433" spans="1:44" s="120" customFormat="1" hidden="1" x14ac:dyDescent="0.25">
      <c r="A433" s="119" t="s">
        <v>136</v>
      </c>
      <c r="C433" s="121">
        <f>C429</f>
        <v>0</v>
      </c>
      <c r="D433" s="128">
        <v>0</v>
      </c>
      <c r="E433" s="122"/>
      <c r="F433" s="123"/>
      <c r="G433" s="124">
        <f>G185</f>
        <v>0</v>
      </c>
      <c r="H433" s="215" t="s">
        <v>89</v>
      </c>
      <c r="I433" s="123">
        <f t="shared" si="89"/>
        <v>0</v>
      </c>
      <c r="J433" s="123"/>
      <c r="K433" s="124" t="str">
        <f>K185</f>
        <v xml:space="preserve"> </v>
      </c>
      <c r="L433" s="215" t="s">
        <v>89</v>
      </c>
      <c r="M433" s="123">
        <f t="shared" si="90"/>
        <v>0</v>
      </c>
      <c r="N433" s="123"/>
      <c r="O433" s="124" t="str">
        <f>O185</f>
        <v xml:space="preserve"> </v>
      </c>
      <c r="P433" s="215" t="s">
        <v>89</v>
      </c>
      <c r="Q433" s="123">
        <f t="shared" si="91"/>
        <v>0</v>
      </c>
      <c r="R433" s="123"/>
      <c r="S433" s="124">
        <f>S185</f>
        <v>0</v>
      </c>
      <c r="T433" s="215" t="s">
        <v>89</v>
      </c>
      <c r="U433" s="123">
        <f t="shared" si="92"/>
        <v>0</v>
      </c>
      <c r="W433" s="112"/>
      <c r="Z433" s="127"/>
      <c r="AA433" s="127"/>
      <c r="AF433" s="122"/>
      <c r="AG433" s="122"/>
      <c r="AH433" s="122"/>
      <c r="AI433" s="122"/>
      <c r="AJ433" s="122"/>
      <c r="AK433" s="122"/>
      <c r="AL433" s="122"/>
      <c r="AM433" s="122"/>
      <c r="AN433" s="122"/>
      <c r="AO433" s="122"/>
      <c r="AP433" s="122"/>
      <c r="AR433" s="126"/>
    </row>
    <row r="434" spans="1:44" hidden="1" x14ac:dyDescent="0.25">
      <c r="A434" s="219" t="s">
        <v>140</v>
      </c>
      <c r="B434" s="149"/>
      <c r="C434" s="204"/>
      <c r="D434" s="220">
        <v>-0.01</v>
      </c>
      <c r="E434" s="206"/>
      <c r="F434" s="111"/>
      <c r="G434" s="220">
        <v>-0.01</v>
      </c>
      <c r="H434" s="206"/>
      <c r="I434" s="111"/>
      <c r="J434" s="111"/>
      <c r="K434" s="220">
        <v>-0.01</v>
      </c>
      <c r="L434" s="206"/>
      <c r="M434" s="111"/>
      <c r="N434" s="111"/>
      <c r="O434" s="220">
        <v>-0.01</v>
      </c>
      <c r="P434" s="206"/>
      <c r="Q434" s="111"/>
      <c r="R434" s="111"/>
      <c r="S434" s="220">
        <v>-0.01</v>
      </c>
      <c r="T434" s="206"/>
      <c r="U434" s="111"/>
      <c r="V434" s="44"/>
      <c r="W434" s="91"/>
      <c r="X434" s="91"/>
      <c r="Y434" s="91"/>
      <c r="Z434" s="44"/>
      <c r="AA434" s="44"/>
      <c r="AB434" s="44"/>
      <c r="AC434" s="44"/>
      <c r="AD434" s="44"/>
      <c r="AE434" s="44"/>
      <c r="AF434" s="44"/>
      <c r="AG434" s="44"/>
      <c r="AH434" s="44"/>
      <c r="AI434" s="44"/>
      <c r="AJ434" s="44"/>
      <c r="AK434" s="44"/>
      <c r="AL434" s="44"/>
      <c r="AM434" s="44"/>
      <c r="AN434" s="44"/>
      <c r="AO434" s="44"/>
      <c r="AP434" s="44"/>
      <c r="AR434" s="115"/>
    </row>
    <row r="435" spans="1:44" hidden="1" x14ac:dyDescent="0.25">
      <c r="A435" s="149" t="s">
        <v>124</v>
      </c>
      <c r="B435" s="149"/>
      <c r="C435" s="204">
        <v>0</v>
      </c>
      <c r="D435" s="222">
        <v>9.76</v>
      </c>
      <c r="E435" s="223"/>
      <c r="F435" s="111">
        <f>-ROUND(D435*$C435/100,0)</f>
        <v>0</v>
      </c>
      <c r="G435" s="222">
        <f>G421</f>
        <v>9.99</v>
      </c>
      <c r="H435" s="223"/>
      <c r="I435" s="111">
        <f>-ROUND(G435*$C435/100,0)</f>
        <v>0</v>
      </c>
      <c r="J435" s="111"/>
      <c r="K435" s="222">
        <f>K421</f>
        <v>9.76</v>
      </c>
      <c r="L435" s="223"/>
      <c r="M435" s="111">
        <f>-ROUND(K435*$C435/100,0)</f>
        <v>0</v>
      </c>
      <c r="N435" s="111"/>
      <c r="O435" s="222" t="str">
        <f>O421</f>
        <v xml:space="preserve"> </v>
      </c>
      <c r="P435" s="223"/>
      <c r="Q435" s="111">
        <f>-ROUND(O435*$C435/100,0)</f>
        <v>0</v>
      </c>
      <c r="R435" s="111"/>
      <c r="S435" s="222" t="str">
        <f>S421</f>
        <v xml:space="preserve"> </v>
      </c>
      <c r="T435" s="223"/>
      <c r="U435" s="111">
        <f>-ROUND(S435*$C435/100,0)</f>
        <v>0</v>
      </c>
      <c r="V435" s="44"/>
      <c r="W435" s="91"/>
      <c r="X435" s="91"/>
      <c r="Y435" s="91"/>
      <c r="Z435" s="44"/>
      <c r="AA435" s="44"/>
      <c r="AB435" s="44"/>
      <c r="AC435" s="44"/>
      <c r="AD435" s="44"/>
      <c r="AE435" s="44"/>
      <c r="AF435" s="44"/>
      <c r="AG435" s="44"/>
      <c r="AH435" s="44"/>
      <c r="AI435" s="44"/>
      <c r="AJ435" s="44"/>
      <c r="AK435" s="44"/>
      <c r="AL435" s="44"/>
      <c r="AM435" s="44"/>
      <c r="AN435" s="44"/>
      <c r="AO435" s="44"/>
      <c r="AP435" s="44"/>
      <c r="AR435" s="115"/>
    </row>
    <row r="436" spans="1:44" hidden="1" x14ac:dyDescent="0.25">
      <c r="A436" s="149" t="s">
        <v>125</v>
      </c>
      <c r="B436" s="149"/>
      <c r="C436" s="204">
        <v>0</v>
      </c>
      <c r="D436" s="222">
        <v>14.54</v>
      </c>
      <c r="E436" s="223"/>
      <c r="F436" s="111">
        <f t="shared" ref="F436:F438" si="93">-ROUND(D436*$C436/100,0)</f>
        <v>0</v>
      </c>
      <c r="G436" s="222">
        <f>G422</f>
        <v>14.89</v>
      </c>
      <c r="H436" s="223"/>
      <c r="I436" s="111">
        <f>-ROUND(G436*$C436/100,0)</f>
        <v>0</v>
      </c>
      <c r="J436" s="111"/>
      <c r="K436" s="222">
        <f>K422</f>
        <v>14.54</v>
      </c>
      <c r="L436" s="223"/>
      <c r="M436" s="111">
        <f>-ROUND(K436*$C436/100,0)</f>
        <v>0</v>
      </c>
      <c r="N436" s="111"/>
      <c r="O436" s="222" t="str">
        <f>O422</f>
        <v xml:space="preserve"> </v>
      </c>
      <c r="P436" s="223"/>
      <c r="Q436" s="111">
        <f>-ROUND(O436*$C436/100,0)</f>
        <v>0</v>
      </c>
      <c r="R436" s="111"/>
      <c r="S436" s="222" t="str">
        <f>S422</f>
        <v xml:space="preserve"> </v>
      </c>
      <c r="T436" s="223"/>
      <c r="U436" s="111">
        <f>-ROUND(S436*$C436/100,0)</f>
        <v>0</v>
      </c>
      <c r="V436" s="44"/>
      <c r="W436" s="91"/>
      <c r="X436" s="91"/>
      <c r="Y436" s="91"/>
      <c r="Z436" s="44"/>
      <c r="AA436" s="44"/>
      <c r="AB436" s="44"/>
      <c r="AC436" s="44"/>
      <c r="AD436" s="44"/>
      <c r="AE436" s="44"/>
      <c r="AF436" s="44"/>
      <c r="AG436" s="44"/>
      <c r="AH436" s="44"/>
      <c r="AI436" s="44"/>
      <c r="AJ436" s="44"/>
      <c r="AK436" s="44"/>
      <c r="AL436" s="44"/>
      <c r="AM436" s="44"/>
      <c r="AN436" s="44"/>
      <c r="AO436" s="44"/>
      <c r="AP436" s="44"/>
      <c r="AR436" s="115"/>
    </row>
    <row r="437" spans="1:44" hidden="1" x14ac:dyDescent="0.25">
      <c r="A437" s="149" t="s">
        <v>141</v>
      </c>
      <c r="B437" s="149"/>
      <c r="C437" s="204">
        <v>0</v>
      </c>
      <c r="D437" s="222">
        <v>1.02</v>
      </c>
      <c r="E437" s="223"/>
      <c r="F437" s="111">
        <f t="shared" si="93"/>
        <v>0</v>
      </c>
      <c r="G437" s="222">
        <f>G423</f>
        <v>1.04</v>
      </c>
      <c r="H437" s="223"/>
      <c r="I437" s="111">
        <f>-ROUND(G437*$C437/100,0)</f>
        <v>0</v>
      </c>
      <c r="J437" s="111"/>
      <c r="K437" s="222">
        <f>K423</f>
        <v>1.02</v>
      </c>
      <c r="L437" s="223"/>
      <c r="M437" s="111">
        <f>-ROUND(K437*$C437/100,0)</f>
        <v>0</v>
      </c>
      <c r="N437" s="111"/>
      <c r="O437" s="222" t="str">
        <f>O423</f>
        <v xml:space="preserve"> </v>
      </c>
      <c r="P437" s="223"/>
      <c r="Q437" s="111">
        <f>-ROUND(O437*$C437/100,0)</f>
        <v>0</v>
      </c>
      <c r="R437" s="111"/>
      <c r="S437" s="222" t="str">
        <f>S423</f>
        <v xml:space="preserve"> </v>
      </c>
      <c r="T437" s="223"/>
      <c r="U437" s="111">
        <f>-ROUND(S437*$C437/100,0)</f>
        <v>0</v>
      </c>
      <c r="V437" s="44"/>
      <c r="W437" s="91"/>
      <c r="X437" s="91"/>
      <c r="Y437" s="91"/>
      <c r="Z437" s="44"/>
      <c r="AA437" s="44"/>
      <c r="AB437" s="44"/>
      <c r="AC437" s="44"/>
      <c r="AD437" s="44"/>
      <c r="AE437" s="44"/>
      <c r="AF437" s="44"/>
      <c r="AG437" s="44"/>
      <c r="AH437" s="44"/>
      <c r="AI437" s="44"/>
      <c r="AJ437" s="44"/>
      <c r="AK437" s="44"/>
      <c r="AL437" s="44"/>
      <c r="AM437" s="44"/>
      <c r="AN437" s="44"/>
      <c r="AO437" s="44"/>
      <c r="AP437" s="44"/>
      <c r="AR437" s="115"/>
    </row>
    <row r="438" spans="1:44" hidden="1" x14ac:dyDescent="0.25">
      <c r="A438" s="149" t="s">
        <v>142</v>
      </c>
      <c r="B438" s="149"/>
      <c r="C438" s="204">
        <v>0</v>
      </c>
      <c r="D438" s="222">
        <v>3.7</v>
      </c>
      <c r="E438" s="206"/>
      <c r="F438" s="111">
        <f t="shared" si="93"/>
        <v>0</v>
      </c>
      <c r="G438" s="222">
        <f>G426</f>
        <v>3.8</v>
      </c>
      <c r="H438" s="206"/>
      <c r="I438" s="111">
        <f>-ROUND(G438*$C438/100,0)</f>
        <v>0</v>
      </c>
      <c r="J438" s="111"/>
      <c r="K438" s="222" t="e">
        <f>K426</f>
        <v>#REF!</v>
      </c>
      <c r="L438" s="206"/>
      <c r="M438" s="111" t="e">
        <f>-ROUND(K438*$C438/100,0)</f>
        <v>#REF!</v>
      </c>
      <c r="N438" s="111"/>
      <c r="O438" s="222" t="e">
        <f>O426</f>
        <v>#DIV/0!</v>
      </c>
      <c r="P438" s="206"/>
      <c r="Q438" s="111" t="e">
        <f>-ROUND(O438*$C438/100,0)</f>
        <v>#DIV/0!</v>
      </c>
      <c r="R438" s="111"/>
      <c r="S438" s="222" t="e">
        <f>S426</f>
        <v>#DIV/0!</v>
      </c>
      <c r="T438" s="206"/>
      <c r="U438" s="111" t="e">
        <f>-ROUND(S438*$C438/100,0)</f>
        <v>#DIV/0!</v>
      </c>
      <c r="V438" s="44"/>
      <c r="W438" s="91"/>
      <c r="X438" s="91"/>
      <c r="Y438" s="91"/>
      <c r="Z438" s="44"/>
      <c r="AA438" s="44"/>
      <c r="AB438" s="44"/>
      <c r="AC438" s="44"/>
      <c r="AD438" s="44"/>
      <c r="AE438" s="44"/>
      <c r="AF438" s="44"/>
      <c r="AG438" s="44"/>
      <c r="AH438" s="44"/>
      <c r="AI438" s="44"/>
      <c r="AJ438" s="44"/>
      <c r="AK438" s="44"/>
      <c r="AL438" s="44"/>
      <c r="AM438" s="44"/>
      <c r="AN438" s="44"/>
      <c r="AO438" s="44"/>
      <c r="AP438" s="44"/>
      <c r="AR438" s="115"/>
    </row>
    <row r="439" spans="1:44" hidden="1" x14ac:dyDescent="0.25">
      <c r="A439" s="149" t="s">
        <v>143</v>
      </c>
      <c r="B439" s="149"/>
      <c r="C439" s="204">
        <v>0</v>
      </c>
      <c r="D439" s="224">
        <v>10.628</v>
      </c>
      <c r="E439" s="206" t="s">
        <v>89</v>
      </c>
      <c r="F439" s="111">
        <f>ROUND(D439*$C439/100*D434,0)</f>
        <v>0</v>
      </c>
      <c r="G439" s="224">
        <f>G427</f>
        <v>10.878</v>
      </c>
      <c r="H439" s="206" t="s">
        <v>89</v>
      </c>
      <c r="I439" s="111">
        <f>ROUND(G439*$C439/100*G434,0)</f>
        <v>0</v>
      </c>
      <c r="J439" s="111"/>
      <c r="K439" s="224" t="e">
        <f>K427</f>
        <v>#REF!</v>
      </c>
      <c r="L439" s="206" t="s">
        <v>89</v>
      </c>
      <c r="M439" s="111" t="e">
        <f>ROUND(K439*$C439/100*K434,0)</f>
        <v>#REF!</v>
      </c>
      <c r="N439" s="111"/>
      <c r="O439" s="224" t="e">
        <f>O427</f>
        <v>#DIV/0!</v>
      </c>
      <c r="P439" s="206" t="s">
        <v>89</v>
      </c>
      <c r="Q439" s="111" t="e">
        <f>ROUND(O439*$C439/100*O434,0)</f>
        <v>#DIV/0!</v>
      </c>
      <c r="R439" s="111"/>
      <c r="S439" s="224" t="e">
        <f>S427</f>
        <v>#DIV/0!</v>
      </c>
      <c r="T439" s="206" t="s">
        <v>89</v>
      </c>
      <c r="U439" s="111" t="e">
        <f>ROUND(S439*$C439/100*S434,0)</f>
        <v>#DIV/0!</v>
      </c>
      <c r="V439" s="44"/>
      <c r="W439" s="91"/>
      <c r="X439" s="91"/>
      <c r="Y439" s="91"/>
      <c r="Z439" s="44"/>
      <c r="AA439" s="44"/>
      <c r="AB439" s="44"/>
      <c r="AC439" s="44"/>
      <c r="AD439" s="44"/>
      <c r="AE439" s="44"/>
      <c r="AF439" s="44"/>
      <c r="AG439" s="44"/>
      <c r="AH439" s="44"/>
      <c r="AI439" s="44"/>
      <c r="AJ439" s="44"/>
      <c r="AK439" s="44"/>
      <c r="AL439" s="44"/>
      <c r="AM439" s="44"/>
      <c r="AN439" s="44"/>
      <c r="AO439" s="44"/>
      <c r="AP439" s="44"/>
      <c r="AR439" s="115"/>
    </row>
    <row r="440" spans="1:44" hidden="1" x14ac:dyDescent="0.25">
      <c r="A440" s="149" t="s">
        <v>131</v>
      </c>
      <c r="B440" s="149"/>
      <c r="C440" s="204">
        <v>0</v>
      </c>
      <c r="D440" s="224">
        <v>7.3410000000000002</v>
      </c>
      <c r="E440" s="206" t="s">
        <v>89</v>
      </c>
      <c r="F440" s="111">
        <f>ROUND(D440*$C440/100*D434,0)</f>
        <v>0</v>
      </c>
      <c r="G440" s="224">
        <f>G428</f>
        <v>7.5140000000000002</v>
      </c>
      <c r="H440" s="206" t="s">
        <v>89</v>
      </c>
      <c r="I440" s="111">
        <f>ROUND(G440*$C440/100*G434,0)</f>
        <v>0</v>
      </c>
      <c r="J440" s="111"/>
      <c r="K440" s="224" t="e">
        <f>K428</f>
        <v>#REF!</v>
      </c>
      <c r="L440" s="206" t="s">
        <v>89</v>
      </c>
      <c r="M440" s="111" t="e">
        <f>ROUND(K440*$C440/100*K434,0)</f>
        <v>#REF!</v>
      </c>
      <c r="N440" s="111"/>
      <c r="O440" s="224" t="e">
        <f>O428</f>
        <v>#DIV/0!</v>
      </c>
      <c r="P440" s="206" t="s">
        <v>89</v>
      </c>
      <c r="Q440" s="111" t="e">
        <f>ROUND(O440*$C440/100*O434,0)</f>
        <v>#DIV/0!</v>
      </c>
      <c r="R440" s="111"/>
      <c r="S440" s="224" t="e">
        <f>S428</f>
        <v>#DIV/0!</v>
      </c>
      <c r="T440" s="206" t="s">
        <v>89</v>
      </c>
      <c r="U440" s="111" t="e">
        <f>ROUND(S440*$C440/100*S434,0)</f>
        <v>#DIV/0!</v>
      </c>
      <c r="V440" s="44"/>
      <c r="W440" s="91"/>
      <c r="X440" s="91"/>
      <c r="Y440" s="91"/>
      <c r="Z440" s="44"/>
      <c r="AA440" s="44"/>
      <c r="AB440" s="44"/>
      <c r="AC440" s="44"/>
      <c r="AD440" s="44"/>
      <c r="AE440" s="44"/>
      <c r="AF440" s="44"/>
      <c r="AG440" s="44"/>
      <c r="AH440" s="44"/>
      <c r="AI440" s="44"/>
      <c r="AJ440" s="44"/>
      <c r="AK440" s="44"/>
      <c r="AL440" s="44"/>
      <c r="AM440" s="44"/>
      <c r="AN440" s="44"/>
      <c r="AO440" s="44"/>
      <c r="AP440" s="44"/>
      <c r="AR440" s="115"/>
    </row>
    <row r="441" spans="1:44" hidden="1" x14ac:dyDescent="0.25">
      <c r="A441" s="149" t="s">
        <v>132</v>
      </c>
      <c r="B441" s="149"/>
      <c r="C441" s="204">
        <v>0</v>
      </c>
      <c r="D441" s="224">
        <v>6.3240000000000007</v>
      </c>
      <c r="E441" s="206" t="s">
        <v>89</v>
      </c>
      <c r="F441" s="111">
        <f>ROUND(D441*$C441/100*D434,0)</f>
        <v>0</v>
      </c>
      <c r="G441" s="224">
        <f>G429</f>
        <v>6.4720000000000004</v>
      </c>
      <c r="H441" s="206" t="s">
        <v>89</v>
      </c>
      <c r="I441" s="111">
        <f>ROUND(G441*$C441/100*G434,0)</f>
        <v>0</v>
      </c>
      <c r="J441" s="111"/>
      <c r="K441" s="224" t="e">
        <f>K429</f>
        <v>#REF!</v>
      </c>
      <c r="L441" s="206" t="s">
        <v>89</v>
      </c>
      <c r="M441" s="111" t="e">
        <f>ROUND(K441*$C441/100*K434,0)</f>
        <v>#REF!</v>
      </c>
      <c r="N441" s="111"/>
      <c r="O441" s="224" t="e">
        <f>O429</f>
        <v>#DIV/0!</v>
      </c>
      <c r="P441" s="206" t="s">
        <v>89</v>
      </c>
      <c r="Q441" s="111" t="e">
        <f>ROUND(O441*$C441/100*O434,0)</f>
        <v>#DIV/0!</v>
      </c>
      <c r="R441" s="111"/>
      <c r="S441" s="224" t="e">
        <f>S429</f>
        <v>#DIV/0!</v>
      </c>
      <c r="T441" s="206" t="s">
        <v>89</v>
      </c>
      <c r="U441" s="111" t="e">
        <f>ROUND(S441*$C441/100*S434,0)</f>
        <v>#DIV/0!</v>
      </c>
      <c r="V441" s="44"/>
      <c r="W441" s="91"/>
      <c r="X441" s="91"/>
      <c r="Y441" s="91"/>
      <c r="Z441" s="44"/>
      <c r="AA441" s="44"/>
      <c r="AB441" s="44"/>
      <c r="AC441" s="44"/>
      <c r="AD441" s="44"/>
      <c r="AE441" s="44"/>
      <c r="AF441" s="44"/>
      <c r="AG441" s="44"/>
      <c r="AH441" s="44"/>
      <c r="AI441" s="44"/>
      <c r="AJ441" s="44"/>
      <c r="AK441" s="44"/>
      <c r="AL441" s="44"/>
      <c r="AM441" s="44"/>
      <c r="AN441" s="44"/>
      <c r="AO441" s="44"/>
      <c r="AP441" s="44"/>
      <c r="AR441" s="115"/>
    </row>
    <row r="442" spans="1:44" hidden="1" x14ac:dyDescent="0.25">
      <c r="A442" s="149" t="s">
        <v>133</v>
      </c>
      <c r="B442" s="149"/>
      <c r="C442" s="204">
        <v>0</v>
      </c>
      <c r="D442" s="225">
        <v>57</v>
      </c>
      <c r="E442" s="206" t="s">
        <v>89</v>
      </c>
      <c r="F442" s="111">
        <f>ROUND(D442*$C442/100*D434,0)</f>
        <v>0</v>
      </c>
      <c r="G442" s="225">
        <f>G430</f>
        <v>58</v>
      </c>
      <c r="H442" s="206" t="s">
        <v>89</v>
      </c>
      <c r="I442" s="111">
        <f>ROUND(G442*$C442/100*G434,0)</f>
        <v>0</v>
      </c>
      <c r="J442" s="111"/>
      <c r="K442" s="225" t="str">
        <f>K430</f>
        <v xml:space="preserve"> </v>
      </c>
      <c r="L442" s="206" t="s">
        <v>89</v>
      </c>
      <c r="M442" s="111">
        <f>ROUND(K442*$C442/100*K434,0)</f>
        <v>0</v>
      </c>
      <c r="N442" s="111"/>
      <c r="O442" s="225" t="e">
        <f>O430</f>
        <v>#DIV/0!</v>
      </c>
      <c r="P442" s="206" t="s">
        <v>89</v>
      </c>
      <c r="Q442" s="111" t="e">
        <f>ROUND(O442*$C442/100*O434,0)</f>
        <v>#DIV/0!</v>
      </c>
      <c r="R442" s="111"/>
      <c r="S442" s="225" t="e">
        <f>S430</f>
        <v>#DIV/0!</v>
      </c>
      <c r="T442" s="206" t="s">
        <v>89</v>
      </c>
      <c r="U442" s="111" t="e">
        <f>ROUND(S442*$C442/100*S434,0)</f>
        <v>#DIV/0!</v>
      </c>
      <c r="V442" s="44"/>
      <c r="W442" s="91"/>
      <c r="X442" s="91"/>
      <c r="Y442" s="91"/>
      <c r="Z442" s="44"/>
      <c r="AA442" s="44"/>
      <c r="AB442" s="44"/>
      <c r="AC442" s="44"/>
      <c r="AD442" s="44"/>
      <c r="AE442" s="44"/>
      <c r="AF442" s="44"/>
      <c r="AG442" s="44"/>
      <c r="AH442" s="44"/>
      <c r="AI442" s="44"/>
      <c r="AJ442" s="44"/>
      <c r="AK442" s="44"/>
      <c r="AL442" s="44"/>
      <c r="AM442" s="44"/>
      <c r="AN442" s="44"/>
      <c r="AO442" s="44"/>
      <c r="AP442" s="44"/>
      <c r="AR442" s="115"/>
    </row>
    <row r="443" spans="1:44" hidden="1" x14ac:dyDescent="0.25">
      <c r="A443" s="149" t="s">
        <v>144</v>
      </c>
      <c r="B443" s="149"/>
      <c r="C443" s="204">
        <v>0</v>
      </c>
      <c r="D443" s="226">
        <v>60</v>
      </c>
      <c r="E443" s="206"/>
      <c r="F443" s="111">
        <f>ROUND(D443*C443,0)</f>
        <v>0</v>
      </c>
      <c r="G443" s="226">
        <f>$G$198</f>
        <v>60</v>
      </c>
      <c r="H443" s="206"/>
      <c r="I443" s="111">
        <f>ROUND(G443*$C443,0)</f>
        <v>0</v>
      </c>
      <c r="J443" s="111"/>
      <c r="K443" s="226" t="str">
        <f>$K$198</f>
        <v xml:space="preserve"> </v>
      </c>
      <c r="L443" s="206"/>
      <c r="M443" s="111">
        <f>ROUND(K443*$C443,0)</f>
        <v>0</v>
      </c>
      <c r="N443" s="111"/>
      <c r="O443" s="226" t="e">
        <f>$O$198</f>
        <v>#DIV/0!</v>
      </c>
      <c r="P443" s="206"/>
      <c r="Q443" s="111" t="e">
        <f>ROUND(O443*$C443,0)</f>
        <v>#DIV/0!</v>
      </c>
      <c r="R443" s="111"/>
      <c r="S443" s="226" t="e">
        <f>$S$198</f>
        <v>#DIV/0!</v>
      </c>
      <c r="T443" s="206"/>
      <c r="U443" s="111" t="e">
        <f>ROUND(S443*$C443,0)</f>
        <v>#DIV/0!</v>
      </c>
      <c r="V443" s="44"/>
      <c r="W443" s="91"/>
      <c r="X443" s="91"/>
      <c r="Y443" s="91"/>
      <c r="Z443" s="44"/>
      <c r="AA443" s="44"/>
      <c r="AB443" s="44"/>
      <c r="AC443" s="44"/>
      <c r="AD443" s="44"/>
      <c r="AE443" s="44"/>
      <c r="AF443" s="44"/>
      <c r="AG443" s="44"/>
      <c r="AH443" s="44"/>
      <c r="AI443" s="44"/>
      <c r="AJ443" s="44"/>
      <c r="AK443" s="44"/>
      <c r="AL443" s="44"/>
      <c r="AM443" s="44"/>
      <c r="AN443" s="44"/>
      <c r="AO443" s="44"/>
      <c r="AP443" s="44"/>
      <c r="AR443" s="115"/>
    </row>
    <row r="444" spans="1:44" hidden="1" x14ac:dyDescent="0.25">
      <c r="A444" s="149" t="s">
        <v>145</v>
      </c>
      <c r="B444" s="149"/>
      <c r="C444" s="204">
        <v>0</v>
      </c>
      <c r="D444" s="227">
        <v>-30</v>
      </c>
      <c r="E444" s="206" t="s">
        <v>89</v>
      </c>
      <c r="F444" s="111">
        <f>ROUND(D444*C444/100,0)</f>
        <v>0</v>
      </c>
      <c r="G444" s="227">
        <f>$G$199</f>
        <v>-30</v>
      </c>
      <c r="H444" s="206" t="s">
        <v>89</v>
      </c>
      <c r="I444" s="111">
        <f>ROUND(G444*$C444/100,0)</f>
        <v>0</v>
      </c>
      <c r="J444" s="111"/>
      <c r="K444" s="227">
        <f>$K$199</f>
        <v>-30</v>
      </c>
      <c r="L444" s="206" t="s">
        <v>89</v>
      </c>
      <c r="M444" s="111">
        <f>ROUND(K444*$C444/100,0)</f>
        <v>0</v>
      </c>
      <c r="N444" s="111"/>
      <c r="O444" s="227" t="str">
        <f>$O$199</f>
        <v xml:space="preserve"> </v>
      </c>
      <c r="P444" s="206" t="s">
        <v>89</v>
      </c>
      <c r="Q444" s="111">
        <f>ROUND(O444*$C444/100,0)</f>
        <v>0</v>
      </c>
      <c r="R444" s="111"/>
      <c r="S444" s="227" t="str">
        <f>$S$199</f>
        <v xml:space="preserve"> </v>
      </c>
      <c r="T444" s="206" t="s">
        <v>89</v>
      </c>
      <c r="U444" s="111">
        <f>ROUND(S444*$C444/100,0)</f>
        <v>0</v>
      </c>
      <c r="V444" s="44"/>
      <c r="W444" s="91"/>
      <c r="X444" s="91"/>
      <c r="Y444" s="91"/>
      <c r="Z444" s="44"/>
      <c r="AA444" s="44"/>
      <c r="AB444" s="44"/>
      <c r="AC444" s="44"/>
      <c r="AD444" s="44"/>
      <c r="AE444" s="44"/>
      <c r="AF444" s="44"/>
      <c r="AG444" s="44"/>
      <c r="AH444" s="44"/>
      <c r="AI444" s="44"/>
      <c r="AJ444" s="44"/>
      <c r="AK444" s="44"/>
      <c r="AL444" s="44"/>
      <c r="AM444" s="44"/>
      <c r="AN444" s="44"/>
      <c r="AO444" s="44"/>
      <c r="AP444" s="44"/>
      <c r="AR444" s="115"/>
    </row>
    <row r="445" spans="1:44" s="120" customFormat="1" hidden="1" x14ac:dyDescent="0.25">
      <c r="A445" s="119" t="s">
        <v>134</v>
      </c>
      <c r="C445" s="121">
        <f>C439</f>
        <v>0</v>
      </c>
      <c r="D445" s="128">
        <v>0</v>
      </c>
      <c r="E445" s="122"/>
      <c r="F445" s="123"/>
      <c r="G445" s="124">
        <f>G183</f>
        <v>0</v>
      </c>
      <c r="H445" s="215" t="s">
        <v>89</v>
      </c>
      <c r="I445" s="111">
        <f>ROUND(G445*$C445/100*G434,0)</f>
        <v>0</v>
      </c>
      <c r="J445" s="111"/>
      <c r="K445" s="124" t="str">
        <f>K183</f>
        <v xml:space="preserve"> </v>
      </c>
      <c r="L445" s="215" t="s">
        <v>89</v>
      </c>
      <c r="M445" s="111">
        <f>ROUND(K445*$C445/100*K434,0)</f>
        <v>0</v>
      </c>
      <c r="N445" s="111"/>
      <c r="O445" s="124" t="str">
        <f>O183</f>
        <v xml:space="preserve"> </v>
      </c>
      <c r="P445" s="215" t="s">
        <v>89</v>
      </c>
      <c r="Q445" s="111">
        <f>ROUND(O445*$C445/100*O434,0)</f>
        <v>0</v>
      </c>
      <c r="R445" s="111"/>
      <c r="S445" s="124">
        <f>S183</f>
        <v>0</v>
      </c>
      <c r="T445" s="215" t="s">
        <v>89</v>
      </c>
      <c r="U445" s="111">
        <f>ROUND(S445*$C445/100*S434,0)</f>
        <v>0</v>
      </c>
      <c r="W445" s="112"/>
      <c r="Z445" s="127"/>
      <c r="AA445" s="127"/>
      <c r="AF445" s="122"/>
      <c r="AG445" s="122"/>
      <c r="AH445" s="122"/>
      <c r="AI445" s="122"/>
      <c r="AJ445" s="122"/>
      <c r="AK445" s="122"/>
      <c r="AL445" s="122"/>
      <c r="AM445" s="122"/>
      <c r="AN445" s="122"/>
      <c r="AO445" s="122"/>
      <c r="AP445" s="122"/>
      <c r="AR445" s="126"/>
    </row>
    <row r="446" spans="1:44" s="120" customFormat="1" hidden="1" x14ac:dyDescent="0.25">
      <c r="A446" s="119" t="s">
        <v>135</v>
      </c>
      <c r="C446" s="121">
        <f>C440</f>
        <v>0</v>
      </c>
      <c r="D446" s="128">
        <v>0</v>
      </c>
      <c r="E446" s="122"/>
      <c r="F446" s="123"/>
      <c r="G446" s="124">
        <f>G184</f>
        <v>0</v>
      </c>
      <c r="H446" s="215" t="s">
        <v>89</v>
      </c>
      <c r="I446" s="111">
        <f>ROUND(G446*$C446/100*G434,0)</f>
        <v>0</v>
      </c>
      <c r="J446" s="111"/>
      <c r="K446" s="124" t="str">
        <f>K184</f>
        <v xml:space="preserve"> </v>
      </c>
      <c r="L446" s="215" t="s">
        <v>89</v>
      </c>
      <c r="M446" s="111">
        <f>ROUND(K446*$C446/100*K434,0)</f>
        <v>0</v>
      </c>
      <c r="N446" s="111"/>
      <c r="O446" s="124" t="str">
        <f>O184</f>
        <v xml:space="preserve"> </v>
      </c>
      <c r="P446" s="215" t="s">
        <v>89</v>
      </c>
      <c r="Q446" s="111">
        <f>ROUND(O446*$C446/100*O434,0)</f>
        <v>0</v>
      </c>
      <c r="R446" s="111"/>
      <c r="S446" s="124">
        <f>S184</f>
        <v>0</v>
      </c>
      <c r="T446" s="215" t="s">
        <v>89</v>
      </c>
      <c r="U446" s="111">
        <f>ROUND(S446*$C446/100*S434,0)</f>
        <v>0</v>
      </c>
      <c r="W446" s="112"/>
      <c r="Z446" s="127"/>
      <c r="AA446" s="127"/>
      <c r="AF446" s="122"/>
      <c r="AG446" s="122"/>
      <c r="AH446" s="122"/>
      <c r="AI446" s="122"/>
      <c r="AJ446" s="122"/>
      <c r="AK446" s="122"/>
      <c r="AL446" s="122"/>
      <c r="AM446" s="122"/>
      <c r="AN446" s="122"/>
      <c r="AO446" s="122"/>
      <c r="AP446" s="122"/>
      <c r="AR446" s="126"/>
    </row>
    <row r="447" spans="1:44" s="120" customFormat="1" hidden="1" x14ac:dyDescent="0.25">
      <c r="A447" s="119" t="s">
        <v>136</v>
      </c>
      <c r="C447" s="121">
        <f>C441</f>
        <v>0</v>
      </c>
      <c r="D447" s="128">
        <v>0</v>
      </c>
      <c r="E447" s="122"/>
      <c r="F447" s="123"/>
      <c r="G447" s="124">
        <f>G185</f>
        <v>0</v>
      </c>
      <c r="H447" s="215" t="s">
        <v>89</v>
      </c>
      <c r="I447" s="111">
        <f>ROUND(G447*$C447/100*G434,0)</f>
        <v>0</v>
      </c>
      <c r="J447" s="111"/>
      <c r="K447" s="124" t="str">
        <f>K185</f>
        <v xml:space="preserve"> </v>
      </c>
      <c r="L447" s="215" t="s">
        <v>89</v>
      </c>
      <c r="M447" s="111">
        <f>ROUND(K447*$C447/100*K434,0)</f>
        <v>0</v>
      </c>
      <c r="N447" s="111"/>
      <c r="O447" s="124" t="str">
        <f>O185</f>
        <v xml:space="preserve"> </v>
      </c>
      <c r="P447" s="215" t="s">
        <v>89</v>
      </c>
      <c r="Q447" s="111">
        <f>ROUND(O447*$C447/100*O434,0)</f>
        <v>0</v>
      </c>
      <c r="R447" s="111"/>
      <c r="S447" s="124">
        <f>S185</f>
        <v>0</v>
      </c>
      <c r="T447" s="215" t="s">
        <v>89</v>
      </c>
      <c r="U447" s="111">
        <f>ROUND(S447*$C447/100*S434,0)</f>
        <v>0</v>
      </c>
      <c r="W447" s="112"/>
      <c r="Z447" s="127"/>
      <c r="AA447" s="127"/>
      <c r="AF447" s="122"/>
      <c r="AG447" s="122"/>
      <c r="AH447" s="122"/>
      <c r="AI447" s="122"/>
      <c r="AJ447" s="122"/>
      <c r="AK447" s="122"/>
      <c r="AL447" s="122"/>
      <c r="AM447" s="122"/>
      <c r="AN447" s="122"/>
      <c r="AO447" s="122"/>
      <c r="AP447" s="122"/>
      <c r="AR447" s="126"/>
    </row>
    <row r="448" spans="1:44" hidden="1" x14ac:dyDescent="0.25">
      <c r="A448" s="149" t="s">
        <v>114</v>
      </c>
      <c r="B448" s="149"/>
      <c r="C448" s="204">
        <f>SUM(C427:C429)</f>
        <v>33312</v>
      </c>
      <c r="D448" s="212"/>
      <c r="E448" s="206"/>
      <c r="F448" s="111">
        <f>SUM(F421:F444)</f>
        <v>8572</v>
      </c>
      <c r="G448" s="212"/>
      <c r="H448" s="206"/>
      <c r="I448" s="111">
        <f>SUM(I421:I447)</f>
        <v>8774</v>
      </c>
      <c r="J448" s="111"/>
      <c r="K448" s="212"/>
      <c r="L448" s="206"/>
      <c r="M448" s="111" t="e">
        <f>SUM(M421:M447)</f>
        <v>#REF!</v>
      </c>
      <c r="N448" s="111"/>
      <c r="O448" s="212"/>
      <c r="P448" s="206"/>
      <c r="Q448" s="111" t="e">
        <f>SUM(Q421:Q447)</f>
        <v>#DIV/0!</v>
      </c>
      <c r="R448" s="111"/>
      <c r="S448" s="212"/>
      <c r="T448" s="206"/>
      <c r="U448" s="111" t="e">
        <f>SUM(U421:U447)</f>
        <v>#DIV/0!</v>
      </c>
      <c r="V448" s="44"/>
      <c r="W448" s="91"/>
      <c r="X448" s="91"/>
      <c r="Y448" s="91"/>
      <c r="Z448" s="44"/>
      <c r="AA448" s="44"/>
      <c r="AB448" s="44"/>
      <c r="AC448" s="44"/>
      <c r="AD448" s="44"/>
      <c r="AE448" s="44"/>
      <c r="AF448" s="44"/>
      <c r="AG448" s="44"/>
      <c r="AH448" s="44"/>
      <c r="AI448" s="44"/>
      <c r="AJ448" s="44"/>
      <c r="AK448" s="44"/>
      <c r="AL448" s="44"/>
      <c r="AM448" s="44"/>
      <c r="AN448" s="44"/>
      <c r="AO448" s="44"/>
      <c r="AP448" s="44"/>
      <c r="AR448" s="115"/>
    </row>
    <row r="449" spans="1:44" hidden="1" x14ac:dyDescent="0.25">
      <c r="A449" s="149" t="s">
        <v>92</v>
      </c>
      <c r="B449" s="149"/>
      <c r="C449" s="248">
        <v>103.57381938517956</v>
      </c>
      <c r="D449" s="134"/>
      <c r="E449" s="134"/>
      <c r="F449" s="230">
        <v>26.103189482042787</v>
      </c>
      <c r="G449" s="134"/>
      <c r="H449" s="134"/>
      <c r="I449" s="230">
        <f>F449</f>
        <v>26.103189482042787</v>
      </c>
      <c r="J449" s="207"/>
      <c r="K449" s="134"/>
      <c r="L449" s="134"/>
      <c r="M449" s="230" t="e">
        <f>M204/I204*I449</f>
        <v>#DIV/0!</v>
      </c>
      <c r="N449" s="207"/>
      <c r="O449" s="134"/>
      <c r="P449" s="134"/>
      <c r="Q449" s="230" t="e">
        <f>Q204/I204*I449</f>
        <v>#DIV/0!</v>
      </c>
      <c r="R449" s="207"/>
      <c r="S449" s="134"/>
      <c r="T449" s="134"/>
      <c r="U449" s="230" t="e">
        <f>U204/I204*I449</f>
        <v>#DIV/0!</v>
      </c>
      <c r="V449" s="165"/>
      <c r="W449" s="163"/>
      <c r="X449" s="91"/>
      <c r="Y449" s="91"/>
      <c r="Z449" s="44"/>
      <c r="AA449" s="44"/>
      <c r="AB449" s="44"/>
      <c r="AC449" s="44"/>
      <c r="AD449" s="44"/>
      <c r="AE449" s="44"/>
      <c r="AF449" s="44"/>
      <c r="AG449" s="44"/>
      <c r="AH449" s="44"/>
      <c r="AI449" s="44"/>
      <c r="AJ449" s="44"/>
      <c r="AK449" s="44"/>
      <c r="AL449" s="44"/>
      <c r="AM449" s="44"/>
      <c r="AN449" s="44"/>
      <c r="AO449" s="44"/>
      <c r="AP449" s="44"/>
      <c r="AR449" s="115"/>
    </row>
    <row r="450" spans="1:44" ht="16.5" hidden="1" thickBot="1" x14ac:dyDescent="0.3">
      <c r="A450" s="149" t="s">
        <v>115</v>
      </c>
      <c r="B450" s="149"/>
      <c r="C450" s="192">
        <f>SUM(C448:C449)</f>
        <v>33415.573819385179</v>
      </c>
      <c r="D450" s="245"/>
      <c r="E450" s="232"/>
      <c r="F450" s="233">
        <f>F448+F449</f>
        <v>8598.1031894820426</v>
      </c>
      <c r="G450" s="245"/>
      <c r="H450" s="232"/>
      <c r="I450" s="233">
        <f>I448+I449</f>
        <v>8800.1031894820426</v>
      </c>
      <c r="J450" s="207"/>
      <c r="K450" s="245"/>
      <c r="L450" s="232"/>
      <c r="M450" s="233" t="e">
        <f>M448+M449</f>
        <v>#REF!</v>
      </c>
      <c r="N450" s="233"/>
      <c r="O450" s="245"/>
      <c r="P450" s="232"/>
      <c r="Q450" s="233" t="e">
        <f>Q448+Q449</f>
        <v>#DIV/0!</v>
      </c>
      <c r="R450" s="233"/>
      <c r="S450" s="245"/>
      <c r="T450" s="232"/>
      <c r="U450" s="233" t="e">
        <f>U448+U449</f>
        <v>#DIV/0!</v>
      </c>
      <c r="V450" s="166"/>
      <c r="W450" s="167"/>
      <c r="X450" s="91"/>
      <c r="Y450" s="91"/>
      <c r="Z450" s="44"/>
      <c r="AA450" s="44"/>
      <c r="AB450" s="44"/>
      <c r="AC450" s="44"/>
      <c r="AD450" s="44"/>
      <c r="AE450" s="44"/>
      <c r="AF450" s="44"/>
      <c r="AG450" s="44"/>
      <c r="AH450" s="44"/>
      <c r="AI450" s="44"/>
      <c r="AJ450" s="44"/>
      <c r="AK450" s="44"/>
      <c r="AL450" s="44"/>
      <c r="AM450" s="44"/>
      <c r="AN450" s="44"/>
      <c r="AO450" s="44"/>
      <c r="AP450" s="44"/>
      <c r="AR450" s="115"/>
    </row>
    <row r="451" spans="1:44" hidden="1" x14ac:dyDescent="0.25">
      <c r="A451" s="149"/>
      <c r="B451" s="149"/>
      <c r="C451" s="169"/>
      <c r="D451" s="226" t="s">
        <v>0</v>
      </c>
      <c r="E451" s="149"/>
      <c r="F451" s="111"/>
      <c r="G451" s="250" t="s">
        <v>0</v>
      </c>
      <c r="H451" s="149"/>
      <c r="I451" s="111" t="s">
        <v>0</v>
      </c>
      <c r="J451" s="111"/>
      <c r="K451" s="250" t="s">
        <v>0</v>
      </c>
      <c r="L451" s="149"/>
      <c r="M451" s="111" t="s">
        <v>0</v>
      </c>
      <c r="N451" s="111"/>
      <c r="O451" s="250" t="s">
        <v>0</v>
      </c>
      <c r="P451" s="149"/>
      <c r="Q451" s="111" t="s">
        <v>0</v>
      </c>
      <c r="R451" s="111"/>
      <c r="S451" s="250" t="s">
        <v>0</v>
      </c>
      <c r="T451" s="149"/>
      <c r="U451" s="111" t="s">
        <v>0</v>
      </c>
      <c r="V451" s="44"/>
      <c r="W451" s="91"/>
      <c r="X451" s="91"/>
      <c r="Y451" s="91"/>
      <c r="Z451" s="44"/>
      <c r="AA451" s="44"/>
      <c r="AB451" s="44"/>
      <c r="AC451" s="44"/>
      <c r="AD451" s="44"/>
      <c r="AE451" s="44"/>
      <c r="AF451" s="44"/>
      <c r="AG451" s="44"/>
      <c r="AH451" s="44"/>
      <c r="AI451" s="44"/>
      <c r="AJ451" s="44"/>
      <c r="AK451" s="44"/>
      <c r="AL451" s="44"/>
      <c r="AM451" s="44"/>
      <c r="AN451" s="44"/>
      <c r="AO451" s="44"/>
      <c r="AP451" s="44"/>
      <c r="AR451" s="115"/>
    </row>
    <row r="452" spans="1:44" hidden="1" x14ac:dyDescent="0.25">
      <c r="A452" s="149"/>
      <c r="B452" s="149"/>
      <c r="C452" s="169"/>
      <c r="D452" s="226" t="s">
        <v>0</v>
      </c>
      <c r="E452" s="149"/>
      <c r="F452" s="111"/>
      <c r="G452" s="250" t="s">
        <v>0</v>
      </c>
      <c r="H452" s="149"/>
      <c r="I452" s="111" t="s">
        <v>0</v>
      </c>
      <c r="J452" s="111"/>
      <c r="K452" s="250" t="s">
        <v>0</v>
      </c>
      <c r="L452" s="149"/>
      <c r="M452" s="111" t="s">
        <v>0</v>
      </c>
      <c r="N452" s="111"/>
      <c r="O452" s="250" t="s">
        <v>0</v>
      </c>
      <c r="P452" s="149"/>
      <c r="Q452" s="111" t="s">
        <v>0</v>
      </c>
      <c r="R452" s="111"/>
      <c r="S452" s="250" t="s">
        <v>0</v>
      </c>
      <c r="T452" s="149"/>
      <c r="U452" s="111" t="s">
        <v>0</v>
      </c>
      <c r="V452" s="44"/>
      <c r="W452" s="91"/>
      <c r="X452" s="91"/>
      <c r="Y452" s="91"/>
      <c r="Z452" s="44"/>
      <c r="AA452" s="44"/>
      <c r="AB452" s="44"/>
      <c r="AC452" s="44"/>
      <c r="AD452" s="44"/>
      <c r="AE452" s="44"/>
      <c r="AF452" s="44"/>
      <c r="AG452" s="44"/>
      <c r="AH452" s="44"/>
      <c r="AI452" s="44"/>
      <c r="AJ452" s="44"/>
      <c r="AK452" s="44"/>
      <c r="AL452" s="44"/>
      <c r="AM452" s="44"/>
      <c r="AN452" s="44"/>
      <c r="AO452" s="44"/>
      <c r="AP452" s="44"/>
      <c r="AR452" s="115"/>
    </row>
    <row r="453" spans="1:44" hidden="1" x14ac:dyDescent="0.25">
      <c r="A453" s="168" t="s">
        <v>155</v>
      </c>
      <c r="B453" s="149"/>
      <c r="C453" s="149"/>
      <c r="D453" s="111"/>
      <c r="E453" s="149"/>
      <c r="F453" s="149"/>
      <c r="G453" s="111"/>
      <c r="H453" s="149"/>
      <c r="I453" s="149"/>
      <c r="J453" s="149"/>
      <c r="K453" s="111"/>
      <c r="L453" s="149"/>
      <c r="M453" s="149"/>
      <c r="N453" s="149"/>
      <c r="O453" s="111"/>
      <c r="P453" s="149"/>
      <c r="Q453" s="149"/>
      <c r="R453" s="149"/>
      <c r="S453" s="111"/>
      <c r="T453" s="149"/>
      <c r="U453" s="149"/>
      <c r="V453" s="44"/>
      <c r="W453" s="91"/>
      <c r="X453" s="91"/>
      <c r="Y453" s="91"/>
      <c r="Z453" s="44"/>
      <c r="AA453" s="44"/>
      <c r="AB453" s="44"/>
      <c r="AC453" s="44"/>
      <c r="AD453" s="44"/>
      <c r="AE453" s="44"/>
      <c r="AF453" s="44"/>
      <c r="AG453" s="44"/>
      <c r="AH453" s="44"/>
      <c r="AI453" s="44"/>
      <c r="AJ453" s="44"/>
      <c r="AK453" s="44"/>
      <c r="AL453" s="44"/>
      <c r="AM453" s="44"/>
      <c r="AN453" s="44"/>
      <c r="AO453" s="44"/>
      <c r="AP453" s="44"/>
      <c r="AR453" s="115"/>
    </row>
    <row r="454" spans="1:44" hidden="1" x14ac:dyDescent="0.25">
      <c r="A454" s="149" t="s">
        <v>147</v>
      </c>
      <c r="B454" s="149"/>
      <c r="C454" s="149"/>
      <c r="D454" s="111"/>
      <c r="E454" s="149"/>
      <c r="F454" s="149"/>
      <c r="G454" s="111"/>
      <c r="H454" s="149"/>
      <c r="I454" s="149"/>
      <c r="J454" s="149"/>
      <c r="K454" s="111"/>
      <c r="L454" s="149"/>
      <c r="M454" s="149"/>
      <c r="N454" s="149"/>
      <c r="O454" s="111"/>
      <c r="P454" s="149"/>
      <c r="Q454" s="149"/>
      <c r="R454" s="149"/>
      <c r="S454" s="111"/>
      <c r="T454" s="149"/>
      <c r="U454" s="149"/>
      <c r="V454" s="44"/>
      <c r="W454" s="91"/>
      <c r="X454" s="91"/>
      <c r="Y454" s="91"/>
      <c r="Z454" s="44"/>
      <c r="AA454" s="44"/>
      <c r="AB454" s="44"/>
      <c r="AC454" s="44"/>
      <c r="AD454" s="44"/>
      <c r="AE454" s="44"/>
      <c r="AF454" s="44"/>
      <c r="AG454" s="44"/>
      <c r="AH454" s="44"/>
      <c r="AI454" s="44"/>
      <c r="AJ454" s="44"/>
      <c r="AK454" s="44"/>
      <c r="AL454" s="44"/>
      <c r="AM454" s="44"/>
      <c r="AN454" s="44"/>
      <c r="AO454" s="44"/>
      <c r="AP454" s="44"/>
    </row>
    <row r="455" spans="1:44" hidden="1" x14ac:dyDescent="0.25">
      <c r="A455" s="149" t="s">
        <v>156</v>
      </c>
      <c r="B455" s="149"/>
      <c r="C455" s="149"/>
      <c r="D455" s="111"/>
      <c r="E455" s="149"/>
      <c r="F455" s="149"/>
      <c r="G455" s="111"/>
      <c r="H455" s="149"/>
      <c r="I455" s="149"/>
      <c r="J455" s="149"/>
      <c r="K455" s="111"/>
      <c r="L455" s="149"/>
      <c r="M455" s="149"/>
      <c r="N455" s="149"/>
      <c r="O455" s="111"/>
      <c r="P455" s="149"/>
      <c r="Q455" s="149"/>
      <c r="R455" s="149"/>
      <c r="S455" s="111"/>
      <c r="T455" s="149"/>
      <c r="U455" s="149"/>
      <c r="V455" s="44"/>
      <c r="W455" s="91"/>
      <c r="X455" s="91"/>
      <c r="Y455" s="91"/>
      <c r="Z455" s="44"/>
      <c r="AA455" s="44"/>
      <c r="AB455" s="44"/>
      <c r="AC455" s="44"/>
      <c r="AD455" s="44"/>
      <c r="AE455" s="44"/>
      <c r="AF455" s="44"/>
      <c r="AG455" s="44"/>
      <c r="AH455" s="44"/>
      <c r="AI455" s="44"/>
      <c r="AJ455" s="44"/>
      <c r="AK455" s="44"/>
      <c r="AL455" s="44"/>
      <c r="AM455" s="44"/>
      <c r="AN455" s="44"/>
      <c r="AO455" s="44"/>
      <c r="AP455" s="44"/>
    </row>
    <row r="456" spans="1:44" hidden="1" x14ac:dyDescent="0.25">
      <c r="A456" s="149" t="s">
        <v>127</v>
      </c>
      <c r="B456" s="149"/>
      <c r="C456" s="204"/>
      <c r="D456" s="111"/>
      <c r="E456" s="149"/>
      <c r="F456" s="149"/>
      <c r="G456" s="111"/>
      <c r="H456" s="149"/>
      <c r="I456" s="149"/>
      <c r="J456" s="149"/>
      <c r="K456" s="111"/>
      <c r="L456" s="149"/>
      <c r="M456" s="149"/>
      <c r="N456" s="149"/>
      <c r="O456" s="111"/>
      <c r="P456" s="149"/>
      <c r="Q456" s="149"/>
      <c r="R456" s="149"/>
      <c r="S456" s="111"/>
      <c r="T456" s="149"/>
      <c r="U456" s="149"/>
      <c r="V456" s="44"/>
      <c r="W456" s="91"/>
      <c r="X456" s="91"/>
      <c r="Y456" s="91"/>
      <c r="Z456" s="44"/>
      <c r="AA456" s="44"/>
      <c r="AB456" s="44"/>
      <c r="AC456" s="44"/>
      <c r="AD456" s="44"/>
      <c r="AE456" s="44"/>
      <c r="AF456" s="44"/>
      <c r="AG456" s="44"/>
      <c r="AH456" s="44"/>
      <c r="AI456" s="44"/>
      <c r="AJ456" s="44"/>
      <c r="AK456" s="44"/>
      <c r="AL456" s="44"/>
      <c r="AM456" s="44"/>
      <c r="AN456" s="44"/>
      <c r="AO456" s="44"/>
      <c r="AP456" s="44"/>
    </row>
    <row r="457" spans="1:44" hidden="1" x14ac:dyDescent="0.25">
      <c r="A457" s="149" t="s">
        <v>124</v>
      </c>
      <c r="B457" s="149"/>
      <c r="C457" s="204">
        <f t="shared" ref="C457:C466" si="94">C492+C527</f>
        <v>2</v>
      </c>
      <c r="D457" s="173">
        <v>117.12</v>
      </c>
      <c r="E457" s="206"/>
      <c r="F457" s="111">
        <f>F492+F527</f>
        <v>234</v>
      </c>
      <c r="G457" s="173">
        <f>$G$169</f>
        <v>119.88</v>
      </c>
      <c r="H457" s="206"/>
      <c r="I457" s="111">
        <f>I492+I527</f>
        <v>240</v>
      </c>
      <c r="J457" s="111"/>
      <c r="K457" s="173">
        <f>$K$169</f>
        <v>117.12</v>
      </c>
      <c r="L457" s="206"/>
      <c r="M457" s="111">
        <f>M492+M527</f>
        <v>234</v>
      </c>
      <c r="N457" s="111"/>
      <c r="O457" s="173" t="str">
        <f>$O$169</f>
        <v xml:space="preserve"> </v>
      </c>
      <c r="P457" s="206"/>
      <c r="Q457" s="111">
        <f>Q492+Q527</f>
        <v>0</v>
      </c>
      <c r="R457" s="111"/>
      <c r="S457" s="173" t="str">
        <f>$S$169</f>
        <v xml:space="preserve"> </v>
      </c>
      <c r="T457" s="206"/>
      <c r="U457" s="111">
        <f>U492+U527</f>
        <v>0</v>
      </c>
      <c r="V457" s="44"/>
      <c r="W457" s="91"/>
      <c r="X457" s="91"/>
      <c r="Y457" s="91"/>
      <c r="Z457" s="44"/>
      <c r="AA457" s="44"/>
      <c r="AB457" s="44"/>
      <c r="AC457" s="44"/>
      <c r="AD457" s="44"/>
      <c r="AE457" s="44"/>
      <c r="AF457" s="44"/>
      <c r="AG457" s="44"/>
      <c r="AH457" s="44"/>
      <c r="AI457" s="44"/>
      <c r="AJ457" s="44"/>
      <c r="AK457" s="44"/>
      <c r="AL457" s="44"/>
      <c r="AM457" s="44"/>
      <c r="AN457" s="44"/>
      <c r="AO457" s="44"/>
      <c r="AP457" s="44"/>
    </row>
    <row r="458" spans="1:44" hidden="1" x14ac:dyDescent="0.25">
      <c r="A458" s="149" t="s">
        <v>125</v>
      </c>
      <c r="B458" s="149"/>
      <c r="C458" s="204">
        <f t="shared" si="94"/>
        <v>82.084931506849301</v>
      </c>
      <c r="D458" s="173">
        <v>174.48</v>
      </c>
      <c r="E458" s="208"/>
      <c r="F458" s="111">
        <f>F493+F528</f>
        <v>14322</v>
      </c>
      <c r="G458" s="173">
        <f>$G$170</f>
        <v>178.68</v>
      </c>
      <c r="H458" s="208"/>
      <c r="I458" s="111">
        <f>I493+I528</f>
        <v>14667</v>
      </c>
      <c r="J458" s="111"/>
      <c r="K458" s="173">
        <f>$K$170</f>
        <v>174.48</v>
      </c>
      <c r="L458" s="208"/>
      <c r="M458" s="111">
        <f>M493+M528</f>
        <v>14322</v>
      </c>
      <c r="N458" s="111"/>
      <c r="O458" s="173" t="str">
        <f>$O$170</f>
        <v xml:space="preserve"> </v>
      </c>
      <c r="P458" s="208"/>
      <c r="Q458" s="111">
        <f>Q493+Q528</f>
        <v>0</v>
      </c>
      <c r="R458" s="111"/>
      <c r="S458" s="173" t="str">
        <f>$S$170</f>
        <v xml:space="preserve"> </v>
      </c>
      <c r="T458" s="208"/>
      <c r="U458" s="111">
        <f>U493+U528</f>
        <v>0</v>
      </c>
      <c r="V458" s="44"/>
      <c r="W458" s="91"/>
      <c r="X458" s="91"/>
      <c r="Y458" s="91"/>
      <c r="Z458" s="44"/>
      <c r="AA458" s="44"/>
      <c r="AB458" s="44"/>
      <c r="AC458" s="44"/>
      <c r="AD458" s="44"/>
      <c r="AE458" s="44"/>
      <c r="AF458" s="44"/>
      <c r="AG458" s="44"/>
      <c r="AH458" s="44"/>
      <c r="AI458" s="44"/>
      <c r="AJ458" s="44"/>
      <c r="AK458" s="44"/>
      <c r="AL458" s="44"/>
      <c r="AM458" s="44"/>
      <c r="AN458" s="44"/>
      <c r="AO458" s="44"/>
      <c r="AP458" s="44"/>
    </row>
    <row r="459" spans="1:44" hidden="1" x14ac:dyDescent="0.25">
      <c r="A459" s="149" t="s">
        <v>126</v>
      </c>
      <c r="B459" s="149"/>
      <c r="C459" s="204">
        <f t="shared" si="94"/>
        <v>2770.9452054794501</v>
      </c>
      <c r="D459" s="173">
        <v>12.24</v>
      </c>
      <c r="E459" s="208"/>
      <c r="F459" s="111">
        <f>F494+F529</f>
        <v>33916</v>
      </c>
      <c r="G459" s="173">
        <f>$G$171</f>
        <v>12.48</v>
      </c>
      <c r="H459" s="208"/>
      <c r="I459" s="111">
        <f>I494+I529</f>
        <v>34581</v>
      </c>
      <c r="J459" s="111"/>
      <c r="K459" s="173">
        <f>$K$171</f>
        <v>12.24</v>
      </c>
      <c r="L459" s="208"/>
      <c r="M459" s="111">
        <f>M494+M529</f>
        <v>33916</v>
      </c>
      <c r="N459" s="111"/>
      <c r="O459" s="173" t="str">
        <f>$O$171</f>
        <v xml:space="preserve"> </v>
      </c>
      <c r="P459" s="208"/>
      <c r="Q459" s="111">
        <f>Q494+Q529</f>
        <v>0</v>
      </c>
      <c r="R459" s="111"/>
      <c r="S459" s="173" t="str">
        <f>$S$171</f>
        <v xml:space="preserve"> </v>
      </c>
      <c r="T459" s="208"/>
      <c r="U459" s="111">
        <f>U494+U529</f>
        <v>0</v>
      </c>
      <c r="V459" s="44"/>
      <c r="W459" s="91"/>
      <c r="X459" s="91"/>
      <c r="Y459" s="91"/>
      <c r="Z459" s="44"/>
      <c r="AA459" s="44"/>
      <c r="AB459" s="44"/>
      <c r="AC459" s="44"/>
      <c r="AD459" s="44"/>
      <c r="AE459" s="44"/>
      <c r="AF459" s="44"/>
      <c r="AG459" s="44"/>
      <c r="AH459" s="44"/>
      <c r="AI459" s="44"/>
      <c r="AJ459" s="44"/>
      <c r="AK459" s="44"/>
      <c r="AL459" s="44"/>
      <c r="AM459" s="44"/>
      <c r="AN459" s="44"/>
      <c r="AO459" s="44"/>
      <c r="AP459" s="44"/>
    </row>
    <row r="460" spans="1:44" hidden="1" x14ac:dyDescent="0.25">
      <c r="A460" s="149" t="s">
        <v>128</v>
      </c>
      <c r="B460" s="149"/>
      <c r="C460" s="204">
        <f t="shared" si="94"/>
        <v>84.084931506849301</v>
      </c>
      <c r="D460" s="173"/>
      <c r="E460" s="206"/>
      <c r="F460" s="111"/>
      <c r="G460" s="173"/>
      <c r="H460" s="206"/>
      <c r="I460" s="111"/>
      <c r="J460" s="111"/>
      <c r="K460" s="173"/>
      <c r="L460" s="206"/>
      <c r="M460" s="111"/>
      <c r="N460" s="111"/>
      <c r="O460" s="173"/>
      <c r="P460" s="206"/>
      <c r="Q460" s="111"/>
      <c r="R460" s="111"/>
      <c r="S460" s="173"/>
      <c r="T460" s="206"/>
      <c r="U460" s="111"/>
      <c r="V460" s="44"/>
      <c r="W460" s="91"/>
      <c r="X460" s="91"/>
      <c r="Y460" s="91"/>
      <c r="Z460" s="44"/>
      <c r="AA460" s="44"/>
      <c r="AB460" s="44"/>
      <c r="AC460" s="44"/>
      <c r="AD460" s="44"/>
      <c r="AE460" s="44"/>
      <c r="AF460" s="44"/>
      <c r="AG460" s="44"/>
      <c r="AH460" s="44"/>
      <c r="AI460" s="44"/>
      <c r="AJ460" s="44"/>
      <c r="AK460" s="44"/>
      <c r="AL460" s="44"/>
      <c r="AM460" s="44"/>
      <c r="AN460" s="44"/>
      <c r="AO460" s="44"/>
      <c r="AP460" s="44"/>
    </row>
    <row r="461" spans="1:44" hidden="1" x14ac:dyDescent="0.25">
      <c r="A461" s="149" t="s">
        <v>157</v>
      </c>
      <c r="B461" s="149"/>
      <c r="C461" s="204">
        <f t="shared" si="94"/>
        <v>979.36817460317491</v>
      </c>
      <c r="D461" s="173"/>
      <c r="E461" s="206"/>
      <c r="F461" s="111"/>
      <c r="G461" s="173"/>
      <c r="H461" s="206"/>
      <c r="I461" s="111"/>
      <c r="J461" s="111"/>
      <c r="K461" s="173"/>
      <c r="L461" s="206"/>
      <c r="M461" s="111"/>
      <c r="N461" s="111"/>
      <c r="O461" s="173"/>
      <c r="P461" s="206"/>
      <c r="Q461" s="111"/>
      <c r="R461" s="111"/>
      <c r="S461" s="173"/>
      <c r="T461" s="206"/>
      <c r="U461" s="111"/>
      <c r="V461" s="44"/>
      <c r="W461" s="91"/>
      <c r="X461" s="91"/>
      <c r="Y461" s="91"/>
      <c r="Z461" s="44"/>
      <c r="AA461" s="44"/>
      <c r="AB461" s="44"/>
      <c r="AC461" s="44"/>
      <c r="AD461" s="44"/>
      <c r="AE461" s="44"/>
      <c r="AF461" s="44"/>
      <c r="AG461" s="44"/>
      <c r="AH461" s="44"/>
      <c r="AI461" s="44"/>
      <c r="AJ461" s="44"/>
      <c r="AK461" s="44"/>
      <c r="AL461" s="44"/>
      <c r="AM461" s="44"/>
      <c r="AN461" s="44"/>
      <c r="AO461" s="44"/>
      <c r="AP461" s="44"/>
    </row>
    <row r="462" spans="1:44" hidden="1" x14ac:dyDescent="0.25">
      <c r="A462" s="149" t="s">
        <v>129</v>
      </c>
      <c r="B462" s="149"/>
      <c r="C462" s="204">
        <f t="shared" si="94"/>
        <v>8076.5367188213504</v>
      </c>
      <c r="D462" s="226">
        <v>3.7</v>
      </c>
      <c r="E462" s="206"/>
      <c r="F462" s="111">
        <f>F497+F532</f>
        <v>29883</v>
      </c>
      <c r="G462" s="226">
        <f>$G$178</f>
        <v>3.8</v>
      </c>
      <c r="H462" s="206"/>
      <c r="I462" s="111">
        <f>I497+I532</f>
        <v>30691</v>
      </c>
      <c r="J462" s="111"/>
      <c r="K462" s="226" t="e">
        <f>$K$178</f>
        <v>#REF!</v>
      </c>
      <c r="L462" s="206"/>
      <c r="M462" s="111" t="e">
        <f>M497+M532</f>
        <v>#REF!</v>
      </c>
      <c r="N462" s="111"/>
      <c r="O462" s="226" t="e">
        <f>$O$178</f>
        <v>#DIV/0!</v>
      </c>
      <c r="P462" s="206"/>
      <c r="Q462" s="111" t="e">
        <f>Q497+Q532</f>
        <v>#DIV/0!</v>
      </c>
      <c r="R462" s="111"/>
      <c r="S462" s="226" t="e">
        <f>$S$178</f>
        <v>#DIV/0!</v>
      </c>
      <c r="T462" s="206"/>
      <c r="U462" s="111" t="e">
        <f>U497+U532</f>
        <v>#DIV/0!</v>
      </c>
      <c r="V462" s="44"/>
      <c r="W462" s="91"/>
      <c r="X462" s="91"/>
      <c r="Y462" s="91"/>
      <c r="Z462" s="44"/>
      <c r="AA462" s="44"/>
      <c r="AB462" s="44"/>
      <c r="AC462" s="44"/>
      <c r="AD462" s="44"/>
      <c r="AE462" s="44"/>
      <c r="AF462" s="44"/>
      <c r="AG462" s="44"/>
      <c r="AH462" s="44"/>
      <c r="AI462" s="44"/>
      <c r="AJ462" s="44"/>
      <c r="AK462" s="44"/>
      <c r="AL462" s="44"/>
      <c r="AM462" s="44"/>
      <c r="AN462" s="44"/>
      <c r="AO462" s="44"/>
      <c r="AP462" s="44"/>
    </row>
    <row r="463" spans="1:44" hidden="1" x14ac:dyDescent="0.25">
      <c r="A463" s="149" t="s">
        <v>130</v>
      </c>
      <c r="B463" s="149"/>
      <c r="C463" s="204">
        <f t="shared" si="94"/>
        <v>158922</v>
      </c>
      <c r="D463" s="175">
        <v>10.628</v>
      </c>
      <c r="E463" s="206" t="s">
        <v>89</v>
      </c>
      <c r="F463" s="111">
        <f>F498+F533</f>
        <v>16890</v>
      </c>
      <c r="G463" s="175">
        <f>$G$179</f>
        <v>10.878</v>
      </c>
      <c r="H463" s="206" t="s">
        <v>89</v>
      </c>
      <c r="I463" s="111">
        <f>I498+I533</f>
        <v>17288</v>
      </c>
      <c r="J463" s="111"/>
      <c r="K463" s="175" t="e">
        <f>$K$179</f>
        <v>#REF!</v>
      </c>
      <c r="L463" s="206" t="s">
        <v>89</v>
      </c>
      <c r="M463" s="111" t="e">
        <f>M498+M533</f>
        <v>#REF!</v>
      </c>
      <c r="N463" s="111"/>
      <c r="O463" s="175" t="e">
        <f>$O$179</f>
        <v>#DIV/0!</v>
      </c>
      <c r="P463" s="206" t="s">
        <v>89</v>
      </c>
      <c r="Q463" s="111" t="e">
        <f>Q498+Q533</f>
        <v>#DIV/0!</v>
      </c>
      <c r="R463" s="111"/>
      <c r="S463" s="175" t="e">
        <f>$S$179</f>
        <v>#DIV/0!</v>
      </c>
      <c r="T463" s="206" t="s">
        <v>89</v>
      </c>
      <c r="U463" s="111" t="e">
        <f>U498+U533</f>
        <v>#DIV/0!</v>
      </c>
      <c r="V463" s="44"/>
      <c r="W463" s="91"/>
      <c r="X463" s="91"/>
      <c r="Y463" s="91"/>
      <c r="Z463" s="44"/>
      <c r="AA463" s="44"/>
      <c r="AB463" s="44"/>
      <c r="AC463" s="44"/>
      <c r="AD463" s="44"/>
      <c r="AE463" s="44"/>
      <c r="AF463" s="44"/>
      <c r="AG463" s="44"/>
      <c r="AH463" s="44"/>
      <c r="AI463" s="44"/>
      <c r="AJ463" s="44"/>
      <c r="AK463" s="44"/>
      <c r="AL463" s="44"/>
      <c r="AM463" s="44"/>
      <c r="AN463" s="44"/>
      <c r="AO463" s="44"/>
      <c r="AP463" s="44"/>
    </row>
    <row r="464" spans="1:44" hidden="1" x14ac:dyDescent="0.25">
      <c r="A464" s="149" t="s">
        <v>131</v>
      </c>
      <c r="B464" s="149"/>
      <c r="C464" s="204">
        <f t="shared" si="94"/>
        <v>131844</v>
      </c>
      <c r="D464" s="175">
        <v>7.3410000000000002</v>
      </c>
      <c r="E464" s="206" t="s">
        <v>89</v>
      </c>
      <c r="F464" s="111">
        <f>F499+F534</f>
        <v>9678</v>
      </c>
      <c r="G464" s="175">
        <f>$G$180</f>
        <v>7.5140000000000002</v>
      </c>
      <c r="H464" s="206" t="s">
        <v>89</v>
      </c>
      <c r="I464" s="111">
        <f>I499+I534</f>
        <v>9907</v>
      </c>
      <c r="J464" s="111"/>
      <c r="K464" s="175" t="e">
        <f>$K$180</f>
        <v>#REF!</v>
      </c>
      <c r="L464" s="206" t="s">
        <v>89</v>
      </c>
      <c r="M464" s="111" t="e">
        <f>M499+M534</f>
        <v>#REF!</v>
      </c>
      <c r="N464" s="111"/>
      <c r="O464" s="175" t="e">
        <f>$O$180</f>
        <v>#DIV/0!</v>
      </c>
      <c r="P464" s="206" t="s">
        <v>89</v>
      </c>
      <c r="Q464" s="111" t="e">
        <f>Q499+Q534</f>
        <v>#DIV/0!</v>
      </c>
      <c r="R464" s="111"/>
      <c r="S464" s="175" t="e">
        <f>$S$180</f>
        <v>#DIV/0!</v>
      </c>
      <c r="T464" s="206" t="s">
        <v>89</v>
      </c>
      <c r="U464" s="111" t="e">
        <f>U499+U534</f>
        <v>#DIV/0!</v>
      </c>
      <c r="V464" s="44"/>
      <c r="W464" s="91"/>
      <c r="X464" s="91"/>
      <c r="Y464" s="91"/>
      <c r="Z464" s="44"/>
      <c r="AA464" s="44"/>
      <c r="AB464" s="44"/>
      <c r="AC464" s="44"/>
      <c r="AD464" s="44"/>
      <c r="AE464" s="44"/>
      <c r="AF464" s="44"/>
      <c r="AG464" s="44"/>
      <c r="AH464" s="44"/>
      <c r="AI464" s="44"/>
      <c r="AJ464" s="44"/>
      <c r="AK464" s="44"/>
      <c r="AL464" s="44"/>
      <c r="AM464" s="44"/>
      <c r="AN464" s="44"/>
      <c r="AO464" s="44"/>
      <c r="AP464" s="44"/>
    </row>
    <row r="465" spans="1:44" hidden="1" x14ac:dyDescent="0.25">
      <c r="A465" s="149" t="s">
        <v>132</v>
      </c>
      <c r="B465" s="149"/>
      <c r="C465" s="204">
        <f t="shared" si="94"/>
        <v>0</v>
      </c>
      <c r="D465" s="175">
        <v>6.3240000000000007</v>
      </c>
      <c r="E465" s="206" t="s">
        <v>89</v>
      </c>
      <c r="F465" s="111">
        <f>F500+F535</f>
        <v>0</v>
      </c>
      <c r="G465" s="175">
        <f>$G$181</f>
        <v>6.4720000000000004</v>
      </c>
      <c r="H465" s="206" t="s">
        <v>89</v>
      </c>
      <c r="I465" s="111">
        <f>I500+I535</f>
        <v>0</v>
      </c>
      <c r="J465" s="111"/>
      <c r="K465" s="175" t="e">
        <f>$K$181</f>
        <v>#REF!</v>
      </c>
      <c r="L465" s="206" t="s">
        <v>89</v>
      </c>
      <c r="M465" s="111" t="e">
        <f>M500+M535</f>
        <v>#REF!</v>
      </c>
      <c r="N465" s="111"/>
      <c r="O465" s="175" t="e">
        <f>$O$181</f>
        <v>#DIV/0!</v>
      </c>
      <c r="P465" s="206" t="s">
        <v>89</v>
      </c>
      <c r="Q465" s="111" t="e">
        <f>Q500+Q535</f>
        <v>#DIV/0!</v>
      </c>
      <c r="R465" s="111"/>
      <c r="S465" s="175" t="e">
        <f>$S$181</f>
        <v>#DIV/0!</v>
      </c>
      <c r="T465" s="206" t="s">
        <v>89</v>
      </c>
      <c r="U465" s="111" t="e">
        <f>U500+U535</f>
        <v>#DIV/0!</v>
      </c>
      <c r="V465" s="44"/>
      <c r="W465" s="91"/>
      <c r="X465" s="91"/>
      <c r="Y465" s="91"/>
      <c r="Z465" s="44"/>
      <c r="AA465" s="44"/>
      <c r="AB465" s="44"/>
      <c r="AC465" s="44"/>
      <c r="AD465" s="44"/>
      <c r="AE465" s="44"/>
      <c r="AF465" s="44"/>
      <c r="AG465" s="44"/>
      <c r="AH465" s="44"/>
      <c r="AI465" s="44"/>
      <c r="AJ465" s="44"/>
      <c r="AK465" s="44"/>
      <c r="AL465" s="44"/>
      <c r="AM465" s="44"/>
      <c r="AN465" s="44"/>
      <c r="AO465" s="44"/>
      <c r="AP465" s="44"/>
    </row>
    <row r="466" spans="1:44" hidden="1" x14ac:dyDescent="0.25">
      <c r="A466" s="149" t="s">
        <v>133</v>
      </c>
      <c r="B466" s="149"/>
      <c r="C466" s="204">
        <f t="shared" si="94"/>
        <v>1569.0261904761901</v>
      </c>
      <c r="D466" s="212">
        <v>57</v>
      </c>
      <c r="E466" s="206" t="s">
        <v>89</v>
      </c>
      <c r="F466" s="111">
        <f>F501+F536</f>
        <v>894</v>
      </c>
      <c r="G466" s="212">
        <f>$G$182</f>
        <v>58</v>
      </c>
      <c r="H466" s="206" t="s">
        <v>89</v>
      </c>
      <c r="I466" s="111">
        <f>I501+I536</f>
        <v>910</v>
      </c>
      <c r="J466" s="111"/>
      <c r="K466" s="212" t="str">
        <f>$K$182</f>
        <v xml:space="preserve"> </v>
      </c>
      <c r="L466" s="206" t="s">
        <v>89</v>
      </c>
      <c r="M466" s="111">
        <f>M501+M536</f>
        <v>0</v>
      </c>
      <c r="N466" s="111"/>
      <c r="O466" s="212" t="e">
        <f>$O$182</f>
        <v>#DIV/0!</v>
      </c>
      <c r="P466" s="206" t="s">
        <v>89</v>
      </c>
      <c r="Q466" s="111" t="e">
        <f>Q501+Q536</f>
        <v>#DIV/0!</v>
      </c>
      <c r="R466" s="111"/>
      <c r="S466" s="212" t="e">
        <f>$S$182</f>
        <v>#DIV/0!</v>
      </c>
      <c r="T466" s="206" t="s">
        <v>89</v>
      </c>
      <c r="U466" s="111" t="e">
        <f>U501+U536</f>
        <v>#DIV/0!</v>
      </c>
      <c r="V466" s="44"/>
      <c r="W466" s="91"/>
      <c r="X466" s="91"/>
      <c r="Y466" s="91"/>
      <c r="Z466" s="44"/>
      <c r="AA466" s="44"/>
      <c r="AB466" s="44"/>
      <c r="AC466" s="44"/>
      <c r="AD466" s="44"/>
      <c r="AE466" s="44"/>
      <c r="AF466" s="44"/>
      <c r="AG466" s="44"/>
      <c r="AH466" s="44"/>
      <c r="AI466" s="44"/>
      <c r="AJ466" s="44"/>
      <c r="AK466" s="44"/>
      <c r="AL466" s="44"/>
      <c r="AM466" s="44"/>
      <c r="AN466" s="44"/>
      <c r="AO466" s="44"/>
      <c r="AP466" s="44"/>
    </row>
    <row r="467" spans="1:44" s="120" customFormat="1" hidden="1" x14ac:dyDescent="0.25">
      <c r="A467" s="119" t="s">
        <v>134</v>
      </c>
      <c r="C467" s="214">
        <f>C463</f>
        <v>158922</v>
      </c>
      <c r="D467" s="128">
        <v>0</v>
      </c>
      <c r="E467" s="122"/>
      <c r="F467" s="123"/>
      <c r="G467" s="124">
        <f>G183</f>
        <v>0</v>
      </c>
      <c r="H467" s="215" t="s">
        <v>89</v>
      </c>
      <c r="I467" s="111">
        <f t="shared" ref="I467:I469" si="95">I502+I537</f>
        <v>0</v>
      </c>
      <c r="J467" s="111"/>
      <c r="K467" s="124" t="str">
        <f>K183</f>
        <v xml:space="preserve"> </v>
      </c>
      <c r="L467" s="215" t="s">
        <v>89</v>
      </c>
      <c r="M467" s="111">
        <f t="shared" ref="M467:M469" si="96">M502+M537</f>
        <v>0</v>
      </c>
      <c r="N467" s="111"/>
      <c r="O467" s="124" t="str">
        <f>O183</f>
        <v xml:space="preserve"> </v>
      </c>
      <c r="P467" s="215" t="s">
        <v>89</v>
      </c>
      <c r="Q467" s="111">
        <f t="shared" ref="Q467:Q469" si="97">Q502+Q537</f>
        <v>0</v>
      </c>
      <c r="R467" s="111"/>
      <c r="S467" s="124">
        <f>S183</f>
        <v>0</v>
      </c>
      <c r="T467" s="215" t="s">
        <v>89</v>
      </c>
      <c r="U467" s="111">
        <f t="shared" ref="U467:U469" si="98">U502+U537</f>
        <v>0</v>
      </c>
      <c r="W467" s="112"/>
      <c r="Z467" s="127"/>
      <c r="AA467" s="127"/>
      <c r="AF467" s="122"/>
      <c r="AG467" s="122"/>
      <c r="AH467" s="122"/>
      <c r="AI467" s="122"/>
      <c r="AJ467" s="122"/>
      <c r="AK467" s="122"/>
      <c r="AL467" s="122"/>
      <c r="AM467" s="122"/>
      <c r="AN467" s="122"/>
      <c r="AO467" s="122"/>
      <c r="AP467" s="122"/>
      <c r="AR467" s="126"/>
    </row>
    <row r="468" spans="1:44" s="120" customFormat="1" hidden="1" x14ac:dyDescent="0.25">
      <c r="A468" s="119" t="s">
        <v>135</v>
      </c>
      <c r="C468" s="214">
        <f t="shared" ref="C468:C469" si="99">C464</f>
        <v>131844</v>
      </c>
      <c r="D468" s="128">
        <v>0</v>
      </c>
      <c r="E468" s="122"/>
      <c r="F468" s="123"/>
      <c r="G468" s="124">
        <f>G184</f>
        <v>0</v>
      </c>
      <c r="H468" s="215" t="s">
        <v>89</v>
      </c>
      <c r="I468" s="111">
        <f t="shared" si="95"/>
        <v>0</v>
      </c>
      <c r="J468" s="111"/>
      <c r="K468" s="124" t="str">
        <f>K184</f>
        <v xml:space="preserve"> </v>
      </c>
      <c r="L468" s="215" t="s">
        <v>89</v>
      </c>
      <c r="M468" s="111">
        <f t="shared" si="96"/>
        <v>0</v>
      </c>
      <c r="N468" s="111"/>
      <c r="O468" s="124" t="str">
        <f>O184</f>
        <v xml:space="preserve"> </v>
      </c>
      <c r="P468" s="215" t="s">
        <v>89</v>
      </c>
      <c r="Q468" s="111">
        <f t="shared" si="97"/>
        <v>0</v>
      </c>
      <c r="R468" s="111"/>
      <c r="S468" s="124">
        <f>S184</f>
        <v>0</v>
      </c>
      <c r="T468" s="215" t="s">
        <v>89</v>
      </c>
      <c r="U468" s="111">
        <f t="shared" si="98"/>
        <v>0</v>
      </c>
      <c r="W468" s="112"/>
      <c r="Z468" s="127"/>
      <c r="AA468" s="127"/>
      <c r="AF468" s="122"/>
      <c r="AG468" s="122"/>
      <c r="AH468" s="122"/>
      <c r="AI468" s="122"/>
      <c r="AJ468" s="122"/>
      <c r="AK468" s="122"/>
      <c r="AL468" s="122"/>
      <c r="AM468" s="122"/>
      <c r="AN468" s="122"/>
      <c r="AO468" s="122"/>
      <c r="AP468" s="122"/>
      <c r="AR468" s="126"/>
    </row>
    <row r="469" spans="1:44" s="120" customFormat="1" hidden="1" x14ac:dyDescent="0.25">
      <c r="A469" s="119" t="s">
        <v>136</v>
      </c>
      <c r="C469" s="214">
        <f t="shared" si="99"/>
        <v>0</v>
      </c>
      <c r="D469" s="128">
        <v>0</v>
      </c>
      <c r="E469" s="122"/>
      <c r="F469" s="123"/>
      <c r="G469" s="124">
        <f>G185</f>
        <v>0</v>
      </c>
      <c r="H469" s="215" t="s">
        <v>89</v>
      </c>
      <c r="I469" s="111">
        <f t="shared" si="95"/>
        <v>0</v>
      </c>
      <c r="J469" s="111"/>
      <c r="K469" s="124" t="str">
        <f>K185</f>
        <v xml:space="preserve"> </v>
      </c>
      <c r="L469" s="215" t="s">
        <v>89</v>
      </c>
      <c r="M469" s="111">
        <f t="shared" si="96"/>
        <v>0</v>
      </c>
      <c r="N469" s="111"/>
      <c r="O469" s="124" t="str">
        <f>O185</f>
        <v xml:space="preserve"> </v>
      </c>
      <c r="P469" s="215" t="s">
        <v>89</v>
      </c>
      <c r="Q469" s="111">
        <f t="shared" si="97"/>
        <v>0</v>
      </c>
      <c r="R469" s="111"/>
      <c r="S469" s="124">
        <f>S185</f>
        <v>0</v>
      </c>
      <c r="T469" s="215" t="s">
        <v>89</v>
      </c>
      <c r="U469" s="111">
        <f t="shared" si="98"/>
        <v>0</v>
      </c>
      <c r="V469" s="119" t="s">
        <v>0</v>
      </c>
      <c r="W469" s="112"/>
      <c r="Z469" s="127"/>
      <c r="AA469" s="127"/>
      <c r="AF469" s="122"/>
      <c r="AG469" s="122"/>
      <c r="AH469" s="122"/>
      <c r="AI469" s="122"/>
      <c r="AJ469" s="122"/>
      <c r="AK469" s="122"/>
      <c r="AL469" s="122"/>
      <c r="AM469" s="122"/>
      <c r="AN469" s="122"/>
      <c r="AO469" s="122"/>
      <c r="AP469" s="122"/>
      <c r="AR469" s="126"/>
    </row>
    <row r="470" spans="1:44" hidden="1" x14ac:dyDescent="0.25">
      <c r="A470" s="219" t="s">
        <v>140</v>
      </c>
      <c r="B470" s="149"/>
      <c r="C470" s="204"/>
      <c r="D470" s="220">
        <v>-0.01</v>
      </c>
      <c r="E470" s="206"/>
      <c r="F470" s="111"/>
      <c r="G470" s="220">
        <v>-0.01</v>
      </c>
      <c r="H470" s="206"/>
      <c r="I470" s="111"/>
      <c r="J470" s="111"/>
      <c r="K470" s="220">
        <v>-0.01</v>
      </c>
      <c r="L470" s="206"/>
      <c r="M470" s="111"/>
      <c r="N470" s="111"/>
      <c r="O470" s="220">
        <v>-0.01</v>
      </c>
      <c r="P470" s="206"/>
      <c r="Q470" s="111"/>
      <c r="R470" s="111"/>
      <c r="S470" s="220">
        <v>-0.01</v>
      </c>
      <c r="T470" s="206"/>
      <c r="U470" s="111"/>
      <c r="V470" s="44"/>
      <c r="W470" s="91"/>
      <c r="X470" s="91"/>
      <c r="Y470" s="91"/>
      <c r="Z470" s="44"/>
      <c r="AA470" s="44"/>
      <c r="AB470" s="44"/>
      <c r="AC470" s="44"/>
      <c r="AD470" s="44"/>
      <c r="AE470" s="44"/>
      <c r="AF470" s="44"/>
      <c r="AG470" s="44"/>
      <c r="AH470" s="44"/>
      <c r="AI470" s="44"/>
      <c r="AJ470" s="44"/>
      <c r="AK470" s="44"/>
      <c r="AL470" s="44"/>
      <c r="AM470" s="44"/>
      <c r="AN470" s="44"/>
      <c r="AO470" s="44"/>
      <c r="AP470" s="44"/>
    </row>
    <row r="471" spans="1:44" hidden="1" x14ac:dyDescent="0.25">
      <c r="A471" s="149" t="s">
        <v>124</v>
      </c>
      <c r="B471" s="149"/>
      <c r="C471" s="204">
        <v>0</v>
      </c>
      <c r="D471" s="222">
        <v>117.12</v>
      </c>
      <c r="E471" s="223"/>
      <c r="F471" s="111">
        <f t="shared" ref="F471:F480" si="100">F506+F541</f>
        <v>0</v>
      </c>
      <c r="G471" s="222">
        <f>G457</f>
        <v>119.88</v>
      </c>
      <c r="H471" s="223"/>
      <c r="I471" s="111">
        <f t="shared" ref="I471:I480" si="101">I506+I541</f>
        <v>0</v>
      </c>
      <c r="J471" s="111"/>
      <c r="K471" s="222">
        <f>K457</f>
        <v>117.12</v>
      </c>
      <c r="L471" s="223"/>
      <c r="M471" s="111">
        <f t="shared" ref="M471:M480" si="102">M506+M541</f>
        <v>0</v>
      </c>
      <c r="N471" s="111"/>
      <c r="O471" s="222" t="str">
        <f>O457</f>
        <v xml:space="preserve"> </v>
      </c>
      <c r="P471" s="223"/>
      <c r="Q471" s="111">
        <f t="shared" ref="Q471:Q480" si="103">Q506+Q541</f>
        <v>0</v>
      </c>
      <c r="R471" s="111"/>
      <c r="S471" s="222" t="str">
        <f>S457</f>
        <v xml:space="preserve"> </v>
      </c>
      <c r="T471" s="223"/>
      <c r="U471" s="111">
        <f t="shared" ref="U471:U480" si="104">U506+U541</f>
        <v>0</v>
      </c>
      <c r="V471" s="44"/>
      <c r="W471" s="91"/>
      <c r="X471" s="91"/>
      <c r="Y471" s="91"/>
      <c r="Z471" s="44"/>
      <c r="AA471" s="44"/>
      <c r="AB471" s="44"/>
      <c r="AC471" s="44"/>
      <c r="AD471" s="44"/>
      <c r="AE471" s="44"/>
      <c r="AF471" s="44"/>
      <c r="AG471" s="44"/>
      <c r="AH471" s="44"/>
      <c r="AI471" s="44"/>
      <c r="AJ471" s="44"/>
      <c r="AK471" s="44"/>
      <c r="AL471" s="44"/>
      <c r="AM471" s="44"/>
      <c r="AN471" s="44"/>
      <c r="AO471" s="44"/>
      <c r="AP471" s="44"/>
    </row>
    <row r="472" spans="1:44" hidden="1" x14ac:dyDescent="0.25">
      <c r="A472" s="149" t="s">
        <v>125</v>
      </c>
      <c r="B472" s="149"/>
      <c r="C472" s="204">
        <v>0</v>
      </c>
      <c r="D472" s="222">
        <v>174.48</v>
      </c>
      <c r="E472" s="223"/>
      <c r="F472" s="111">
        <f t="shared" si="100"/>
        <v>0</v>
      </c>
      <c r="G472" s="222">
        <f>G458</f>
        <v>178.68</v>
      </c>
      <c r="H472" s="223"/>
      <c r="I472" s="111">
        <f t="shared" si="101"/>
        <v>0</v>
      </c>
      <c r="J472" s="111"/>
      <c r="K472" s="222">
        <f>K458</f>
        <v>174.48</v>
      </c>
      <c r="L472" s="223"/>
      <c r="M472" s="111">
        <f t="shared" si="102"/>
        <v>0</v>
      </c>
      <c r="N472" s="111"/>
      <c r="O472" s="222" t="str">
        <f>O458</f>
        <v xml:space="preserve"> </v>
      </c>
      <c r="P472" s="223"/>
      <c r="Q472" s="111">
        <f t="shared" si="103"/>
        <v>0</v>
      </c>
      <c r="R472" s="111"/>
      <c r="S472" s="222" t="str">
        <f>S458</f>
        <v xml:space="preserve"> </v>
      </c>
      <c r="T472" s="223"/>
      <c r="U472" s="111">
        <f t="shared" si="104"/>
        <v>0</v>
      </c>
      <c r="V472" s="44"/>
      <c r="W472" s="91"/>
      <c r="X472" s="243" t="s">
        <v>0</v>
      </c>
      <c r="Y472" s="91"/>
      <c r="Z472" s="44"/>
      <c r="AA472" s="44"/>
      <c r="AB472" s="44"/>
      <c r="AC472" s="44"/>
      <c r="AD472" s="44"/>
      <c r="AE472" s="44"/>
      <c r="AF472" s="44"/>
      <c r="AG472" s="44"/>
      <c r="AH472" s="44"/>
      <c r="AI472" s="44"/>
      <c r="AJ472" s="44"/>
      <c r="AK472" s="44"/>
      <c r="AL472" s="44"/>
      <c r="AM472" s="44"/>
      <c r="AN472" s="44"/>
      <c r="AO472" s="44"/>
      <c r="AP472" s="44"/>
    </row>
    <row r="473" spans="1:44" hidden="1" x14ac:dyDescent="0.25">
      <c r="A473" s="149" t="s">
        <v>141</v>
      </c>
      <c r="B473" s="149"/>
      <c r="C473" s="204">
        <v>0</v>
      </c>
      <c r="D473" s="222">
        <v>12.24</v>
      </c>
      <c r="E473" s="223"/>
      <c r="F473" s="111">
        <f t="shared" si="100"/>
        <v>0</v>
      </c>
      <c r="G473" s="222">
        <f>G459</f>
        <v>12.48</v>
      </c>
      <c r="H473" s="223"/>
      <c r="I473" s="111">
        <f t="shared" si="101"/>
        <v>0</v>
      </c>
      <c r="J473" s="111"/>
      <c r="K473" s="222">
        <f>K459</f>
        <v>12.24</v>
      </c>
      <c r="L473" s="223"/>
      <c r="M473" s="111">
        <f t="shared" si="102"/>
        <v>0</v>
      </c>
      <c r="N473" s="111"/>
      <c r="O473" s="222" t="str">
        <f>O459</f>
        <v xml:space="preserve"> </v>
      </c>
      <c r="P473" s="223"/>
      <c r="Q473" s="111">
        <f t="shared" si="103"/>
        <v>0</v>
      </c>
      <c r="R473" s="111"/>
      <c r="S473" s="222" t="str">
        <f>S459</f>
        <v xml:space="preserve"> </v>
      </c>
      <c r="T473" s="223"/>
      <c r="U473" s="111">
        <f t="shared" si="104"/>
        <v>0</v>
      </c>
      <c r="V473" s="44"/>
      <c r="W473" s="91"/>
      <c r="X473" s="91"/>
      <c r="Y473" s="91"/>
      <c r="Z473" s="44"/>
      <c r="AA473" s="44"/>
      <c r="AB473" s="44"/>
      <c r="AC473" s="44"/>
      <c r="AD473" s="44"/>
      <c r="AE473" s="44"/>
      <c r="AF473" s="44"/>
      <c r="AG473" s="44"/>
      <c r="AH473" s="44"/>
      <c r="AI473" s="44"/>
      <c r="AJ473" s="44"/>
      <c r="AK473" s="44"/>
      <c r="AL473" s="44"/>
      <c r="AM473" s="44"/>
      <c r="AN473" s="44"/>
      <c r="AO473" s="44"/>
      <c r="AP473" s="44"/>
    </row>
    <row r="474" spans="1:44" hidden="1" x14ac:dyDescent="0.25">
      <c r="A474" s="149" t="s">
        <v>142</v>
      </c>
      <c r="B474" s="149"/>
      <c r="C474" s="204">
        <v>0</v>
      </c>
      <c r="D474" s="222">
        <v>3.7</v>
      </c>
      <c r="E474" s="206"/>
      <c r="F474" s="111">
        <f t="shared" si="100"/>
        <v>0</v>
      </c>
      <c r="G474" s="222">
        <f>G462</f>
        <v>3.8</v>
      </c>
      <c r="H474" s="206"/>
      <c r="I474" s="111">
        <f t="shared" si="101"/>
        <v>0</v>
      </c>
      <c r="J474" s="111"/>
      <c r="K474" s="222" t="e">
        <f>K462</f>
        <v>#REF!</v>
      </c>
      <c r="L474" s="206"/>
      <c r="M474" s="111" t="e">
        <f t="shared" si="102"/>
        <v>#REF!</v>
      </c>
      <c r="N474" s="111"/>
      <c r="O474" s="222" t="e">
        <f>O462</f>
        <v>#DIV/0!</v>
      </c>
      <c r="P474" s="206"/>
      <c r="Q474" s="111" t="e">
        <f t="shared" si="103"/>
        <v>#DIV/0!</v>
      </c>
      <c r="R474" s="111"/>
      <c r="S474" s="222" t="e">
        <f>S462</f>
        <v>#DIV/0!</v>
      </c>
      <c r="T474" s="206"/>
      <c r="U474" s="111" t="e">
        <f t="shared" si="104"/>
        <v>#DIV/0!</v>
      </c>
      <c r="V474" s="44"/>
      <c r="W474" s="91"/>
      <c r="X474" s="91"/>
      <c r="Y474" s="91"/>
      <c r="Z474" s="44"/>
      <c r="AA474" s="44"/>
      <c r="AB474" s="44"/>
      <c r="AC474" s="44"/>
      <c r="AD474" s="44"/>
      <c r="AE474" s="44"/>
      <c r="AF474" s="44"/>
      <c r="AG474" s="44"/>
      <c r="AH474" s="44"/>
      <c r="AI474" s="44"/>
      <c r="AJ474" s="44"/>
      <c r="AK474" s="44"/>
      <c r="AL474" s="44"/>
      <c r="AM474" s="44"/>
      <c r="AN474" s="44"/>
      <c r="AO474" s="44"/>
      <c r="AP474" s="44"/>
    </row>
    <row r="475" spans="1:44" hidden="1" x14ac:dyDescent="0.25">
      <c r="A475" s="149" t="s">
        <v>143</v>
      </c>
      <c r="B475" s="149"/>
      <c r="C475" s="204">
        <v>0</v>
      </c>
      <c r="D475" s="224">
        <v>10.628</v>
      </c>
      <c r="E475" s="206" t="s">
        <v>89</v>
      </c>
      <c r="F475" s="111">
        <f t="shared" si="100"/>
        <v>0</v>
      </c>
      <c r="G475" s="224">
        <f>G463</f>
        <v>10.878</v>
      </c>
      <c r="H475" s="206" t="s">
        <v>89</v>
      </c>
      <c r="I475" s="111">
        <f t="shared" si="101"/>
        <v>0</v>
      </c>
      <c r="J475" s="111"/>
      <c r="K475" s="224" t="e">
        <f>K463</f>
        <v>#REF!</v>
      </c>
      <c r="L475" s="206" t="s">
        <v>89</v>
      </c>
      <c r="M475" s="111" t="e">
        <f t="shared" si="102"/>
        <v>#REF!</v>
      </c>
      <c r="N475" s="111"/>
      <c r="O475" s="224" t="e">
        <f>O463</f>
        <v>#DIV/0!</v>
      </c>
      <c r="P475" s="206" t="s">
        <v>89</v>
      </c>
      <c r="Q475" s="111" t="e">
        <f t="shared" si="103"/>
        <v>#DIV/0!</v>
      </c>
      <c r="R475" s="111"/>
      <c r="S475" s="224" t="e">
        <f>S463</f>
        <v>#DIV/0!</v>
      </c>
      <c r="T475" s="206" t="s">
        <v>89</v>
      </c>
      <c r="U475" s="111" t="e">
        <f t="shared" si="104"/>
        <v>#DIV/0!</v>
      </c>
      <c r="V475" s="44"/>
      <c r="W475" s="91"/>
      <c r="X475" s="91"/>
      <c r="Y475" s="91"/>
      <c r="Z475" s="44"/>
      <c r="AA475" s="44"/>
      <c r="AB475" s="44"/>
      <c r="AC475" s="44"/>
      <c r="AD475" s="44"/>
      <c r="AE475" s="44"/>
      <c r="AF475" s="44"/>
      <c r="AG475" s="44"/>
      <c r="AH475" s="44"/>
      <c r="AI475" s="44"/>
      <c r="AJ475" s="44"/>
      <c r="AK475" s="44"/>
      <c r="AL475" s="44"/>
      <c r="AM475" s="44"/>
      <c r="AN475" s="44"/>
      <c r="AO475" s="44"/>
      <c r="AP475" s="44"/>
    </row>
    <row r="476" spans="1:44" hidden="1" x14ac:dyDescent="0.25">
      <c r="A476" s="149" t="s">
        <v>131</v>
      </c>
      <c r="B476" s="149"/>
      <c r="C476" s="204">
        <v>0</v>
      </c>
      <c r="D476" s="224">
        <v>7.3410000000000002</v>
      </c>
      <c r="E476" s="206" t="s">
        <v>89</v>
      </c>
      <c r="F476" s="111">
        <f t="shared" si="100"/>
        <v>0</v>
      </c>
      <c r="G476" s="224">
        <f>G464</f>
        <v>7.5140000000000002</v>
      </c>
      <c r="H476" s="206" t="s">
        <v>89</v>
      </c>
      <c r="I476" s="111">
        <f t="shared" si="101"/>
        <v>0</v>
      </c>
      <c r="J476" s="111"/>
      <c r="K476" s="224" t="e">
        <f>K464</f>
        <v>#REF!</v>
      </c>
      <c r="L476" s="206" t="s">
        <v>89</v>
      </c>
      <c r="M476" s="111" t="e">
        <f t="shared" si="102"/>
        <v>#REF!</v>
      </c>
      <c r="N476" s="111"/>
      <c r="O476" s="224" t="e">
        <f>O464</f>
        <v>#DIV/0!</v>
      </c>
      <c r="P476" s="206" t="s">
        <v>89</v>
      </c>
      <c r="Q476" s="111" t="e">
        <f t="shared" si="103"/>
        <v>#DIV/0!</v>
      </c>
      <c r="R476" s="111"/>
      <c r="S476" s="224" t="e">
        <f>S464</f>
        <v>#DIV/0!</v>
      </c>
      <c r="T476" s="206" t="s">
        <v>89</v>
      </c>
      <c r="U476" s="111" t="e">
        <f t="shared" si="104"/>
        <v>#DIV/0!</v>
      </c>
      <c r="V476" s="44"/>
      <c r="W476" s="91"/>
      <c r="X476" s="91"/>
      <c r="Y476" s="91"/>
      <c r="Z476" s="44"/>
      <c r="AA476" s="44"/>
      <c r="AB476" s="44"/>
      <c r="AC476" s="44"/>
      <c r="AD476" s="44"/>
      <c r="AE476" s="44"/>
      <c r="AF476" s="44"/>
      <c r="AG476" s="44"/>
      <c r="AH476" s="44"/>
      <c r="AI476" s="44"/>
      <c r="AJ476" s="44"/>
      <c r="AK476" s="44"/>
      <c r="AL476" s="44"/>
      <c r="AM476" s="44"/>
      <c r="AN476" s="44"/>
      <c r="AO476" s="44"/>
      <c r="AP476" s="44"/>
    </row>
    <row r="477" spans="1:44" hidden="1" x14ac:dyDescent="0.25">
      <c r="A477" s="149" t="s">
        <v>132</v>
      </c>
      <c r="B477" s="149"/>
      <c r="C477" s="204">
        <v>0</v>
      </c>
      <c r="D477" s="224">
        <v>6.3240000000000007</v>
      </c>
      <c r="E477" s="206" t="s">
        <v>89</v>
      </c>
      <c r="F477" s="111">
        <f t="shared" si="100"/>
        <v>0</v>
      </c>
      <c r="G477" s="224">
        <f>G465</f>
        <v>6.4720000000000004</v>
      </c>
      <c r="H477" s="206" t="s">
        <v>89</v>
      </c>
      <c r="I477" s="111">
        <f t="shared" si="101"/>
        <v>0</v>
      </c>
      <c r="J477" s="111"/>
      <c r="K477" s="224" t="e">
        <f>K465</f>
        <v>#REF!</v>
      </c>
      <c r="L477" s="206" t="s">
        <v>89</v>
      </c>
      <c r="M477" s="111" t="e">
        <f t="shared" si="102"/>
        <v>#REF!</v>
      </c>
      <c r="N477" s="111"/>
      <c r="O477" s="224" t="e">
        <f>O465</f>
        <v>#DIV/0!</v>
      </c>
      <c r="P477" s="206" t="s">
        <v>89</v>
      </c>
      <c r="Q477" s="111" t="e">
        <f t="shared" si="103"/>
        <v>#DIV/0!</v>
      </c>
      <c r="R477" s="111"/>
      <c r="S477" s="224" t="e">
        <f>S465</f>
        <v>#DIV/0!</v>
      </c>
      <c r="T477" s="206" t="s">
        <v>89</v>
      </c>
      <c r="U477" s="111" t="e">
        <f t="shared" si="104"/>
        <v>#DIV/0!</v>
      </c>
      <c r="V477" s="44"/>
      <c r="W477" s="91"/>
      <c r="X477" s="91"/>
      <c r="Y477" s="91"/>
      <c r="Z477" s="44"/>
      <c r="AA477" s="44"/>
      <c r="AB477" s="44"/>
      <c r="AC477" s="44"/>
      <c r="AD477" s="44"/>
      <c r="AE477" s="44"/>
      <c r="AF477" s="44"/>
      <c r="AG477" s="44"/>
      <c r="AH477" s="44"/>
      <c r="AI477" s="44"/>
      <c r="AJ477" s="44"/>
      <c r="AK477" s="44"/>
      <c r="AL477" s="44"/>
      <c r="AM477" s="44"/>
      <c r="AN477" s="44"/>
      <c r="AO477" s="44"/>
      <c r="AP477" s="44"/>
    </row>
    <row r="478" spans="1:44" hidden="1" x14ac:dyDescent="0.25">
      <c r="A478" s="149" t="s">
        <v>133</v>
      </c>
      <c r="B478" s="149"/>
      <c r="C478" s="204">
        <v>0</v>
      </c>
      <c r="D478" s="225">
        <v>57</v>
      </c>
      <c r="E478" s="206" t="s">
        <v>89</v>
      </c>
      <c r="F478" s="111">
        <f t="shared" si="100"/>
        <v>0</v>
      </c>
      <c r="G478" s="225">
        <f>G466</f>
        <v>58</v>
      </c>
      <c r="H478" s="206" t="s">
        <v>89</v>
      </c>
      <c r="I478" s="111">
        <f t="shared" si="101"/>
        <v>0</v>
      </c>
      <c r="J478" s="111"/>
      <c r="K478" s="225" t="str">
        <f>K466</f>
        <v xml:space="preserve"> </v>
      </c>
      <c r="L478" s="206" t="s">
        <v>89</v>
      </c>
      <c r="M478" s="111">
        <f t="shared" si="102"/>
        <v>0</v>
      </c>
      <c r="N478" s="111"/>
      <c r="O478" s="225" t="e">
        <f>O466</f>
        <v>#DIV/0!</v>
      </c>
      <c r="P478" s="206" t="s">
        <v>89</v>
      </c>
      <c r="Q478" s="111" t="e">
        <f t="shared" si="103"/>
        <v>#DIV/0!</v>
      </c>
      <c r="R478" s="111"/>
      <c r="S478" s="225" t="e">
        <f>S466</f>
        <v>#DIV/0!</v>
      </c>
      <c r="T478" s="206" t="s">
        <v>89</v>
      </c>
      <c r="U478" s="111" t="e">
        <f t="shared" si="104"/>
        <v>#DIV/0!</v>
      </c>
      <c r="V478" s="44"/>
      <c r="W478" s="91"/>
      <c r="X478" s="91"/>
      <c r="Y478" s="91"/>
      <c r="Z478" s="44"/>
      <c r="AA478" s="44"/>
      <c r="AB478" s="44"/>
      <c r="AC478" s="44"/>
      <c r="AD478" s="44"/>
      <c r="AE478" s="44"/>
      <c r="AF478" s="44"/>
      <c r="AG478" s="44"/>
      <c r="AH478" s="44"/>
      <c r="AI478" s="44"/>
      <c r="AJ478" s="44"/>
      <c r="AK478" s="44"/>
      <c r="AL478" s="44"/>
      <c r="AM478" s="44"/>
      <c r="AN478" s="44"/>
      <c r="AO478" s="44"/>
      <c r="AP478" s="44"/>
    </row>
    <row r="479" spans="1:44" hidden="1" x14ac:dyDescent="0.25">
      <c r="A479" s="149" t="s">
        <v>144</v>
      </c>
      <c r="B479" s="149"/>
      <c r="C479" s="204">
        <v>0</v>
      </c>
      <c r="D479" s="226">
        <v>60</v>
      </c>
      <c r="E479" s="206"/>
      <c r="F479" s="111">
        <f t="shared" si="100"/>
        <v>0</v>
      </c>
      <c r="G479" s="226">
        <f>$G$198</f>
        <v>60</v>
      </c>
      <c r="H479" s="206"/>
      <c r="I479" s="111">
        <f t="shared" si="101"/>
        <v>0</v>
      </c>
      <c r="J479" s="111"/>
      <c r="K479" s="226" t="str">
        <f>$K$198</f>
        <v xml:space="preserve"> </v>
      </c>
      <c r="L479" s="206"/>
      <c r="M479" s="111">
        <f t="shared" si="102"/>
        <v>0</v>
      </c>
      <c r="N479" s="111"/>
      <c r="O479" s="226" t="e">
        <f>$O$198</f>
        <v>#DIV/0!</v>
      </c>
      <c r="P479" s="206"/>
      <c r="Q479" s="111" t="e">
        <f t="shared" si="103"/>
        <v>#DIV/0!</v>
      </c>
      <c r="R479" s="111"/>
      <c r="S479" s="226" t="e">
        <f>$S$198</f>
        <v>#DIV/0!</v>
      </c>
      <c r="T479" s="206"/>
      <c r="U479" s="111" t="e">
        <f t="shared" si="104"/>
        <v>#DIV/0!</v>
      </c>
      <c r="V479" s="44"/>
      <c r="W479" s="91"/>
      <c r="X479" s="91"/>
      <c r="Y479" s="91"/>
      <c r="Z479" s="44"/>
      <c r="AA479" s="44"/>
      <c r="AB479" s="44"/>
      <c r="AC479" s="44"/>
      <c r="AD479" s="44"/>
      <c r="AE479" s="44"/>
      <c r="AF479" s="44"/>
      <c r="AG479" s="44"/>
      <c r="AH479" s="44"/>
      <c r="AI479" s="44"/>
      <c r="AJ479" s="44"/>
      <c r="AK479" s="44"/>
      <c r="AL479" s="44"/>
      <c r="AM479" s="44"/>
      <c r="AN479" s="44"/>
      <c r="AO479" s="44"/>
      <c r="AP479" s="44"/>
    </row>
    <row r="480" spans="1:44" hidden="1" x14ac:dyDescent="0.25">
      <c r="A480" s="149" t="s">
        <v>145</v>
      </c>
      <c r="B480" s="149"/>
      <c r="C480" s="204">
        <v>0</v>
      </c>
      <c r="D480" s="227">
        <v>-30</v>
      </c>
      <c r="E480" s="206" t="s">
        <v>89</v>
      </c>
      <c r="F480" s="111">
        <f t="shared" si="100"/>
        <v>0</v>
      </c>
      <c r="G480" s="227">
        <f>$G$199</f>
        <v>-30</v>
      </c>
      <c r="H480" s="206" t="s">
        <v>89</v>
      </c>
      <c r="I480" s="111">
        <f t="shared" si="101"/>
        <v>0</v>
      </c>
      <c r="J480" s="111"/>
      <c r="K480" s="227">
        <f>$K$199</f>
        <v>-30</v>
      </c>
      <c r="L480" s="206" t="s">
        <v>89</v>
      </c>
      <c r="M480" s="111">
        <f t="shared" si="102"/>
        <v>0</v>
      </c>
      <c r="N480" s="111"/>
      <c r="O480" s="227" t="str">
        <f>$O$199</f>
        <v xml:space="preserve"> </v>
      </c>
      <c r="P480" s="206" t="s">
        <v>89</v>
      </c>
      <c r="Q480" s="111">
        <f t="shared" si="103"/>
        <v>0</v>
      </c>
      <c r="R480" s="111"/>
      <c r="S480" s="227" t="str">
        <f>$S$199</f>
        <v xml:space="preserve"> </v>
      </c>
      <c r="T480" s="206" t="s">
        <v>89</v>
      </c>
      <c r="U480" s="111">
        <f t="shared" si="104"/>
        <v>0</v>
      </c>
      <c r="V480" s="44"/>
      <c r="W480" s="91"/>
      <c r="X480" s="91"/>
      <c r="Y480" s="91"/>
      <c r="Z480" s="44"/>
      <c r="AA480" s="44"/>
      <c r="AB480" s="44"/>
      <c r="AC480" s="44"/>
      <c r="AD480" s="44"/>
      <c r="AE480" s="44"/>
      <c r="AF480" s="44"/>
      <c r="AG480" s="44"/>
      <c r="AH480" s="44"/>
      <c r="AI480" s="44"/>
      <c r="AJ480" s="44"/>
      <c r="AK480" s="44"/>
      <c r="AL480" s="44"/>
      <c r="AM480" s="44"/>
      <c r="AN480" s="44"/>
      <c r="AO480" s="44"/>
      <c r="AP480" s="44"/>
    </row>
    <row r="481" spans="1:44" s="120" customFormat="1" hidden="1" x14ac:dyDescent="0.25">
      <c r="A481" s="119" t="s">
        <v>134</v>
      </c>
      <c r="C481" s="121">
        <f>C475</f>
        <v>0</v>
      </c>
      <c r="D481" s="128">
        <v>0</v>
      </c>
      <c r="E481" s="122"/>
      <c r="F481" s="123"/>
      <c r="G481" s="124">
        <f>G183</f>
        <v>0</v>
      </c>
      <c r="H481" s="215" t="s">
        <v>89</v>
      </c>
      <c r="I481" s="123">
        <f>I522+I562</f>
        <v>0</v>
      </c>
      <c r="J481" s="123"/>
      <c r="K481" s="124" t="str">
        <f>K183</f>
        <v xml:space="preserve"> </v>
      </c>
      <c r="L481" s="215" t="s">
        <v>89</v>
      </c>
      <c r="M481" s="123">
        <f>M522+M562</f>
        <v>0</v>
      </c>
      <c r="N481" s="123"/>
      <c r="O481" s="124" t="str">
        <f>O183</f>
        <v xml:space="preserve"> </v>
      </c>
      <c r="P481" s="215" t="s">
        <v>89</v>
      </c>
      <c r="Q481" s="123">
        <f>Q522+Q562</f>
        <v>0</v>
      </c>
      <c r="R481" s="123"/>
      <c r="S481" s="124">
        <f>S183</f>
        <v>0</v>
      </c>
      <c r="T481" s="215" t="s">
        <v>89</v>
      </c>
      <c r="U481" s="123">
        <f>U522+U562</f>
        <v>0</v>
      </c>
      <c r="W481" s="112"/>
      <c r="Z481" s="127"/>
      <c r="AA481" s="127"/>
      <c r="AF481" s="122"/>
      <c r="AG481" s="122"/>
      <c r="AH481" s="122"/>
      <c r="AI481" s="122"/>
      <c r="AJ481" s="122"/>
      <c r="AK481" s="122"/>
      <c r="AL481" s="122"/>
      <c r="AM481" s="122"/>
      <c r="AN481" s="122"/>
      <c r="AO481" s="122"/>
      <c r="AP481" s="122"/>
      <c r="AR481" s="126"/>
    </row>
    <row r="482" spans="1:44" s="120" customFormat="1" hidden="1" x14ac:dyDescent="0.25">
      <c r="A482" s="119" t="s">
        <v>135</v>
      </c>
      <c r="C482" s="121">
        <f>C476</f>
        <v>0</v>
      </c>
      <c r="D482" s="128">
        <v>0</v>
      </c>
      <c r="E482" s="122"/>
      <c r="F482" s="123"/>
      <c r="G482" s="124">
        <f>G184</f>
        <v>0</v>
      </c>
      <c r="H482" s="215" t="s">
        <v>89</v>
      </c>
      <c r="I482" s="123">
        <f>I523+I563</f>
        <v>0</v>
      </c>
      <c r="J482" s="123"/>
      <c r="K482" s="124" t="str">
        <f>K184</f>
        <v xml:space="preserve"> </v>
      </c>
      <c r="L482" s="215" t="s">
        <v>89</v>
      </c>
      <c r="M482" s="123">
        <f>M523+M563</f>
        <v>0</v>
      </c>
      <c r="N482" s="123"/>
      <c r="O482" s="124" t="str">
        <f>O184</f>
        <v xml:space="preserve"> </v>
      </c>
      <c r="P482" s="215" t="s">
        <v>89</v>
      </c>
      <c r="Q482" s="123">
        <f>Q523+Q563</f>
        <v>0</v>
      </c>
      <c r="R482" s="123"/>
      <c r="S482" s="124">
        <f>S184</f>
        <v>0</v>
      </c>
      <c r="T482" s="215" t="s">
        <v>89</v>
      </c>
      <c r="U482" s="123">
        <f>U523+U563</f>
        <v>0</v>
      </c>
      <c r="W482" s="112"/>
      <c r="Z482" s="127"/>
      <c r="AA482" s="127"/>
      <c r="AF482" s="122"/>
      <c r="AG482" s="122"/>
      <c r="AH482" s="122"/>
      <c r="AI482" s="122"/>
      <c r="AJ482" s="122"/>
      <c r="AK482" s="122"/>
      <c r="AL482" s="122"/>
      <c r="AM482" s="122"/>
      <c r="AN482" s="122"/>
      <c r="AO482" s="122"/>
      <c r="AP482" s="122"/>
      <c r="AR482" s="126"/>
    </row>
    <row r="483" spans="1:44" s="120" customFormat="1" hidden="1" x14ac:dyDescent="0.25">
      <c r="A483" s="119" t="s">
        <v>136</v>
      </c>
      <c r="C483" s="121">
        <f>C477</f>
        <v>0</v>
      </c>
      <c r="D483" s="128">
        <v>0</v>
      </c>
      <c r="E483" s="122"/>
      <c r="F483" s="123"/>
      <c r="G483" s="124">
        <f>G185</f>
        <v>0</v>
      </c>
      <c r="H483" s="215" t="s">
        <v>89</v>
      </c>
      <c r="I483" s="123">
        <f>I524+I564</f>
        <v>0</v>
      </c>
      <c r="J483" s="123"/>
      <c r="K483" s="124" t="str">
        <f>K185</f>
        <v xml:space="preserve"> </v>
      </c>
      <c r="L483" s="215" t="s">
        <v>89</v>
      </c>
      <c r="M483" s="123">
        <f>M524+M564</f>
        <v>0</v>
      </c>
      <c r="N483" s="123"/>
      <c r="O483" s="124" t="str">
        <f>O185</f>
        <v xml:space="preserve"> </v>
      </c>
      <c r="P483" s="215" t="s">
        <v>89</v>
      </c>
      <c r="Q483" s="123">
        <f>Q524+Q564</f>
        <v>0</v>
      </c>
      <c r="R483" s="123"/>
      <c r="S483" s="124">
        <f>S185</f>
        <v>0</v>
      </c>
      <c r="T483" s="215" t="s">
        <v>89</v>
      </c>
      <c r="U483" s="123">
        <f>U524+U564</f>
        <v>0</v>
      </c>
      <c r="W483" s="112"/>
      <c r="Z483" s="127"/>
      <c r="AA483" s="127"/>
      <c r="AF483" s="122"/>
      <c r="AG483" s="122"/>
      <c r="AH483" s="122"/>
      <c r="AI483" s="122"/>
      <c r="AJ483" s="122"/>
      <c r="AK483" s="122"/>
      <c r="AL483" s="122"/>
      <c r="AM483" s="122"/>
      <c r="AN483" s="122"/>
      <c r="AO483" s="122"/>
      <c r="AP483" s="122"/>
      <c r="AR483" s="126"/>
    </row>
    <row r="484" spans="1:44" hidden="1" x14ac:dyDescent="0.25">
      <c r="A484" s="149" t="s">
        <v>114</v>
      </c>
      <c r="B484" s="149"/>
      <c r="C484" s="204">
        <f>C519+C554</f>
        <v>290766</v>
      </c>
      <c r="D484" s="251"/>
      <c r="E484" s="206"/>
      <c r="F484" s="111">
        <f>F519+F554</f>
        <v>105817</v>
      </c>
      <c r="G484" s="111"/>
      <c r="H484" s="206"/>
      <c r="I484" s="111">
        <f t="shared" ref="I484" si="105">I519+I554</f>
        <v>108284</v>
      </c>
      <c r="J484" s="111"/>
      <c r="K484" s="111"/>
      <c r="L484" s="206"/>
      <c r="M484" s="111" t="e">
        <f t="shared" ref="M484" si="106">M519+M554</f>
        <v>#REF!</v>
      </c>
      <c r="N484" s="111"/>
      <c r="O484" s="111"/>
      <c r="P484" s="206"/>
      <c r="Q484" s="111" t="e">
        <f t="shared" ref="Q484" si="107">Q519+Q554</f>
        <v>#DIV/0!</v>
      </c>
      <c r="R484" s="111"/>
      <c r="S484" s="111"/>
      <c r="T484" s="206"/>
      <c r="U484" s="111" t="e">
        <f t="shared" ref="U484" si="108">U519+U554</f>
        <v>#DIV/0!</v>
      </c>
      <c r="V484" s="44"/>
      <c r="W484" s="91"/>
      <c r="X484" s="91"/>
      <c r="Y484" s="91"/>
      <c r="Z484" s="44"/>
      <c r="AA484" s="44"/>
      <c r="AB484" s="44"/>
      <c r="AC484" s="44"/>
      <c r="AD484" s="44"/>
      <c r="AE484" s="44"/>
      <c r="AF484" s="44"/>
      <c r="AG484" s="44"/>
      <c r="AH484" s="44"/>
      <c r="AI484" s="44"/>
      <c r="AJ484" s="44"/>
      <c r="AK484" s="44"/>
      <c r="AL484" s="44"/>
      <c r="AM484" s="44"/>
      <c r="AN484" s="44"/>
      <c r="AO484" s="44"/>
      <c r="AP484" s="44"/>
    </row>
    <row r="485" spans="1:44" hidden="1" x14ac:dyDescent="0.25">
      <c r="A485" s="149" t="s">
        <v>92</v>
      </c>
      <c r="B485" s="149"/>
      <c r="C485" s="229">
        <f>C520+C555</f>
        <v>1983.5291043492841</v>
      </c>
      <c r="D485" s="134"/>
      <c r="E485" s="134"/>
      <c r="F485" s="230">
        <f>F520+F555</f>
        <v>790.20164473136481</v>
      </c>
      <c r="G485" s="134"/>
      <c r="H485" s="134"/>
      <c r="I485" s="230">
        <f>F485</f>
        <v>790.20164473136481</v>
      </c>
      <c r="J485" s="207"/>
      <c r="K485" s="134"/>
      <c r="L485" s="134"/>
      <c r="M485" s="230" t="e">
        <f>M204/I204*I485</f>
        <v>#DIV/0!</v>
      </c>
      <c r="N485" s="207"/>
      <c r="O485" s="134"/>
      <c r="P485" s="134"/>
      <c r="Q485" s="230" t="e">
        <f>Q204/I204*I485</f>
        <v>#DIV/0!</v>
      </c>
      <c r="R485" s="207"/>
      <c r="S485" s="134"/>
      <c r="T485" s="134"/>
      <c r="U485" s="230" t="e">
        <f>U204/I204*I485</f>
        <v>#DIV/0!</v>
      </c>
      <c r="V485" s="165"/>
      <c r="W485" s="163"/>
      <c r="X485" s="91"/>
      <c r="Y485" s="91"/>
      <c r="Z485" s="44"/>
      <c r="AA485" s="44"/>
      <c r="AB485" s="44"/>
      <c r="AC485" s="44"/>
      <c r="AD485" s="44"/>
      <c r="AE485" s="44"/>
      <c r="AF485" s="44"/>
      <c r="AG485" s="44"/>
      <c r="AH485" s="44"/>
      <c r="AI485" s="44"/>
      <c r="AJ485" s="44"/>
      <c r="AK485" s="44"/>
      <c r="AL485" s="44"/>
      <c r="AM485" s="44"/>
      <c r="AN485" s="44"/>
      <c r="AO485" s="44"/>
      <c r="AP485" s="44"/>
    </row>
    <row r="486" spans="1:44" ht="16.5" hidden="1" thickBot="1" x14ac:dyDescent="0.3">
      <c r="A486" s="149" t="s">
        <v>115</v>
      </c>
      <c r="B486" s="149"/>
      <c r="C486" s="192">
        <f>SUM(C484:C485)</f>
        <v>292749.52910434926</v>
      </c>
      <c r="D486" s="245"/>
      <c r="E486" s="232"/>
      <c r="F486" s="233">
        <f>F484+F485</f>
        <v>106607.20164473137</v>
      </c>
      <c r="G486" s="245"/>
      <c r="H486" s="232"/>
      <c r="I486" s="233">
        <f>I484+I485</f>
        <v>109074.20164473137</v>
      </c>
      <c r="J486" s="207"/>
      <c r="K486" s="245"/>
      <c r="L486" s="232"/>
      <c r="M486" s="233" t="e">
        <f>M484+M485</f>
        <v>#REF!</v>
      </c>
      <c r="N486" s="233"/>
      <c r="O486" s="245"/>
      <c r="P486" s="232"/>
      <c r="Q486" s="233" t="e">
        <f>Q484+Q485</f>
        <v>#DIV/0!</v>
      </c>
      <c r="R486" s="233"/>
      <c r="S486" s="245"/>
      <c r="T486" s="232"/>
      <c r="U486" s="233" t="e">
        <f>U484+U485</f>
        <v>#DIV/0!</v>
      </c>
      <c r="V486" s="166"/>
      <c r="W486" s="167"/>
      <c r="X486" s="91"/>
      <c r="Y486" s="91"/>
      <c r="Z486" s="44"/>
      <c r="AA486" s="44"/>
      <c r="AB486" s="44"/>
      <c r="AC486" s="44"/>
      <c r="AD486" s="44"/>
      <c r="AE486" s="44"/>
      <c r="AF486" s="44"/>
      <c r="AG486" s="44"/>
      <c r="AH486" s="44"/>
      <c r="AI486" s="44"/>
      <c r="AJ486" s="44"/>
      <c r="AK486" s="44"/>
      <c r="AL486" s="44"/>
      <c r="AM486" s="44"/>
      <c r="AN486" s="44"/>
      <c r="AO486" s="44"/>
      <c r="AP486" s="44"/>
    </row>
    <row r="487" spans="1:44" hidden="1" x14ac:dyDescent="0.25">
      <c r="A487" s="149"/>
      <c r="B487" s="149"/>
      <c r="C487" s="169"/>
      <c r="D487" s="226" t="s">
        <v>0</v>
      </c>
      <c r="E487" s="149"/>
      <c r="F487" s="111"/>
      <c r="G487" s="250" t="s">
        <v>0</v>
      </c>
      <c r="H487" s="149"/>
      <c r="I487" s="111" t="s">
        <v>0</v>
      </c>
      <c r="J487" s="111"/>
      <c r="K487" s="250" t="s">
        <v>0</v>
      </c>
      <c r="L487" s="149"/>
      <c r="M487" s="111" t="s">
        <v>0</v>
      </c>
      <c r="N487" s="111"/>
      <c r="O487" s="250" t="s">
        <v>0</v>
      </c>
      <c r="P487" s="149"/>
      <c r="Q487" s="111" t="s">
        <v>0</v>
      </c>
      <c r="R487" s="111"/>
      <c r="S487" s="250" t="s">
        <v>0</v>
      </c>
      <c r="T487" s="149"/>
      <c r="U487" s="111" t="s">
        <v>0</v>
      </c>
      <c r="V487" s="44"/>
      <c r="W487" s="91"/>
      <c r="X487" s="91"/>
      <c r="Y487" s="91"/>
      <c r="Z487" s="44"/>
      <c r="AA487" s="44"/>
      <c r="AB487" s="44"/>
      <c r="AC487" s="44"/>
      <c r="AD487" s="44"/>
      <c r="AE487" s="44"/>
      <c r="AF487" s="44"/>
      <c r="AG487" s="44"/>
      <c r="AH487" s="44"/>
      <c r="AI487" s="44"/>
      <c r="AJ487" s="44"/>
      <c r="AK487" s="44"/>
      <c r="AL487" s="44"/>
      <c r="AM487" s="44"/>
      <c r="AN487" s="44"/>
      <c r="AO487" s="44"/>
      <c r="AP487" s="44"/>
    </row>
    <row r="488" spans="1:44" hidden="1" x14ac:dyDescent="0.25">
      <c r="A488" s="168" t="s">
        <v>155</v>
      </c>
      <c r="B488" s="149"/>
      <c r="C488" s="149"/>
      <c r="D488" s="111"/>
      <c r="E488" s="149"/>
      <c r="F488" s="149"/>
      <c r="G488" s="111"/>
      <c r="H488" s="149"/>
      <c r="I488" s="149"/>
      <c r="J488" s="149"/>
      <c r="K488" s="111"/>
      <c r="L488" s="149"/>
      <c r="M488" s="149"/>
      <c r="N488" s="149"/>
      <c r="O488" s="111"/>
      <c r="P488" s="149"/>
      <c r="Q488" s="149"/>
      <c r="R488" s="149"/>
      <c r="S488" s="111"/>
      <c r="T488" s="149"/>
      <c r="U488" s="149"/>
      <c r="V488" s="44"/>
      <c r="W488" s="91"/>
      <c r="X488" s="91"/>
      <c r="Y488" s="91"/>
      <c r="Z488" s="44"/>
      <c r="AA488" s="44"/>
      <c r="AB488" s="44"/>
      <c r="AC488" s="44"/>
      <c r="AD488" s="44"/>
      <c r="AE488" s="44"/>
      <c r="AF488" s="44"/>
      <c r="AG488" s="44"/>
      <c r="AH488" s="44"/>
      <c r="AI488" s="44"/>
      <c r="AJ488" s="44"/>
      <c r="AK488" s="44"/>
      <c r="AL488" s="44"/>
      <c r="AM488" s="44"/>
      <c r="AN488" s="44"/>
      <c r="AO488" s="44"/>
      <c r="AP488" s="44"/>
    </row>
    <row r="489" spans="1:44" hidden="1" x14ac:dyDescent="0.25">
      <c r="A489" s="149" t="s">
        <v>150</v>
      </c>
      <c r="B489" s="149"/>
      <c r="C489" s="149"/>
      <c r="D489" s="111"/>
      <c r="E489" s="149"/>
      <c r="F489" s="149"/>
      <c r="G489" s="111"/>
      <c r="H489" s="149"/>
      <c r="I489" s="149"/>
      <c r="J489" s="149"/>
      <c r="K489" s="111"/>
      <c r="L489" s="149"/>
      <c r="M489" s="149"/>
      <c r="N489" s="149"/>
      <c r="O489" s="111"/>
      <c r="P489" s="149"/>
      <c r="Q489" s="149"/>
      <c r="R489" s="149"/>
      <c r="S489" s="111"/>
      <c r="T489" s="149"/>
      <c r="U489" s="149"/>
      <c r="V489" s="44"/>
      <c r="W489" s="91"/>
      <c r="X489" s="91"/>
      <c r="Y489" s="91"/>
      <c r="Z489" s="44"/>
      <c r="AA489" s="44"/>
      <c r="AB489" s="44"/>
      <c r="AC489" s="44"/>
      <c r="AD489" s="44"/>
      <c r="AE489" s="44"/>
      <c r="AF489" s="44"/>
      <c r="AG489" s="44"/>
      <c r="AH489" s="44"/>
      <c r="AI489" s="44"/>
      <c r="AJ489" s="44"/>
      <c r="AK489" s="44"/>
      <c r="AL489" s="44"/>
      <c r="AM489" s="44"/>
      <c r="AN489" s="44"/>
      <c r="AO489" s="44"/>
      <c r="AP489" s="44"/>
    </row>
    <row r="490" spans="1:44" hidden="1" x14ac:dyDescent="0.25">
      <c r="A490" s="149" t="s">
        <v>156</v>
      </c>
      <c r="B490" s="149"/>
      <c r="C490" s="149"/>
      <c r="D490" s="111"/>
      <c r="E490" s="149"/>
      <c r="F490" s="149"/>
      <c r="G490" s="111"/>
      <c r="H490" s="149"/>
      <c r="I490" s="149"/>
      <c r="J490" s="149"/>
      <c r="K490" s="111"/>
      <c r="L490" s="149"/>
      <c r="M490" s="149"/>
      <c r="N490" s="149"/>
      <c r="O490" s="111"/>
      <c r="P490" s="149"/>
      <c r="Q490" s="149"/>
      <c r="R490" s="149"/>
      <c r="S490" s="111"/>
      <c r="T490" s="149"/>
      <c r="U490" s="149"/>
      <c r="V490" s="44"/>
      <c r="W490" s="91"/>
      <c r="X490" s="91"/>
      <c r="Y490" s="91"/>
      <c r="Z490" s="44"/>
      <c r="AA490" s="44"/>
      <c r="AB490" s="44"/>
      <c r="AC490" s="44"/>
      <c r="AD490" s="44"/>
      <c r="AE490" s="44"/>
      <c r="AF490" s="44"/>
      <c r="AG490" s="44"/>
      <c r="AH490" s="44"/>
      <c r="AI490" s="44"/>
      <c r="AJ490" s="44"/>
      <c r="AK490" s="44"/>
      <c r="AL490" s="44"/>
      <c r="AM490" s="44"/>
      <c r="AN490" s="44"/>
      <c r="AO490" s="44"/>
      <c r="AP490" s="44"/>
    </row>
    <row r="491" spans="1:44" hidden="1" x14ac:dyDescent="0.25">
      <c r="A491" s="149" t="s">
        <v>127</v>
      </c>
      <c r="B491" s="149"/>
      <c r="C491" s="204"/>
      <c r="D491" s="111"/>
      <c r="E491" s="149"/>
      <c r="F491" s="149"/>
      <c r="G491" s="111"/>
      <c r="H491" s="149"/>
      <c r="I491" s="149"/>
      <c r="J491" s="149"/>
      <c r="K491" s="111"/>
      <c r="L491" s="149"/>
      <c r="M491" s="149"/>
      <c r="N491" s="149"/>
      <c r="O491" s="111"/>
      <c r="P491" s="149"/>
      <c r="Q491" s="149"/>
      <c r="R491" s="149"/>
      <c r="S491" s="111"/>
      <c r="T491" s="149"/>
      <c r="U491" s="149"/>
      <c r="V491" s="44"/>
      <c r="W491" s="91"/>
      <c r="X491" s="91"/>
      <c r="Y491" s="91"/>
      <c r="Z491" s="44"/>
      <c r="AA491" s="44"/>
      <c r="AB491" s="44"/>
      <c r="AC491" s="44"/>
      <c r="AD491" s="44"/>
      <c r="AE491" s="44"/>
      <c r="AF491" s="44"/>
      <c r="AG491" s="44"/>
      <c r="AH491" s="44"/>
      <c r="AI491" s="44"/>
      <c r="AJ491" s="44"/>
      <c r="AK491" s="44"/>
      <c r="AL491" s="44"/>
      <c r="AM491" s="44"/>
      <c r="AN491" s="44"/>
      <c r="AO491" s="44"/>
      <c r="AP491" s="44"/>
    </row>
    <row r="492" spans="1:44" hidden="1" x14ac:dyDescent="0.25">
      <c r="A492" s="149" t="s">
        <v>124</v>
      </c>
      <c r="B492" s="149"/>
      <c r="C492" s="204">
        <v>2</v>
      </c>
      <c r="D492" s="173">
        <v>117.12</v>
      </c>
      <c r="E492" s="206"/>
      <c r="F492" s="111">
        <f>ROUND(D492*$C492,0)</f>
        <v>234</v>
      </c>
      <c r="G492" s="173">
        <f>$G$169</f>
        <v>119.88</v>
      </c>
      <c r="H492" s="206"/>
      <c r="I492" s="111">
        <f>ROUND(G492*$C492,0)</f>
        <v>240</v>
      </c>
      <c r="J492" s="111"/>
      <c r="K492" s="173">
        <f>$K$169</f>
        <v>117.12</v>
      </c>
      <c r="L492" s="206"/>
      <c r="M492" s="111">
        <f>ROUND(K492*$C492,0)</f>
        <v>234</v>
      </c>
      <c r="N492" s="111"/>
      <c r="O492" s="173" t="str">
        <f>$O$169</f>
        <v xml:space="preserve"> </v>
      </c>
      <c r="P492" s="206"/>
      <c r="Q492" s="111">
        <f>ROUND(O492*$C492,0)</f>
        <v>0</v>
      </c>
      <c r="R492" s="111"/>
      <c r="S492" s="173" t="str">
        <f>$S$169</f>
        <v xml:space="preserve"> </v>
      </c>
      <c r="T492" s="206"/>
      <c r="U492" s="111">
        <f>ROUND(S492*$C492,0)</f>
        <v>0</v>
      </c>
      <c r="V492" s="44"/>
      <c r="W492" s="91"/>
      <c r="X492" s="91"/>
      <c r="Y492" s="91"/>
      <c r="Z492" s="44"/>
      <c r="AA492" s="44"/>
      <c r="AB492" s="44"/>
      <c r="AC492" s="44"/>
      <c r="AD492" s="44"/>
      <c r="AE492" s="44"/>
      <c r="AF492" s="44"/>
      <c r="AG492" s="44"/>
      <c r="AH492" s="44"/>
      <c r="AI492" s="44"/>
      <c r="AJ492" s="44"/>
      <c r="AK492" s="44"/>
      <c r="AL492" s="44"/>
      <c r="AM492" s="44"/>
      <c r="AN492" s="44"/>
      <c r="AO492" s="44"/>
      <c r="AP492" s="44"/>
    </row>
    <row r="493" spans="1:44" hidden="1" x14ac:dyDescent="0.25">
      <c r="A493" s="149" t="s">
        <v>125</v>
      </c>
      <c r="B493" s="149"/>
      <c r="C493" s="204">
        <v>81.084931506849301</v>
      </c>
      <c r="D493" s="173">
        <v>174.48</v>
      </c>
      <c r="E493" s="208"/>
      <c r="F493" s="111">
        <f t="shared" ref="F493:F494" si="109">ROUND(D493*$C493,0)</f>
        <v>14148</v>
      </c>
      <c r="G493" s="173">
        <f>$G$170</f>
        <v>178.68</v>
      </c>
      <c r="H493" s="208"/>
      <c r="I493" s="111">
        <f>ROUND(G493*$C493,0)</f>
        <v>14488</v>
      </c>
      <c r="J493" s="111"/>
      <c r="K493" s="173">
        <f>$K$170</f>
        <v>174.48</v>
      </c>
      <c r="L493" s="208"/>
      <c r="M493" s="111">
        <f>ROUND(K493*$C493,0)</f>
        <v>14148</v>
      </c>
      <c r="N493" s="111"/>
      <c r="O493" s="173" t="str">
        <f>$O$170</f>
        <v xml:space="preserve"> </v>
      </c>
      <c r="P493" s="208"/>
      <c r="Q493" s="111">
        <f>ROUND(O493*$C493,0)</f>
        <v>0</v>
      </c>
      <c r="R493" s="111"/>
      <c r="S493" s="173" t="str">
        <f>$S$170</f>
        <v xml:space="preserve"> </v>
      </c>
      <c r="T493" s="208"/>
      <c r="U493" s="111">
        <f>ROUND(S493*$C493,0)</f>
        <v>0</v>
      </c>
      <c r="V493" s="44"/>
      <c r="W493" s="91"/>
      <c r="X493" s="91"/>
      <c r="Y493" s="91"/>
      <c r="Z493" s="44"/>
      <c r="AA493" s="44"/>
      <c r="AB493" s="44"/>
      <c r="AC493" s="44"/>
      <c r="AD493" s="44"/>
      <c r="AE493" s="44"/>
      <c r="AF493" s="44"/>
      <c r="AG493" s="44"/>
      <c r="AH493" s="44"/>
      <c r="AI493" s="44"/>
      <c r="AJ493" s="44"/>
      <c r="AK493" s="44"/>
      <c r="AL493" s="44"/>
      <c r="AM493" s="44"/>
      <c r="AN493" s="44"/>
      <c r="AO493" s="44"/>
      <c r="AP493" s="44"/>
    </row>
    <row r="494" spans="1:44" hidden="1" x14ac:dyDescent="0.25">
      <c r="A494" s="149" t="s">
        <v>126</v>
      </c>
      <c r="B494" s="149"/>
      <c r="C494" s="204">
        <v>2711.9452054794501</v>
      </c>
      <c r="D494" s="173">
        <v>12.24</v>
      </c>
      <c r="E494" s="208"/>
      <c r="F494" s="111">
        <f t="shared" si="109"/>
        <v>33194</v>
      </c>
      <c r="G494" s="173">
        <f>$G$171</f>
        <v>12.48</v>
      </c>
      <c r="H494" s="208"/>
      <c r="I494" s="111">
        <f>ROUND(G494*$C494,0)</f>
        <v>33845</v>
      </c>
      <c r="J494" s="111"/>
      <c r="K494" s="173">
        <f>$K$171</f>
        <v>12.24</v>
      </c>
      <c r="L494" s="208"/>
      <c r="M494" s="111">
        <f>ROUND(K494*$C494,0)</f>
        <v>33194</v>
      </c>
      <c r="N494" s="111"/>
      <c r="O494" s="173" t="str">
        <f>$O$171</f>
        <v xml:space="preserve"> </v>
      </c>
      <c r="P494" s="208"/>
      <c r="Q494" s="111">
        <f>ROUND(O494*$C494,0)</f>
        <v>0</v>
      </c>
      <c r="R494" s="111"/>
      <c r="S494" s="173" t="str">
        <f>$S$171</f>
        <v xml:space="preserve"> </v>
      </c>
      <c r="T494" s="208"/>
      <c r="U494" s="111">
        <f>ROUND(S494*$C494,0)</f>
        <v>0</v>
      </c>
      <c r="V494" s="44"/>
      <c r="W494" s="91"/>
      <c r="X494" s="91"/>
      <c r="Y494" s="91"/>
      <c r="Z494" s="44"/>
      <c r="AA494" s="44"/>
      <c r="AB494" s="44"/>
      <c r="AC494" s="44"/>
      <c r="AD494" s="44"/>
      <c r="AE494" s="44"/>
      <c r="AF494" s="44"/>
      <c r="AG494" s="44"/>
      <c r="AH494" s="44"/>
      <c r="AI494" s="44"/>
      <c r="AJ494" s="44"/>
      <c r="AK494" s="44"/>
      <c r="AL494" s="44"/>
      <c r="AM494" s="44"/>
      <c r="AN494" s="44"/>
      <c r="AO494" s="44"/>
      <c r="AP494" s="44"/>
    </row>
    <row r="495" spans="1:44" hidden="1" x14ac:dyDescent="0.25">
      <c r="A495" s="149" t="s">
        <v>128</v>
      </c>
      <c r="B495" s="149"/>
      <c r="C495" s="204">
        <v>83.084931506849301</v>
      </c>
      <c r="D495" s="173"/>
      <c r="E495" s="206"/>
      <c r="F495" s="111"/>
      <c r="G495" s="173"/>
      <c r="H495" s="206"/>
      <c r="I495" s="111"/>
      <c r="J495" s="111"/>
      <c r="K495" s="173"/>
      <c r="L495" s="206"/>
      <c r="M495" s="111"/>
      <c r="N495" s="111"/>
      <c r="O495" s="173"/>
      <c r="P495" s="206"/>
      <c r="Q495" s="111"/>
      <c r="R495" s="111"/>
      <c r="S495" s="173"/>
      <c r="T495" s="206"/>
      <c r="U495" s="111"/>
      <c r="V495" s="44"/>
      <c r="W495" s="91"/>
      <c r="X495" s="91"/>
      <c r="Y495" s="91"/>
      <c r="Z495" s="44"/>
      <c r="AA495" s="44"/>
      <c r="AB495" s="44"/>
      <c r="AC495" s="44"/>
      <c r="AD495" s="44"/>
      <c r="AE495" s="44"/>
      <c r="AF495" s="44"/>
      <c r="AG495" s="44"/>
      <c r="AH495" s="44"/>
      <c r="AI495" s="44"/>
      <c r="AJ495" s="44"/>
      <c r="AK495" s="44"/>
      <c r="AL495" s="44"/>
      <c r="AM495" s="44"/>
      <c r="AN495" s="44"/>
      <c r="AO495" s="44"/>
      <c r="AP495" s="44"/>
    </row>
    <row r="496" spans="1:44" hidden="1" x14ac:dyDescent="0.25">
      <c r="A496" s="149" t="s">
        <v>157</v>
      </c>
      <c r="B496" s="149"/>
      <c r="C496" s="204">
        <v>967.71261904761934</v>
      </c>
      <c r="D496" s="173"/>
      <c r="E496" s="206"/>
      <c r="F496" s="111"/>
      <c r="G496" s="173"/>
      <c r="H496" s="206"/>
      <c r="I496" s="111"/>
      <c r="J496" s="111"/>
      <c r="K496" s="173"/>
      <c r="L496" s="206"/>
      <c r="M496" s="111"/>
      <c r="N496" s="111"/>
      <c r="O496" s="173"/>
      <c r="P496" s="206"/>
      <c r="Q496" s="111"/>
      <c r="R496" s="111"/>
      <c r="S496" s="173"/>
      <c r="T496" s="206"/>
      <c r="U496" s="111"/>
      <c r="V496" s="44"/>
      <c r="W496" s="91"/>
      <c r="X496" s="91"/>
      <c r="Y496" s="91"/>
      <c r="Z496" s="44"/>
      <c r="AA496" s="44"/>
      <c r="AB496" s="44"/>
      <c r="AC496" s="44"/>
      <c r="AD496" s="44"/>
      <c r="AE496" s="44"/>
      <c r="AF496" s="44"/>
      <c r="AG496" s="44"/>
      <c r="AH496" s="44"/>
      <c r="AI496" s="44"/>
      <c r="AJ496" s="44"/>
      <c r="AK496" s="44"/>
      <c r="AL496" s="44"/>
      <c r="AM496" s="44"/>
      <c r="AN496" s="44"/>
      <c r="AO496" s="44"/>
      <c r="AP496" s="44"/>
    </row>
    <row r="497" spans="1:44" hidden="1" x14ac:dyDescent="0.25">
      <c r="A497" s="149" t="s">
        <v>129</v>
      </c>
      <c r="B497" s="149"/>
      <c r="C497" s="204">
        <v>7906.5367188213504</v>
      </c>
      <c r="D497" s="226">
        <v>3.7</v>
      </c>
      <c r="E497" s="206"/>
      <c r="F497" s="111">
        <f>ROUND(D497*C497,0)</f>
        <v>29254</v>
      </c>
      <c r="G497" s="226">
        <f>$G$178</f>
        <v>3.8</v>
      </c>
      <c r="H497" s="206"/>
      <c r="I497" s="111">
        <f>ROUND(G497*$C497,0)</f>
        <v>30045</v>
      </c>
      <c r="J497" s="111"/>
      <c r="K497" s="226" t="e">
        <f>$K$178</f>
        <v>#REF!</v>
      </c>
      <c r="L497" s="206"/>
      <c r="M497" s="111" t="e">
        <f>ROUND(K497*$C497,0)</f>
        <v>#REF!</v>
      </c>
      <c r="N497" s="111"/>
      <c r="O497" s="226" t="e">
        <f>$O$178</f>
        <v>#DIV/0!</v>
      </c>
      <c r="P497" s="206"/>
      <c r="Q497" s="111" t="e">
        <f>ROUND(O497*$C497,0)</f>
        <v>#DIV/0!</v>
      </c>
      <c r="R497" s="111"/>
      <c r="S497" s="226" t="e">
        <f>$S$178</f>
        <v>#DIV/0!</v>
      </c>
      <c r="T497" s="206"/>
      <c r="U497" s="111" t="e">
        <f>ROUND(S497*$C497,0)</f>
        <v>#DIV/0!</v>
      </c>
      <c r="V497" s="44"/>
      <c r="W497" s="91"/>
      <c r="X497" s="91"/>
      <c r="Y497" s="91"/>
      <c r="Z497" s="44"/>
      <c r="AA497" s="44"/>
      <c r="AB497" s="44"/>
      <c r="AC497" s="44"/>
      <c r="AD497" s="44"/>
      <c r="AE497" s="44"/>
      <c r="AF497" s="44"/>
      <c r="AG497" s="44"/>
      <c r="AH497" s="44"/>
      <c r="AI497" s="44"/>
      <c r="AJ497" s="44"/>
      <c r="AK497" s="44"/>
      <c r="AL497" s="44"/>
      <c r="AM497" s="44"/>
      <c r="AN497" s="44"/>
      <c r="AO497" s="44"/>
      <c r="AP497" s="44"/>
    </row>
    <row r="498" spans="1:44" hidden="1" x14ac:dyDescent="0.25">
      <c r="A498" s="149" t="s">
        <v>130</v>
      </c>
      <c r="B498" s="149"/>
      <c r="C498" s="204">
        <v>154025</v>
      </c>
      <c r="D498" s="175">
        <v>10.628</v>
      </c>
      <c r="E498" s="206" t="s">
        <v>89</v>
      </c>
      <c r="F498" s="111">
        <f>ROUND(D498*C498/100,0)</f>
        <v>16370</v>
      </c>
      <c r="G498" s="175">
        <f>$G$179</f>
        <v>10.878</v>
      </c>
      <c r="H498" s="206" t="s">
        <v>89</v>
      </c>
      <c r="I498" s="111">
        <f>ROUND(G498*$C498/100,0)</f>
        <v>16755</v>
      </c>
      <c r="J498" s="111"/>
      <c r="K498" s="175" t="e">
        <f>$K$179</f>
        <v>#REF!</v>
      </c>
      <c r="L498" s="206" t="s">
        <v>89</v>
      </c>
      <c r="M498" s="111" t="e">
        <f>ROUND(K498*$C498/100,0)</f>
        <v>#REF!</v>
      </c>
      <c r="N498" s="111"/>
      <c r="O498" s="175" t="e">
        <f>$O$179</f>
        <v>#DIV/0!</v>
      </c>
      <c r="P498" s="206" t="s">
        <v>89</v>
      </c>
      <c r="Q498" s="111" t="e">
        <f>ROUND(O498*$C498/100,0)</f>
        <v>#DIV/0!</v>
      </c>
      <c r="R498" s="111"/>
      <c r="S498" s="175" t="e">
        <f>$S$179</f>
        <v>#DIV/0!</v>
      </c>
      <c r="T498" s="206" t="s">
        <v>89</v>
      </c>
      <c r="U498" s="111" t="e">
        <f>ROUND(S498*$C498/100,0)</f>
        <v>#DIV/0!</v>
      </c>
      <c r="V498" s="44"/>
      <c r="W498" s="91"/>
      <c r="X498" s="91"/>
      <c r="Y498" s="91"/>
      <c r="Z498" s="44"/>
      <c r="AA498" s="44"/>
      <c r="AB498" s="44"/>
      <c r="AC498" s="44"/>
      <c r="AD498" s="44"/>
      <c r="AE498" s="44"/>
      <c r="AF498" s="44"/>
      <c r="AG498" s="44"/>
      <c r="AH498" s="44"/>
      <c r="AI498" s="44"/>
      <c r="AJ498" s="44"/>
      <c r="AK498" s="44"/>
      <c r="AL498" s="44"/>
      <c r="AM498" s="44"/>
      <c r="AN498" s="44"/>
      <c r="AO498" s="44"/>
      <c r="AP498" s="44"/>
    </row>
    <row r="499" spans="1:44" hidden="1" x14ac:dyDescent="0.25">
      <c r="A499" s="149" t="s">
        <v>131</v>
      </c>
      <c r="B499" s="149"/>
      <c r="C499" s="204">
        <v>130955</v>
      </c>
      <c r="D499" s="175">
        <v>7.3410000000000002</v>
      </c>
      <c r="E499" s="206" t="s">
        <v>89</v>
      </c>
      <c r="F499" s="111">
        <f>ROUND(D499*C499/100,0)</f>
        <v>9613</v>
      </c>
      <c r="G499" s="175">
        <f>$G$180</f>
        <v>7.5140000000000002</v>
      </c>
      <c r="H499" s="206" t="s">
        <v>89</v>
      </c>
      <c r="I499" s="111">
        <f>ROUND(G499*$C499/100,0)</f>
        <v>9840</v>
      </c>
      <c r="J499" s="111"/>
      <c r="K499" s="175" t="e">
        <f>$K$180</f>
        <v>#REF!</v>
      </c>
      <c r="L499" s="206" t="s">
        <v>89</v>
      </c>
      <c r="M499" s="111" t="e">
        <f>ROUND(K499*$C499/100,0)</f>
        <v>#REF!</v>
      </c>
      <c r="N499" s="111"/>
      <c r="O499" s="175" t="e">
        <f>$O$180</f>
        <v>#DIV/0!</v>
      </c>
      <c r="P499" s="206" t="s">
        <v>89</v>
      </c>
      <c r="Q499" s="111" t="e">
        <f>ROUND(O499*$C499/100,0)</f>
        <v>#DIV/0!</v>
      </c>
      <c r="R499" s="111"/>
      <c r="S499" s="175" t="e">
        <f>$S$180</f>
        <v>#DIV/0!</v>
      </c>
      <c r="T499" s="206" t="s">
        <v>89</v>
      </c>
      <c r="U499" s="111" t="e">
        <f>ROUND(S499*$C499/100,0)</f>
        <v>#DIV/0!</v>
      </c>
      <c r="V499" s="44"/>
      <c r="W499" s="91"/>
      <c r="X499" s="91"/>
      <c r="Y499" s="91"/>
      <c r="Z499" s="44"/>
      <c r="AA499" s="44"/>
      <c r="AB499" s="44"/>
      <c r="AC499" s="44"/>
      <c r="AD499" s="44"/>
      <c r="AE499" s="44"/>
      <c r="AF499" s="44"/>
      <c r="AG499" s="44"/>
      <c r="AH499" s="44"/>
      <c r="AI499" s="44"/>
      <c r="AJ499" s="44"/>
      <c r="AK499" s="44"/>
      <c r="AL499" s="44"/>
      <c r="AM499" s="44"/>
      <c r="AN499" s="44"/>
      <c r="AO499" s="44"/>
      <c r="AP499" s="44"/>
    </row>
    <row r="500" spans="1:44" hidden="1" x14ac:dyDescent="0.25">
      <c r="A500" s="149" t="s">
        <v>132</v>
      </c>
      <c r="B500" s="149"/>
      <c r="C500" s="204">
        <v>0</v>
      </c>
      <c r="D500" s="175">
        <v>6.3240000000000007</v>
      </c>
      <c r="E500" s="206" t="s">
        <v>89</v>
      </c>
      <c r="F500" s="111">
        <f>ROUND(D500*C500/100,0)</f>
        <v>0</v>
      </c>
      <c r="G500" s="175">
        <f>$G$181</f>
        <v>6.4720000000000004</v>
      </c>
      <c r="H500" s="206" t="s">
        <v>89</v>
      </c>
      <c r="I500" s="111">
        <f>ROUND(G500*$C500/100,0)</f>
        <v>0</v>
      </c>
      <c r="J500" s="111"/>
      <c r="K500" s="175" t="e">
        <f>$K$181</f>
        <v>#REF!</v>
      </c>
      <c r="L500" s="206" t="s">
        <v>89</v>
      </c>
      <c r="M500" s="111" t="e">
        <f>ROUND(K500*$C500/100,0)</f>
        <v>#REF!</v>
      </c>
      <c r="N500" s="111"/>
      <c r="O500" s="175" t="e">
        <f>$O$181</f>
        <v>#DIV/0!</v>
      </c>
      <c r="P500" s="206" t="s">
        <v>89</v>
      </c>
      <c r="Q500" s="111" t="e">
        <f>ROUND(O500*$C500/100,0)</f>
        <v>#DIV/0!</v>
      </c>
      <c r="R500" s="111"/>
      <c r="S500" s="175" t="e">
        <f>$S$181</f>
        <v>#DIV/0!</v>
      </c>
      <c r="T500" s="206" t="s">
        <v>89</v>
      </c>
      <c r="U500" s="111" t="e">
        <f>ROUND(S500*$C500/100,0)</f>
        <v>#DIV/0!</v>
      </c>
      <c r="V500" s="44"/>
      <c r="W500" s="91"/>
      <c r="X500" s="91"/>
      <c r="Y500" s="91"/>
      <c r="Z500" s="44"/>
      <c r="AA500" s="44"/>
      <c r="AB500" s="44"/>
      <c r="AC500" s="44"/>
      <c r="AD500" s="44"/>
      <c r="AE500" s="44"/>
      <c r="AF500" s="44"/>
      <c r="AG500" s="44"/>
      <c r="AH500" s="44"/>
      <c r="AI500" s="44"/>
      <c r="AJ500" s="44"/>
      <c r="AK500" s="44"/>
      <c r="AL500" s="44"/>
      <c r="AM500" s="44"/>
      <c r="AN500" s="44"/>
      <c r="AO500" s="44"/>
      <c r="AP500" s="44"/>
    </row>
    <row r="501" spans="1:44" hidden="1" x14ac:dyDescent="0.25">
      <c r="A501" s="149" t="s">
        <v>133</v>
      </c>
      <c r="B501" s="149"/>
      <c r="C501" s="204">
        <v>1569.0261904761901</v>
      </c>
      <c r="D501" s="212">
        <v>57</v>
      </c>
      <c r="E501" s="206" t="s">
        <v>89</v>
      </c>
      <c r="F501" s="111">
        <f>ROUND(D501*C501/100,0)</f>
        <v>894</v>
      </c>
      <c r="G501" s="212">
        <f>$G$182</f>
        <v>58</v>
      </c>
      <c r="H501" s="206" t="s">
        <v>89</v>
      </c>
      <c r="I501" s="111">
        <f>ROUND(G501*$C501/100,0)</f>
        <v>910</v>
      </c>
      <c r="J501" s="111"/>
      <c r="K501" s="212" t="str">
        <f>$K$182</f>
        <v xml:space="preserve"> </v>
      </c>
      <c r="L501" s="206" t="s">
        <v>89</v>
      </c>
      <c r="M501" s="111">
        <f>ROUND(K501*$C501/100,0)</f>
        <v>0</v>
      </c>
      <c r="N501" s="111"/>
      <c r="O501" s="212" t="e">
        <f>$O$182</f>
        <v>#DIV/0!</v>
      </c>
      <c r="P501" s="206" t="s">
        <v>89</v>
      </c>
      <c r="Q501" s="111" t="e">
        <f>ROUND(O501*$C501/100,0)</f>
        <v>#DIV/0!</v>
      </c>
      <c r="R501" s="111"/>
      <c r="S501" s="212" t="e">
        <f>$S$182</f>
        <v>#DIV/0!</v>
      </c>
      <c r="T501" s="206" t="s">
        <v>89</v>
      </c>
      <c r="U501" s="111" t="e">
        <f>ROUND(S501*$C501/100,0)</f>
        <v>#DIV/0!</v>
      </c>
      <c r="V501" s="44"/>
      <c r="W501" s="91"/>
      <c r="X501" s="91"/>
      <c r="Y501" s="91"/>
      <c r="Z501" s="44"/>
      <c r="AA501" s="44"/>
      <c r="AB501" s="44"/>
      <c r="AC501" s="44"/>
      <c r="AD501" s="44"/>
      <c r="AE501" s="44"/>
      <c r="AF501" s="44"/>
      <c r="AG501" s="44"/>
      <c r="AH501" s="44"/>
      <c r="AI501" s="44"/>
      <c r="AJ501" s="44"/>
      <c r="AK501" s="44"/>
      <c r="AL501" s="44"/>
      <c r="AM501" s="44"/>
      <c r="AN501" s="44"/>
      <c r="AO501" s="44"/>
      <c r="AP501" s="44"/>
    </row>
    <row r="502" spans="1:44" s="120" customFormat="1" hidden="1" x14ac:dyDescent="0.25">
      <c r="A502" s="119" t="s">
        <v>134</v>
      </c>
      <c r="C502" s="121">
        <f t="shared" ref="C502:C503" si="110">C498</f>
        <v>154025</v>
      </c>
      <c r="D502" s="128">
        <v>0</v>
      </c>
      <c r="E502" s="122"/>
      <c r="F502" s="123"/>
      <c r="G502" s="124">
        <f>G183</f>
        <v>0</v>
      </c>
      <c r="H502" s="215" t="s">
        <v>89</v>
      </c>
      <c r="I502" s="123">
        <f t="shared" ref="I502:I504" si="111">ROUND(G502*$C502/100,0)</f>
        <v>0</v>
      </c>
      <c r="J502" s="123"/>
      <c r="K502" s="124" t="str">
        <f>K183</f>
        <v xml:space="preserve"> </v>
      </c>
      <c r="L502" s="215" t="s">
        <v>89</v>
      </c>
      <c r="M502" s="123">
        <f t="shared" ref="M502:M504" si="112">ROUND(K502*$C502/100,0)</f>
        <v>0</v>
      </c>
      <c r="N502" s="123"/>
      <c r="O502" s="124" t="str">
        <f>O183</f>
        <v xml:space="preserve"> </v>
      </c>
      <c r="P502" s="215" t="s">
        <v>89</v>
      </c>
      <c r="Q502" s="123">
        <f t="shared" ref="Q502:Q504" si="113">ROUND(O502*$C502/100,0)</f>
        <v>0</v>
      </c>
      <c r="R502" s="123"/>
      <c r="S502" s="124">
        <f>S183</f>
        <v>0</v>
      </c>
      <c r="T502" s="215" t="s">
        <v>89</v>
      </c>
      <c r="U502" s="123">
        <f t="shared" ref="U502:U504" si="114">ROUND(S502*$C502/100,0)</f>
        <v>0</v>
      </c>
      <c r="W502" s="112"/>
      <c r="Z502" s="127"/>
      <c r="AA502" s="127"/>
      <c r="AF502" s="122"/>
      <c r="AG502" s="122"/>
      <c r="AH502" s="122"/>
      <c r="AI502" s="122"/>
      <c r="AJ502" s="122"/>
      <c r="AK502" s="122"/>
      <c r="AL502" s="122"/>
      <c r="AM502" s="122"/>
      <c r="AN502" s="122"/>
      <c r="AO502" s="122"/>
      <c r="AP502" s="122"/>
      <c r="AR502" s="126"/>
    </row>
    <row r="503" spans="1:44" s="120" customFormat="1" hidden="1" x14ac:dyDescent="0.25">
      <c r="A503" s="119" t="s">
        <v>135</v>
      </c>
      <c r="C503" s="121">
        <f t="shared" si="110"/>
        <v>130955</v>
      </c>
      <c r="D503" s="128">
        <v>0</v>
      </c>
      <c r="E503" s="122"/>
      <c r="F503" s="123"/>
      <c r="G503" s="124">
        <f>G184</f>
        <v>0</v>
      </c>
      <c r="H503" s="215" t="s">
        <v>89</v>
      </c>
      <c r="I503" s="123">
        <f t="shared" si="111"/>
        <v>0</v>
      </c>
      <c r="J503" s="123"/>
      <c r="K503" s="124" t="str">
        <f>K184</f>
        <v xml:space="preserve"> </v>
      </c>
      <c r="L503" s="215" t="s">
        <v>89</v>
      </c>
      <c r="M503" s="123">
        <f t="shared" si="112"/>
        <v>0</v>
      </c>
      <c r="N503" s="123"/>
      <c r="O503" s="124" t="str">
        <f>O184</f>
        <v xml:space="preserve"> </v>
      </c>
      <c r="P503" s="215" t="s">
        <v>89</v>
      </c>
      <c r="Q503" s="123">
        <f t="shared" si="113"/>
        <v>0</v>
      </c>
      <c r="R503" s="123"/>
      <c r="S503" s="124">
        <f>S184</f>
        <v>0</v>
      </c>
      <c r="T503" s="215" t="s">
        <v>89</v>
      </c>
      <c r="U503" s="123">
        <f t="shared" si="114"/>
        <v>0</v>
      </c>
      <c r="W503" s="112"/>
      <c r="Z503" s="127"/>
      <c r="AA503" s="127"/>
      <c r="AF503" s="122"/>
      <c r="AG503" s="122"/>
      <c r="AH503" s="122"/>
      <c r="AI503" s="122"/>
      <c r="AJ503" s="122"/>
      <c r="AK503" s="122"/>
      <c r="AL503" s="122"/>
      <c r="AM503" s="122"/>
      <c r="AN503" s="122"/>
      <c r="AO503" s="122"/>
      <c r="AP503" s="122"/>
      <c r="AR503" s="126"/>
    </row>
    <row r="504" spans="1:44" s="120" customFormat="1" hidden="1" x14ac:dyDescent="0.25">
      <c r="A504" s="119" t="s">
        <v>136</v>
      </c>
      <c r="C504" s="121">
        <f>C500</f>
        <v>0</v>
      </c>
      <c r="D504" s="128">
        <v>0</v>
      </c>
      <c r="E504" s="122"/>
      <c r="F504" s="123"/>
      <c r="G504" s="124">
        <f>G185</f>
        <v>0</v>
      </c>
      <c r="H504" s="215" t="s">
        <v>89</v>
      </c>
      <c r="I504" s="123">
        <f t="shared" si="111"/>
        <v>0</v>
      </c>
      <c r="J504" s="123"/>
      <c r="K504" s="124" t="str">
        <f>K185</f>
        <v xml:space="preserve"> </v>
      </c>
      <c r="L504" s="215" t="s">
        <v>89</v>
      </c>
      <c r="M504" s="123">
        <f t="shared" si="112"/>
        <v>0</v>
      </c>
      <c r="N504" s="123"/>
      <c r="O504" s="124" t="str">
        <f>O185</f>
        <v xml:space="preserve"> </v>
      </c>
      <c r="P504" s="215" t="s">
        <v>89</v>
      </c>
      <c r="Q504" s="123">
        <f t="shared" si="113"/>
        <v>0</v>
      </c>
      <c r="R504" s="123"/>
      <c r="S504" s="124">
        <f>S185</f>
        <v>0</v>
      </c>
      <c r="T504" s="215" t="s">
        <v>89</v>
      </c>
      <c r="U504" s="123">
        <f t="shared" si="114"/>
        <v>0</v>
      </c>
      <c r="W504" s="112"/>
      <c r="Z504" s="127"/>
      <c r="AA504" s="127"/>
      <c r="AF504" s="122"/>
      <c r="AG504" s="122"/>
      <c r="AH504" s="122"/>
      <c r="AI504" s="122"/>
      <c r="AJ504" s="122"/>
      <c r="AK504" s="122"/>
      <c r="AL504" s="122"/>
      <c r="AM504" s="122"/>
      <c r="AN504" s="122"/>
      <c r="AO504" s="122"/>
      <c r="AP504" s="122"/>
      <c r="AR504" s="126"/>
    </row>
    <row r="505" spans="1:44" hidden="1" x14ac:dyDescent="0.25">
      <c r="A505" s="219" t="s">
        <v>140</v>
      </c>
      <c r="B505" s="149"/>
      <c r="C505" s="204"/>
      <c r="D505" s="220">
        <v>-0.01</v>
      </c>
      <c r="E505" s="206"/>
      <c r="F505" s="111"/>
      <c r="G505" s="220">
        <v>-0.01</v>
      </c>
      <c r="H505" s="206"/>
      <c r="I505" s="111"/>
      <c r="J505" s="111"/>
      <c r="K505" s="220">
        <v>-0.01</v>
      </c>
      <c r="L505" s="206"/>
      <c r="M505" s="111"/>
      <c r="N505" s="111"/>
      <c r="O505" s="220">
        <v>-0.01</v>
      </c>
      <c r="P505" s="206"/>
      <c r="Q505" s="111"/>
      <c r="R505" s="111"/>
      <c r="S505" s="220">
        <v>-0.01</v>
      </c>
      <c r="T505" s="206"/>
      <c r="U505" s="111"/>
      <c r="V505" s="44"/>
      <c r="W505" s="91"/>
      <c r="X505" s="91"/>
      <c r="Y505" s="91"/>
      <c r="Z505" s="44"/>
      <c r="AA505" s="44"/>
      <c r="AB505" s="44"/>
      <c r="AC505" s="44"/>
      <c r="AD505" s="44"/>
      <c r="AE505" s="44"/>
      <c r="AF505" s="44"/>
      <c r="AG505" s="44"/>
      <c r="AH505" s="44"/>
      <c r="AI505" s="44"/>
      <c r="AJ505" s="44"/>
      <c r="AK505" s="44"/>
      <c r="AL505" s="44"/>
      <c r="AM505" s="44"/>
      <c r="AN505" s="44"/>
      <c r="AO505" s="44"/>
      <c r="AP505" s="44"/>
    </row>
    <row r="506" spans="1:44" hidden="1" x14ac:dyDescent="0.25">
      <c r="A506" s="149" t="s">
        <v>124</v>
      </c>
      <c r="B506" s="149"/>
      <c r="C506" s="204">
        <v>0</v>
      </c>
      <c r="D506" s="222">
        <v>117.12</v>
      </c>
      <c r="E506" s="223"/>
      <c r="F506" s="111">
        <f>-ROUND(D506*$C506/100,0)</f>
        <v>0</v>
      </c>
      <c r="G506" s="222">
        <f>G492</f>
        <v>119.88</v>
      </c>
      <c r="H506" s="223"/>
      <c r="I506" s="111">
        <f>-ROUND(G506*$C506/100,0)</f>
        <v>0</v>
      </c>
      <c r="J506" s="111"/>
      <c r="K506" s="222">
        <f>K492</f>
        <v>117.12</v>
      </c>
      <c r="L506" s="223"/>
      <c r="M506" s="111">
        <f>-ROUND(K506*$C506/100,0)</f>
        <v>0</v>
      </c>
      <c r="N506" s="111"/>
      <c r="O506" s="222" t="str">
        <f>O492</f>
        <v xml:space="preserve"> </v>
      </c>
      <c r="P506" s="223"/>
      <c r="Q506" s="111">
        <f>-ROUND(O506*$C506/100,0)</f>
        <v>0</v>
      </c>
      <c r="R506" s="111"/>
      <c r="S506" s="222" t="str">
        <f>S492</f>
        <v xml:space="preserve"> </v>
      </c>
      <c r="T506" s="223"/>
      <c r="U506" s="111">
        <f>-ROUND(S506*$C506/100,0)</f>
        <v>0</v>
      </c>
      <c r="V506" s="44"/>
      <c r="W506" s="91"/>
      <c r="X506" s="91"/>
      <c r="Y506" s="91"/>
      <c r="Z506" s="44"/>
      <c r="AA506" s="44"/>
      <c r="AB506" s="44"/>
      <c r="AC506" s="44"/>
      <c r="AD506" s="44"/>
      <c r="AE506" s="44"/>
      <c r="AF506" s="44"/>
      <c r="AG506" s="44"/>
      <c r="AH506" s="44"/>
      <c r="AI506" s="44"/>
      <c r="AJ506" s="44"/>
      <c r="AK506" s="44"/>
      <c r="AL506" s="44"/>
      <c r="AM506" s="44"/>
      <c r="AN506" s="44"/>
      <c r="AO506" s="44"/>
      <c r="AP506" s="44"/>
    </row>
    <row r="507" spans="1:44" hidden="1" x14ac:dyDescent="0.25">
      <c r="A507" s="149" t="s">
        <v>125</v>
      </c>
      <c r="B507" s="149"/>
      <c r="C507" s="204">
        <v>0</v>
      </c>
      <c r="D507" s="222">
        <v>174.48</v>
      </c>
      <c r="E507" s="223"/>
      <c r="F507" s="111">
        <f t="shared" ref="F507:F509" si="115">-ROUND(D507*$C507/100,0)</f>
        <v>0</v>
      </c>
      <c r="G507" s="222">
        <f>G493</f>
        <v>178.68</v>
      </c>
      <c r="H507" s="223"/>
      <c r="I507" s="111">
        <f>-ROUND(G507*$C507/100,0)</f>
        <v>0</v>
      </c>
      <c r="J507" s="111"/>
      <c r="K507" s="222">
        <f>K493</f>
        <v>174.48</v>
      </c>
      <c r="L507" s="223"/>
      <c r="M507" s="111">
        <f>-ROUND(K507*$C507/100,0)</f>
        <v>0</v>
      </c>
      <c r="N507" s="111"/>
      <c r="O507" s="222" t="str">
        <f>O493</f>
        <v xml:space="preserve"> </v>
      </c>
      <c r="P507" s="223"/>
      <c r="Q507" s="111">
        <f>-ROUND(O507*$C507/100,0)</f>
        <v>0</v>
      </c>
      <c r="R507" s="111"/>
      <c r="S507" s="222" t="str">
        <f>S493</f>
        <v xml:space="preserve"> </v>
      </c>
      <c r="T507" s="223"/>
      <c r="U507" s="111">
        <f>-ROUND(S507*$C507/100,0)</f>
        <v>0</v>
      </c>
      <c r="V507" s="44"/>
      <c r="W507" s="91"/>
      <c r="X507" s="91"/>
      <c r="Y507" s="91"/>
      <c r="Z507" s="44"/>
      <c r="AA507" s="44"/>
      <c r="AB507" s="44"/>
      <c r="AC507" s="44"/>
      <c r="AD507" s="44"/>
      <c r="AE507" s="44"/>
      <c r="AF507" s="44"/>
      <c r="AG507" s="44"/>
      <c r="AH507" s="44"/>
      <c r="AI507" s="44"/>
      <c r="AJ507" s="44"/>
      <c r="AK507" s="44"/>
      <c r="AL507" s="44"/>
      <c r="AM507" s="44"/>
      <c r="AN507" s="44"/>
      <c r="AO507" s="44"/>
      <c r="AP507" s="44"/>
    </row>
    <row r="508" spans="1:44" hidden="1" x14ac:dyDescent="0.25">
      <c r="A508" s="149" t="s">
        <v>141</v>
      </c>
      <c r="B508" s="149"/>
      <c r="C508" s="204">
        <v>0</v>
      </c>
      <c r="D508" s="222">
        <v>12.24</v>
      </c>
      <c r="E508" s="223"/>
      <c r="F508" s="111">
        <f t="shared" si="115"/>
        <v>0</v>
      </c>
      <c r="G508" s="222">
        <f>G494</f>
        <v>12.48</v>
      </c>
      <c r="H508" s="223"/>
      <c r="I508" s="111">
        <f>-ROUND(G508*$C508/100,0)</f>
        <v>0</v>
      </c>
      <c r="J508" s="111"/>
      <c r="K508" s="222">
        <f>K494</f>
        <v>12.24</v>
      </c>
      <c r="L508" s="223"/>
      <c r="M508" s="111">
        <f>-ROUND(K508*$C508/100,0)</f>
        <v>0</v>
      </c>
      <c r="N508" s="111"/>
      <c r="O508" s="222" t="str">
        <f>O494</f>
        <v xml:space="preserve"> </v>
      </c>
      <c r="P508" s="223"/>
      <c r="Q508" s="111">
        <f>-ROUND(O508*$C508/100,0)</f>
        <v>0</v>
      </c>
      <c r="R508" s="111"/>
      <c r="S508" s="222" t="str">
        <f>S494</f>
        <v xml:space="preserve"> </v>
      </c>
      <c r="T508" s="223"/>
      <c r="U508" s="111">
        <f>-ROUND(S508*$C508/100,0)</f>
        <v>0</v>
      </c>
      <c r="V508" s="44"/>
      <c r="W508" s="91"/>
      <c r="X508" s="91"/>
      <c r="Y508" s="91"/>
      <c r="Z508" s="44"/>
      <c r="AA508" s="44"/>
      <c r="AB508" s="44"/>
      <c r="AC508" s="44"/>
      <c r="AD508" s="44"/>
      <c r="AE508" s="44"/>
      <c r="AF508" s="44"/>
      <c r="AG508" s="44"/>
      <c r="AH508" s="44"/>
      <c r="AI508" s="44"/>
      <c r="AJ508" s="44"/>
      <c r="AK508" s="44"/>
      <c r="AL508" s="44"/>
      <c r="AM508" s="44"/>
      <c r="AN508" s="44"/>
      <c r="AO508" s="44"/>
      <c r="AP508" s="44"/>
    </row>
    <row r="509" spans="1:44" hidden="1" x14ac:dyDescent="0.25">
      <c r="A509" s="149" t="s">
        <v>142</v>
      </c>
      <c r="B509" s="149"/>
      <c r="C509" s="204">
        <v>0</v>
      </c>
      <c r="D509" s="222">
        <v>3.7</v>
      </c>
      <c r="E509" s="206"/>
      <c r="F509" s="111">
        <f t="shared" si="115"/>
        <v>0</v>
      </c>
      <c r="G509" s="222">
        <f>G497</f>
        <v>3.8</v>
      </c>
      <c r="H509" s="206"/>
      <c r="I509" s="111">
        <f>-ROUND(G509*$C509/100,0)</f>
        <v>0</v>
      </c>
      <c r="J509" s="111"/>
      <c r="K509" s="222" t="e">
        <f>K497</f>
        <v>#REF!</v>
      </c>
      <c r="L509" s="206"/>
      <c r="M509" s="111" t="e">
        <f>-ROUND(K509*$C509/100,0)</f>
        <v>#REF!</v>
      </c>
      <c r="N509" s="111"/>
      <c r="O509" s="222" t="e">
        <f>O497</f>
        <v>#DIV/0!</v>
      </c>
      <c r="P509" s="206"/>
      <c r="Q509" s="111" t="e">
        <f>-ROUND(O509*$C509/100,0)</f>
        <v>#DIV/0!</v>
      </c>
      <c r="R509" s="111"/>
      <c r="S509" s="222" t="e">
        <f>S497</f>
        <v>#DIV/0!</v>
      </c>
      <c r="T509" s="206"/>
      <c r="U509" s="111" t="e">
        <f>-ROUND(S509*$C509/100,0)</f>
        <v>#DIV/0!</v>
      </c>
      <c r="V509" s="44"/>
      <c r="W509" s="91"/>
      <c r="X509" s="91"/>
      <c r="Y509" s="91"/>
      <c r="Z509" s="44"/>
      <c r="AA509" s="44"/>
      <c r="AB509" s="44"/>
      <c r="AC509" s="44"/>
      <c r="AD509" s="44"/>
      <c r="AE509" s="44"/>
      <c r="AF509" s="44"/>
      <c r="AG509" s="44"/>
      <c r="AH509" s="44"/>
      <c r="AI509" s="44"/>
      <c r="AJ509" s="44"/>
      <c r="AK509" s="44"/>
      <c r="AL509" s="44"/>
      <c r="AM509" s="44"/>
      <c r="AN509" s="44"/>
      <c r="AO509" s="44"/>
      <c r="AP509" s="44"/>
    </row>
    <row r="510" spans="1:44" hidden="1" x14ac:dyDescent="0.25">
      <c r="A510" s="149" t="s">
        <v>143</v>
      </c>
      <c r="B510" s="149"/>
      <c r="C510" s="204">
        <v>0</v>
      </c>
      <c r="D510" s="224">
        <v>10.628</v>
      </c>
      <c r="E510" s="206" t="s">
        <v>89</v>
      </c>
      <c r="F510" s="111">
        <f>ROUND(D510*$C510/100*D505,0)</f>
        <v>0</v>
      </c>
      <c r="G510" s="224">
        <f>G498</f>
        <v>10.878</v>
      </c>
      <c r="H510" s="206" t="s">
        <v>89</v>
      </c>
      <c r="I510" s="111">
        <f>ROUND(G510*$C510/100*G505,0)</f>
        <v>0</v>
      </c>
      <c r="J510" s="111"/>
      <c r="K510" s="224" t="e">
        <f>K498</f>
        <v>#REF!</v>
      </c>
      <c r="L510" s="206" t="s">
        <v>89</v>
      </c>
      <c r="M510" s="111" t="e">
        <f>ROUND(K510*$C510/100*K505,0)</f>
        <v>#REF!</v>
      </c>
      <c r="N510" s="111"/>
      <c r="O510" s="224" t="e">
        <f>O498</f>
        <v>#DIV/0!</v>
      </c>
      <c r="P510" s="206" t="s">
        <v>89</v>
      </c>
      <c r="Q510" s="111" t="e">
        <f>ROUND(O510*$C510/100*O505,0)</f>
        <v>#DIV/0!</v>
      </c>
      <c r="R510" s="111"/>
      <c r="S510" s="224" t="e">
        <f>S498</f>
        <v>#DIV/0!</v>
      </c>
      <c r="T510" s="206" t="s">
        <v>89</v>
      </c>
      <c r="U510" s="111" t="e">
        <f>ROUND(S510*$C510/100*S505,0)</f>
        <v>#DIV/0!</v>
      </c>
      <c r="V510" s="44"/>
      <c r="W510" s="91"/>
      <c r="X510" s="91"/>
      <c r="Y510" s="91"/>
      <c r="Z510" s="44"/>
      <c r="AA510" s="44"/>
      <c r="AB510" s="44"/>
      <c r="AC510" s="44"/>
      <c r="AD510" s="44"/>
      <c r="AE510" s="44"/>
      <c r="AF510" s="44"/>
      <c r="AG510" s="44"/>
      <c r="AH510" s="44"/>
      <c r="AI510" s="44"/>
      <c r="AJ510" s="44"/>
      <c r="AK510" s="44"/>
      <c r="AL510" s="44"/>
      <c r="AM510" s="44"/>
      <c r="AN510" s="44"/>
      <c r="AO510" s="44"/>
      <c r="AP510" s="44"/>
    </row>
    <row r="511" spans="1:44" hidden="1" x14ac:dyDescent="0.25">
      <c r="A511" s="149" t="s">
        <v>131</v>
      </c>
      <c r="B511" s="149"/>
      <c r="C511" s="204">
        <v>0</v>
      </c>
      <c r="D511" s="224">
        <v>7.3410000000000002</v>
      </c>
      <c r="E511" s="206" t="s">
        <v>89</v>
      </c>
      <c r="F511" s="111">
        <f>ROUND(D511*$C511/100*D505,0)</f>
        <v>0</v>
      </c>
      <c r="G511" s="224">
        <f>G499</f>
        <v>7.5140000000000002</v>
      </c>
      <c r="H511" s="206" t="s">
        <v>89</v>
      </c>
      <c r="I511" s="111">
        <f>ROUND(G511*$C511/100*G505,0)</f>
        <v>0</v>
      </c>
      <c r="J511" s="111"/>
      <c r="K511" s="224" t="e">
        <f>K499</f>
        <v>#REF!</v>
      </c>
      <c r="L511" s="206" t="s">
        <v>89</v>
      </c>
      <c r="M511" s="111" t="e">
        <f>ROUND(K511*$C511/100*K505,0)</f>
        <v>#REF!</v>
      </c>
      <c r="N511" s="111"/>
      <c r="O511" s="224" t="e">
        <f>O499</f>
        <v>#DIV/0!</v>
      </c>
      <c r="P511" s="206" t="s">
        <v>89</v>
      </c>
      <c r="Q511" s="111" t="e">
        <f>ROUND(O511*$C511/100*O505,0)</f>
        <v>#DIV/0!</v>
      </c>
      <c r="R511" s="111"/>
      <c r="S511" s="224" t="e">
        <f>S499</f>
        <v>#DIV/0!</v>
      </c>
      <c r="T511" s="206" t="s">
        <v>89</v>
      </c>
      <c r="U511" s="111" t="e">
        <f>ROUND(S511*$C511/100*S505,0)</f>
        <v>#DIV/0!</v>
      </c>
      <c r="V511" s="44"/>
      <c r="W511" s="91"/>
      <c r="X511" s="91"/>
      <c r="Y511" s="91"/>
      <c r="Z511" s="44"/>
      <c r="AA511" s="44"/>
      <c r="AB511" s="44"/>
      <c r="AC511" s="44"/>
      <c r="AD511" s="44"/>
      <c r="AE511" s="44"/>
      <c r="AF511" s="44"/>
      <c r="AG511" s="44"/>
      <c r="AH511" s="44"/>
      <c r="AI511" s="44"/>
      <c r="AJ511" s="44"/>
      <c r="AK511" s="44"/>
      <c r="AL511" s="44"/>
      <c r="AM511" s="44"/>
      <c r="AN511" s="44"/>
      <c r="AO511" s="44"/>
      <c r="AP511" s="44"/>
    </row>
    <row r="512" spans="1:44" hidden="1" x14ac:dyDescent="0.25">
      <c r="A512" s="149" t="s">
        <v>132</v>
      </c>
      <c r="B512" s="149"/>
      <c r="C512" s="204">
        <v>0</v>
      </c>
      <c r="D512" s="224">
        <v>6.3240000000000007</v>
      </c>
      <c r="E512" s="206" t="s">
        <v>89</v>
      </c>
      <c r="F512" s="111">
        <f>ROUND(D512*$C512/100*D505,0)</f>
        <v>0</v>
      </c>
      <c r="G512" s="224">
        <f>G500</f>
        <v>6.4720000000000004</v>
      </c>
      <c r="H512" s="206" t="s">
        <v>89</v>
      </c>
      <c r="I512" s="111">
        <f>ROUND(G512*$C512/100*G505,0)</f>
        <v>0</v>
      </c>
      <c r="J512" s="111"/>
      <c r="K512" s="224" t="e">
        <f>K500</f>
        <v>#REF!</v>
      </c>
      <c r="L512" s="206" t="s">
        <v>89</v>
      </c>
      <c r="M512" s="111" t="e">
        <f>ROUND(K512*$C512/100*K505,0)</f>
        <v>#REF!</v>
      </c>
      <c r="N512" s="111"/>
      <c r="O512" s="224" t="e">
        <f>O500</f>
        <v>#DIV/0!</v>
      </c>
      <c r="P512" s="206" t="s">
        <v>89</v>
      </c>
      <c r="Q512" s="111" t="e">
        <f>ROUND(O512*$C512/100*O505,0)</f>
        <v>#DIV/0!</v>
      </c>
      <c r="R512" s="111"/>
      <c r="S512" s="224" t="e">
        <f>S500</f>
        <v>#DIV/0!</v>
      </c>
      <c r="T512" s="206" t="s">
        <v>89</v>
      </c>
      <c r="U512" s="111" t="e">
        <f>ROUND(S512*$C512/100*S505,0)</f>
        <v>#DIV/0!</v>
      </c>
      <c r="V512" s="44"/>
      <c r="W512" s="91"/>
      <c r="X512" s="91"/>
      <c r="Y512" s="91"/>
      <c r="Z512" s="44"/>
      <c r="AA512" s="44"/>
      <c r="AB512" s="44"/>
      <c r="AC512" s="44"/>
      <c r="AD512" s="44"/>
      <c r="AE512" s="44"/>
      <c r="AF512" s="44"/>
      <c r="AG512" s="44"/>
      <c r="AH512" s="44"/>
      <c r="AI512" s="44"/>
      <c r="AJ512" s="44"/>
      <c r="AK512" s="44"/>
      <c r="AL512" s="44"/>
      <c r="AM512" s="44"/>
      <c r="AN512" s="44"/>
      <c r="AO512" s="44"/>
      <c r="AP512" s="44"/>
    </row>
    <row r="513" spans="1:44" hidden="1" x14ac:dyDescent="0.25">
      <c r="A513" s="149" t="s">
        <v>133</v>
      </c>
      <c r="B513" s="149"/>
      <c r="C513" s="204">
        <v>0</v>
      </c>
      <c r="D513" s="225">
        <v>57</v>
      </c>
      <c r="E513" s="206" t="s">
        <v>89</v>
      </c>
      <c r="F513" s="111">
        <f>ROUND(D513*$C513/100*D505,0)</f>
        <v>0</v>
      </c>
      <c r="G513" s="225">
        <f>G501</f>
        <v>58</v>
      </c>
      <c r="H513" s="206" t="s">
        <v>89</v>
      </c>
      <c r="I513" s="111">
        <f>ROUND(G513*$C513/100*G505,0)</f>
        <v>0</v>
      </c>
      <c r="J513" s="111"/>
      <c r="K513" s="225" t="str">
        <f>K501</f>
        <v xml:space="preserve"> </v>
      </c>
      <c r="L513" s="206" t="s">
        <v>89</v>
      </c>
      <c r="M513" s="111">
        <f>ROUND(K513*$C513/100*K505,0)</f>
        <v>0</v>
      </c>
      <c r="N513" s="111"/>
      <c r="O513" s="225" t="e">
        <f>O501</f>
        <v>#DIV/0!</v>
      </c>
      <c r="P513" s="206" t="s">
        <v>89</v>
      </c>
      <c r="Q513" s="111" t="e">
        <f>ROUND(O513*$C513/100*O505,0)</f>
        <v>#DIV/0!</v>
      </c>
      <c r="R513" s="111"/>
      <c r="S513" s="225" t="e">
        <f>S501</f>
        <v>#DIV/0!</v>
      </c>
      <c r="T513" s="206" t="s">
        <v>89</v>
      </c>
      <c r="U513" s="111" t="e">
        <f>ROUND(S513*$C513/100*S505,0)</f>
        <v>#DIV/0!</v>
      </c>
      <c r="V513" s="44"/>
      <c r="W513" s="91"/>
      <c r="X513" s="91"/>
      <c r="Y513" s="91"/>
      <c r="Z513" s="44"/>
      <c r="AA513" s="44"/>
      <c r="AB513" s="44"/>
      <c r="AC513" s="44"/>
      <c r="AD513" s="44"/>
      <c r="AE513" s="44"/>
      <c r="AF513" s="44"/>
      <c r="AG513" s="44"/>
      <c r="AH513" s="44"/>
      <c r="AI513" s="44"/>
      <c r="AJ513" s="44"/>
      <c r="AK513" s="44"/>
      <c r="AL513" s="44"/>
      <c r="AM513" s="44"/>
      <c r="AN513" s="44"/>
      <c r="AO513" s="44"/>
      <c r="AP513" s="44"/>
    </row>
    <row r="514" spans="1:44" hidden="1" x14ac:dyDescent="0.25">
      <c r="A514" s="149" t="s">
        <v>144</v>
      </c>
      <c r="B514" s="149"/>
      <c r="C514" s="204">
        <v>0</v>
      </c>
      <c r="D514" s="226">
        <v>60</v>
      </c>
      <c r="E514" s="206"/>
      <c r="F514" s="111">
        <f>ROUND(D514*C514,0)</f>
        <v>0</v>
      </c>
      <c r="G514" s="226">
        <f>$G$198</f>
        <v>60</v>
      </c>
      <c r="H514" s="206"/>
      <c r="I514" s="111">
        <f>ROUND(G514*$C514,0)</f>
        <v>0</v>
      </c>
      <c r="J514" s="111"/>
      <c r="K514" s="226" t="str">
        <f>$K$198</f>
        <v xml:space="preserve"> </v>
      </c>
      <c r="L514" s="206"/>
      <c r="M514" s="111">
        <f>ROUND(K514*$C514,0)</f>
        <v>0</v>
      </c>
      <c r="N514" s="111"/>
      <c r="O514" s="226" t="e">
        <f>$O$198</f>
        <v>#DIV/0!</v>
      </c>
      <c r="P514" s="206"/>
      <c r="Q514" s="111" t="e">
        <f>ROUND(O514*$C514,0)</f>
        <v>#DIV/0!</v>
      </c>
      <c r="R514" s="111"/>
      <c r="S514" s="226" t="e">
        <f>$S$198</f>
        <v>#DIV/0!</v>
      </c>
      <c r="T514" s="206"/>
      <c r="U514" s="111" t="e">
        <f>ROUND(S514*$C514,0)</f>
        <v>#DIV/0!</v>
      </c>
      <c r="V514" s="44"/>
      <c r="W514" s="91"/>
      <c r="X514" s="91"/>
      <c r="Y514" s="91"/>
      <c r="Z514" s="44"/>
      <c r="AA514" s="44"/>
      <c r="AB514" s="44"/>
      <c r="AC514" s="44"/>
      <c r="AD514" s="44"/>
      <c r="AE514" s="44"/>
      <c r="AF514" s="44"/>
      <c r="AG514" s="44"/>
      <c r="AH514" s="44"/>
      <c r="AI514" s="44"/>
      <c r="AJ514" s="44"/>
      <c r="AK514" s="44"/>
      <c r="AL514" s="44"/>
      <c r="AM514" s="44"/>
      <c r="AN514" s="44"/>
      <c r="AO514" s="44"/>
      <c r="AP514" s="44"/>
    </row>
    <row r="515" spans="1:44" hidden="1" x14ac:dyDescent="0.25">
      <c r="A515" s="149" t="s">
        <v>145</v>
      </c>
      <c r="B515" s="149"/>
      <c r="C515" s="204">
        <v>0</v>
      </c>
      <c r="D515" s="227">
        <v>-30</v>
      </c>
      <c r="E515" s="206" t="s">
        <v>89</v>
      </c>
      <c r="F515" s="111">
        <f>ROUND(D515*C515/100,0)</f>
        <v>0</v>
      </c>
      <c r="G515" s="227">
        <f>$G$199</f>
        <v>-30</v>
      </c>
      <c r="H515" s="206" t="s">
        <v>89</v>
      </c>
      <c r="I515" s="111">
        <f>ROUND(G515*$C515/100,0)</f>
        <v>0</v>
      </c>
      <c r="J515" s="111"/>
      <c r="K515" s="227">
        <f>$K$199</f>
        <v>-30</v>
      </c>
      <c r="L515" s="206" t="s">
        <v>89</v>
      </c>
      <c r="M515" s="111">
        <f>ROUND(K515*$C515/100,0)</f>
        <v>0</v>
      </c>
      <c r="N515" s="111"/>
      <c r="O515" s="227" t="str">
        <f>$O$199</f>
        <v xml:space="preserve"> </v>
      </c>
      <c r="P515" s="206" t="s">
        <v>89</v>
      </c>
      <c r="Q515" s="111">
        <f>ROUND(O515*$C515/100,0)</f>
        <v>0</v>
      </c>
      <c r="R515" s="111"/>
      <c r="S515" s="227" t="str">
        <f>$S$199</f>
        <v xml:space="preserve"> </v>
      </c>
      <c r="T515" s="206" t="s">
        <v>89</v>
      </c>
      <c r="U515" s="111">
        <f>ROUND(S515*$C515/100,0)</f>
        <v>0</v>
      </c>
      <c r="V515" s="44"/>
      <c r="W515" s="91"/>
      <c r="X515" s="91"/>
      <c r="Y515" s="91"/>
      <c r="Z515" s="44"/>
      <c r="AA515" s="44"/>
      <c r="AB515" s="44"/>
      <c r="AC515" s="44"/>
      <c r="AD515" s="44"/>
      <c r="AE515" s="44"/>
      <c r="AF515" s="44"/>
      <c r="AG515" s="44"/>
      <c r="AH515" s="44"/>
      <c r="AI515" s="44"/>
      <c r="AJ515" s="44"/>
      <c r="AK515" s="44"/>
      <c r="AL515" s="44"/>
      <c r="AM515" s="44"/>
      <c r="AN515" s="44"/>
      <c r="AO515" s="44"/>
      <c r="AP515" s="44"/>
    </row>
    <row r="516" spans="1:44" s="120" customFormat="1" hidden="1" x14ac:dyDescent="0.25">
      <c r="A516" s="119" t="s">
        <v>134</v>
      </c>
      <c r="C516" s="121">
        <f>C510</f>
        <v>0</v>
      </c>
      <c r="D516" s="128">
        <v>0</v>
      </c>
      <c r="E516" s="122"/>
      <c r="F516" s="123"/>
      <c r="G516" s="124">
        <f>G183</f>
        <v>0</v>
      </c>
      <c r="H516" s="215" t="s">
        <v>89</v>
      </c>
      <c r="I516" s="111">
        <f>ROUND(G516*$C516/100*G505,0)</f>
        <v>0</v>
      </c>
      <c r="J516" s="111"/>
      <c r="K516" s="124" t="str">
        <f>K183</f>
        <v xml:space="preserve"> </v>
      </c>
      <c r="L516" s="215" t="s">
        <v>89</v>
      </c>
      <c r="M516" s="111">
        <f>ROUND(K516*$C516/100*K505,0)</f>
        <v>0</v>
      </c>
      <c r="N516" s="111"/>
      <c r="O516" s="124" t="str">
        <f>O183</f>
        <v xml:space="preserve"> </v>
      </c>
      <c r="P516" s="215" t="s">
        <v>89</v>
      </c>
      <c r="Q516" s="111">
        <f>ROUND(O516*$C516/100*O505,0)</f>
        <v>0</v>
      </c>
      <c r="R516" s="111"/>
      <c r="S516" s="124">
        <f>S183</f>
        <v>0</v>
      </c>
      <c r="T516" s="215" t="s">
        <v>89</v>
      </c>
      <c r="U516" s="111">
        <f>ROUND(S516*$C516/100*S505,0)</f>
        <v>0</v>
      </c>
      <c r="W516" s="112"/>
      <c r="Z516" s="127"/>
      <c r="AA516" s="127"/>
      <c r="AF516" s="122"/>
      <c r="AG516" s="122"/>
      <c r="AH516" s="122"/>
      <c r="AI516" s="122"/>
      <c r="AJ516" s="122"/>
      <c r="AK516" s="122"/>
      <c r="AL516" s="122"/>
      <c r="AM516" s="122"/>
      <c r="AN516" s="122"/>
      <c r="AO516" s="122"/>
      <c r="AP516" s="122"/>
      <c r="AR516" s="126"/>
    </row>
    <row r="517" spans="1:44" s="120" customFormat="1" hidden="1" x14ac:dyDescent="0.25">
      <c r="A517" s="119" t="s">
        <v>135</v>
      </c>
      <c r="C517" s="121">
        <f t="shared" ref="C517:C518" si="116">C511</f>
        <v>0</v>
      </c>
      <c r="D517" s="128">
        <v>0</v>
      </c>
      <c r="E517" s="122"/>
      <c r="F517" s="123"/>
      <c r="G517" s="124">
        <f>G184</f>
        <v>0</v>
      </c>
      <c r="H517" s="215" t="s">
        <v>89</v>
      </c>
      <c r="I517" s="111">
        <f>ROUND(G517*$C517/100*G505,0)</f>
        <v>0</v>
      </c>
      <c r="J517" s="111"/>
      <c r="K517" s="124" t="str">
        <f>K184</f>
        <v xml:space="preserve"> </v>
      </c>
      <c r="L517" s="215" t="s">
        <v>89</v>
      </c>
      <c r="M517" s="111">
        <f>ROUND(K517*$C517/100*K505,0)</f>
        <v>0</v>
      </c>
      <c r="N517" s="111"/>
      <c r="O517" s="124" t="str">
        <f>O184</f>
        <v xml:space="preserve"> </v>
      </c>
      <c r="P517" s="215" t="s">
        <v>89</v>
      </c>
      <c r="Q517" s="111">
        <f>ROUND(O517*$C517/100*O505,0)</f>
        <v>0</v>
      </c>
      <c r="R517" s="111"/>
      <c r="S517" s="124">
        <f>S184</f>
        <v>0</v>
      </c>
      <c r="T517" s="215" t="s">
        <v>89</v>
      </c>
      <c r="U517" s="111">
        <f>ROUND(S517*$C517/100*S505,0)</f>
        <v>0</v>
      </c>
      <c r="W517" s="112"/>
      <c r="Z517" s="127"/>
      <c r="AA517" s="127"/>
      <c r="AF517" s="122"/>
      <c r="AG517" s="122"/>
      <c r="AH517" s="122"/>
      <c r="AI517" s="122"/>
      <c r="AJ517" s="122"/>
      <c r="AK517" s="122"/>
      <c r="AL517" s="122"/>
      <c r="AM517" s="122"/>
      <c r="AN517" s="122"/>
      <c r="AO517" s="122"/>
      <c r="AP517" s="122"/>
      <c r="AR517" s="126"/>
    </row>
    <row r="518" spans="1:44" s="120" customFormat="1" hidden="1" x14ac:dyDescent="0.25">
      <c r="A518" s="119" t="s">
        <v>136</v>
      </c>
      <c r="C518" s="121">
        <f t="shared" si="116"/>
        <v>0</v>
      </c>
      <c r="D518" s="128">
        <v>0</v>
      </c>
      <c r="E518" s="122"/>
      <c r="F518" s="123"/>
      <c r="G518" s="124">
        <f>G185</f>
        <v>0</v>
      </c>
      <c r="H518" s="215" t="s">
        <v>89</v>
      </c>
      <c r="I518" s="111">
        <f>ROUND(G518*$C518/100*G505,0)</f>
        <v>0</v>
      </c>
      <c r="J518" s="111"/>
      <c r="K518" s="124" t="str">
        <f>K185</f>
        <v xml:space="preserve"> </v>
      </c>
      <c r="L518" s="215" t="s">
        <v>89</v>
      </c>
      <c r="M518" s="111">
        <f>ROUND(K518*$C518/100*K505,0)</f>
        <v>0</v>
      </c>
      <c r="N518" s="111"/>
      <c r="O518" s="124" t="str">
        <f>O185</f>
        <v xml:space="preserve"> </v>
      </c>
      <c r="P518" s="215" t="s">
        <v>89</v>
      </c>
      <c r="Q518" s="111">
        <f>ROUND(O518*$C518/100*O505,0)</f>
        <v>0</v>
      </c>
      <c r="R518" s="111"/>
      <c r="S518" s="124">
        <f>S185</f>
        <v>0</v>
      </c>
      <c r="T518" s="215" t="s">
        <v>89</v>
      </c>
      <c r="U518" s="111">
        <f>ROUND(S518*$C518/100*S505,0)</f>
        <v>0</v>
      </c>
      <c r="W518" s="112"/>
      <c r="Z518" s="127"/>
      <c r="AA518" s="127"/>
      <c r="AF518" s="122"/>
      <c r="AG518" s="122"/>
      <c r="AH518" s="122"/>
      <c r="AI518" s="122"/>
      <c r="AJ518" s="122"/>
      <c r="AK518" s="122"/>
      <c r="AL518" s="122"/>
      <c r="AM518" s="122"/>
      <c r="AN518" s="122"/>
      <c r="AO518" s="122"/>
      <c r="AP518" s="122"/>
      <c r="AR518" s="126"/>
    </row>
    <row r="519" spans="1:44" hidden="1" x14ac:dyDescent="0.25">
      <c r="A519" s="149" t="s">
        <v>114</v>
      </c>
      <c r="B519" s="149"/>
      <c r="C519" s="204">
        <f>SUM(C498:C500)</f>
        <v>284980</v>
      </c>
      <c r="D519" s="212"/>
      <c r="E519" s="206"/>
      <c r="F519" s="111">
        <f>SUM(F492:F515)</f>
        <v>103707</v>
      </c>
      <c r="G519" s="212"/>
      <c r="H519" s="206"/>
      <c r="I519" s="111">
        <f>SUM(I492:I518)</f>
        <v>106123</v>
      </c>
      <c r="J519" s="111"/>
      <c r="K519" s="212"/>
      <c r="L519" s="206"/>
      <c r="M519" s="111" t="e">
        <f>SUM(M492:M518)</f>
        <v>#REF!</v>
      </c>
      <c r="N519" s="111"/>
      <c r="O519" s="212"/>
      <c r="P519" s="206"/>
      <c r="Q519" s="111" t="e">
        <f>SUM(Q492:Q518)</f>
        <v>#DIV/0!</v>
      </c>
      <c r="R519" s="111"/>
      <c r="S519" s="212"/>
      <c r="T519" s="206"/>
      <c r="U519" s="111" t="e">
        <f>SUM(U492:U518)</f>
        <v>#DIV/0!</v>
      </c>
      <c r="V519" s="44"/>
      <c r="W519" s="91"/>
      <c r="X519" s="91"/>
      <c r="Y519" s="91"/>
      <c r="Z519" s="44"/>
      <c r="AA519" s="44"/>
      <c r="AB519" s="44"/>
      <c r="AC519" s="44"/>
      <c r="AD519" s="44"/>
      <c r="AE519" s="44"/>
      <c r="AF519" s="44"/>
      <c r="AG519" s="44"/>
      <c r="AH519" s="44"/>
      <c r="AI519" s="44"/>
      <c r="AJ519" s="44"/>
      <c r="AK519" s="44"/>
      <c r="AL519" s="44"/>
      <c r="AM519" s="44"/>
      <c r="AN519" s="44"/>
      <c r="AO519" s="44"/>
      <c r="AP519" s="44"/>
    </row>
    <row r="520" spans="1:44" hidden="1" x14ac:dyDescent="0.25">
      <c r="A520" s="149" t="s">
        <v>92</v>
      </c>
      <c r="B520" s="149"/>
      <c r="C520" s="248">
        <v>1965.5392472718752</v>
      </c>
      <c r="D520" s="134"/>
      <c r="E520" s="134"/>
      <c r="F520" s="230">
        <v>783.73149966378082</v>
      </c>
      <c r="G520" s="134"/>
      <c r="H520" s="134"/>
      <c r="I520" s="230">
        <f>F520</f>
        <v>783.73149966378082</v>
      </c>
      <c r="J520" s="207"/>
      <c r="K520" s="134"/>
      <c r="L520" s="134"/>
      <c r="M520" s="230" t="e">
        <f>M204/I204*I520</f>
        <v>#DIV/0!</v>
      </c>
      <c r="N520" s="207"/>
      <c r="O520" s="134"/>
      <c r="P520" s="134"/>
      <c r="Q520" s="230" t="e">
        <f>Q204/I204*I520</f>
        <v>#DIV/0!</v>
      </c>
      <c r="R520" s="207"/>
      <c r="S520" s="134"/>
      <c r="T520" s="134"/>
      <c r="U520" s="230" t="e">
        <f>U204/I204*I520</f>
        <v>#DIV/0!</v>
      </c>
      <c r="V520" s="165"/>
      <c r="W520" s="163"/>
      <c r="X520" s="91"/>
      <c r="Y520" s="91"/>
      <c r="Z520" s="44"/>
      <c r="AA520" s="44"/>
      <c r="AB520" s="44"/>
      <c r="AC520" s="44"/>
      <c r="AD520" s="44"/>
      <c r="AE520" s="44"/>
      <c r="AF520" s="44"/>
      <c r="AG520" s="44"/>
      <c r="AH520" s="44"/>
      <c r="AI520" s="44"/>
      <c r="AJ520" s="44"/>
      <c r="AK520" s="44"/>
      <c r="AL520" s="44"/>
      <c r="AM520" s="44"/>
      <c r="AN520" s="44"/>
      <c r="AO520" s="44"/>
      <c r="AP520" s="44"/>
    </row>
    <row r="521" spans="1:44" ht="16.5" hidden="1" thickBot="1" x14ac:dyDescent="0.3">
      <c r="A521" s="149" t="s">
        <v>115</v>
      </c>
      <c r="B521" s="149"/>
      <c r="C521" s="192">
        <f>SUM(C519:C520)</f>
        <v>286945.5392472719</v>
      </c>
      <c r="D521" s="245"/>
      <c r="E521" s="232"/>
      <c r="F521" s="233">
        <f>F519+F520</f>
        <v>104490.73149966379</v>
      </c>
      <c r="G521" s="245"/>
      <c r="H521" s="232"/>
      <c r="I521" s="233">
        <f>I519+I520</f>
        <v>106906.73149966379</v>
      </c>
      <c r="J521" s="207"/>
      <c r="K521" s="245"/>
      <c r="L521" s="232"/>
      <c r="M521" s="233" t="e">
        <f>M519+M520</f>
        <v>#REF!</v>
      </c>
      <c r="N521" s="233"/>
      <c r="O521" s="245"/>
      <c r="P521" s="232"/>
      <c r="Q521" s="233" t="e">
        <f>Q519+Q520</f>
        <v>#DIV/0!</v>
      </c>
      <c r="R521" s="233"/>
      <c r="S521" s="245"/>
      <c r="T521" s="232"/>
      <c r="U521" s="233" t="e">
        <f>U519+U520</f>
        <v>#DIV/0!</v>
      </c>
      <c r="V521" s="166"/>
      <c r="W521" s="167"/>
      <c r="X521" s="91"/>
      <c r="Y521" s="91"/>
      <c r="Z521" s="44"/>
      <c r="AA521" s="44"/>
      <c r="AB521" s="44"/>
      <c r="AC521" s="44"/>
      <c r="AD521" s="44"/>
      <c r="AE521" s="44"/>
      <c r="AF521" s="44"/>
      <c r="AG521" s="44"/>
      <c r="AH521" s="44"/>
      <c r="AI521" s="44"/>
      <c r="AJ521" s="44"/>
      <c r="AK521" s="44"/>
      <c r="AL521" s="44"/>
      <c r="AM521" s="44"/>
      <c r="AN521" s="44"/>
      <c r="AO521" s="44"/>
      <c r="AP521" s="44"/>
    </row>
    <row r="522" spans="1:44" hidden="1" x14ac:dyDescent="0.25">
      <c r="A522" s="149"/>
      <c r="B522" s="149"/>
      <c r="C522" s="169"/>
      <c r="D522" s="226" t="s">
        <v>0</v>
      </c>
      <c r="E522" s="149"/>
      <c r="F522" s="111"/>
      <c r="G522" s="250" t="s">
        <v>0</v>
      </c>
      <c r="H522" s="149"/>
      <c r="I522" s="111" t="s">
        <v>0</v>
      </c>
      <c r="J522" s="111"/>
      <c r="K522" s="250" t="s">
        <v>0</v>
      </c>
      <c r="L522" s="149"/>
      <c r="M522" s="111" t="s">
        <v>0</v>
      </c>
      <c r="N522" s="111"/>
      <c r="O522" s="250" t="s">
        <v>0</v>
      </c>
      <c r="P522" s="149"/>
      <c r="Q522" s="111" t="s">
        <v>0</v>
      </c>
      <c r="R522" s="111"/>
      <c r="S522" s="250" t="s">
        <v>0</v>
      </c>
      <c r="T522" s="149"/>
      <c r="U522" s="111" t="s">
        <v>0</v>
      </c>
      <c r="V522" s="44"/>
      <c r="W522" s="91"/>
      <c r="X522" s="91"/>
      <c r="Y522" s="91"/>
      <c r="Z522" s="44"/>
      <c r="AA522" s="44"/>
      <c r="AB522" s="44"/>
      <c r="AC522" s="44"/>
      <c r="AD522" s="44"/>
      <c r="AE522" s="44"/>
      <c r="AF522" s="44"/>
      <c r="AG522" s="44"/>
      <c r="AH522" s="44"/>
      <c r="AI522" s="44"/>
      <c r="AJ522" s="44"/>
      <c r="AK522" s="44"/>
      <c r="AL522" s="44"/>
      <c r="AM522" s="44"/>
      <c r="AN522" s="44"/>
      <c r="AO522" s="44"/>
      <c r="AP522" s="44"/>
    </row>
    <row r="523" spans="1:44" hidden="1" x14ac:dyDescent="0.25">
      <c r="A523" s="168" t="s">
        <v>155</v>
      </c>
      <c r="B523" s="149"/>
      <c r="C523" s="149"/>
      <c r="D523" s="111"/>
      <c r="E523" s="149"/>
      <c r="F523" s="149"/>
      <c r="G523" s="111"/>
      <c r="H523" s="149"/>
      <c r="I523" s="149"/>
      <c r="J523" s="149"/>
      <c r="K523" s="111"/>
      <c r="L523" s="149"/>
      <c r="M523" s="149"/>
      <c r="N523" s="149"/>
      <c r="O523" s="111"/>
      <c r="P523" s="149"/>
      <c r="Q523" s="149"/>
      <c r="R523" s="149"/>
      <c r="S523" s="111"/>
      <c r="T523" s="149"/>
      <c r="U523" s="149"/>
      <c r="V523" s="44"/>
      <c r="W523" s="91"/>
      <c r="X523" s="91"/>
      <c r="Y523" s="91"/>
      <c r="Z523" s="44"/>
      <c r="AA523" s="44"/>
      <c r="AB523" s="44"/>
      <c r="AC523" s="44"/>
      <c r="AD523" s="44"/>
      <c r="AE523" s="44"/>
      <c r="AF523" s="44"/>
      <c r="AG523" s="44"/>
      <c r="AH523" s="44"/>
      <c r="AI523" s="44"/>
      <c r="AJ523" s="44"/>
      <c r="AK523" s="44"/>
      <c r="AL523" s="44"/>
      <c r="AM523" s="44"/>
      <c r="AN523" s="44"/>
      <c r="AO523" s="44"/>
      <c r="AP523" s="44"/>
    </row>
    <row r="524" spans="1:44" hidden="1" x14ac:dyDescent="0.25">
      <c r="A524" s="149" t="s">
        <v>152</v>
      </c>
      <c r="B524" s="149"/>
      <c r="C524" s="149"/>
      <c r="D524" s="111"/>
      <c r="E524" s="149"/>
      <c r="F524" s="149"/>
      <c r="G524" s="111"/>
      <c r="H524" s="149"/>
      <c r="I524" s="149"/>
      <c r="J524" s="149"/>
      <c r="K524" s="111"/>
      <c r="L524" s="149"/>
      <c r="M524" s="149"/>
      <c r="N524" s="149"/>
      <c r="O524" s="111"/>
      <c r="P524" s="149"/>
      <c r="Q524" s="149"/>
      <c r="R524" s="149"/>
      <c r="S524" s="111"/>
      <c r="T524" s="149"/>
      <c r="U524" s="149"/>
      <c r="V524" s="44"/>
      <c r="W524" s="91"/>
      <c r="X524" s="91"/>
      <c r="Y524" s="91"/>
      <c r="Z524" s="44"/>
      <c r="AA524" s="44"/>
      <c r="AB524" s="44"/>
      <c r="AC524" s="44"/>
      <c r="AD524" s="44"/>
      <c r="AE524" s="44"/>
      <c r="AF524" s="44"/>
      <c r="AG524" s="44"/>
      <c r="AH524" s="44"/>
      <c r="AI524" s="44"/>
      <c r="AJ524" s="44"/>
      <c r="AK524" s="44"/>
      <c r="AL524" s="44"/>
      <c r="AM524" s="44"/>
      <c r="AN524" s="44"/>
      <c r="AO524" s="44"/>
      <c r="AP524" s="44"/>
    </row>
    <row r="525" spans="1:44" hidden="1" x14ac:dyDescent="0.25">
      <c r="A525" s="149" t="s">
        <v>156</v>
      </c>
      <c r="B525" s="149"/>
      <c r="C525" s="149"/>
      <c r="D525" s="111"/>
      <c r="E525" s="149"/>
      <c r="F525" s="149"/>
      <c r="G525" s="111"/>
      <c r="H525" s="149"/>
      <c r="I525" s="149"/>
      <c r="J525" s="149"/>
      <c r="K525" s="111"/>
      <c r="L525" s="149"/>
      <c r="M525" s="149"/>
      <c r="N525" s="149"/>
      <c r="O525" s="111"/>
      <c r="P525" s="149"/>
      <c r="Q525" s="149"/>
      <c r="R525" s="149"/>
      <c r="S525" s="111"/>
      <c r="T525" s="149"/>
      <c r="U525" s="149"/>
      <c r="V525" s="44"/>
      <c r="W525" s="91"/>
      <c r="X525" s="91"/>
      <c r="Y525" s="91"/>
      <c r="Z525" s="44"/>
      <c r="AA525" s="44"/>
      <c r="AB525" s="44"/>
      <c r="AC525" s="44"/>
      <c r="AD525" s="44"/>
      <c r="AE525" s="44"/>
      <c r="AF525" s="44"/>
      <c r="AG525" s="44"/>
      <c r="AH525" s="44"/>
      <c r="AI525" s="44"/>
      <c r="AJ525" s="44"/>
      <c r="AK525" s="44"/>
      <c r="AL525" s="44"/>
      <c r="AM525" s="44"/>
      <c r="AN525" s="44"/>
      <c r="AO525" s="44"/>
      <c r="AP525" s="44"/>
    </row>
    <row r="526" spans="1:44" hidden="1" x14ac:dyDescent="0.25">
      <c r="A526" s="149" t="s">
        <v>127</v>
      </c>
      <c r="B526" s="149"/>
      <c r="C526" s="204"/>
      <c r="D526" s="111"/>
      <c r="E526" s="149"/>
      <c r="F526" s="149"/>
      <c r="G526" s="111"/>
      <c r="H526" s="149"/>
      <c r="I526" s="149"/>
      <c r="J526" s="149"/>
      <c r="K526" s="111"/>
      <c r="L526" s="149"/>
      <c r="M526" s="149"/>
      <c r="N526" s="149"/>
      <c r="O526" s="111"/>
      <c r="P526" s="149"/>
      <c r="Q526" s="149"/>
      <c r="R526" s="149"/>
      <c r="S526" s="111"/>
      <c r="T526" s="149"/>
      <c r="U526" s="149"/>
      <c r="V526" s="44"/>
      <c r="W526" s="91"/>
      <c r="X526" s="91"/>
      <c r="Y526" s="91"/>
      <c r="Z526" s="44"/>
      <c r="AA526" s="44"/>
      <c r="AB526" s="44"/>
      <c r="AC526" s="44"/>
      <c r="AD526" s="44"/>
      <c r="AE526" s="44"/>
      <c r="AF526" s="44"/>
      <c r="AG526" s="44"/>
      <c r="AH526" s="44"/>
      <c r="AI526" s="44"/>
      <c r="AJ526" s="44"/>
      <c r="AK526" s="44"/>
      <c r="AL526" s="44"/>
      <c r="AM526" s="44"/>
      <c r="AN526" s="44"/>
      <c r="AO526" s="44"/>
      <c r="AP526" s="44"/>
    </row>
    <row r="527" spans="1:44" hidden="1" x14ac:dyDescent="0.25">
      <c r="A527" s="149" t="s">
        <v>124</v>
      </c>
      <c r="B527" s="149"/>
      <c r="C527" s="204">
        <v>0</v>
      </c>
      <c r="D527" s="173">
        <v>117.12</v>
      </c>
      <c r="E527" s="206"/>
      <c r="F527" s="111">
        <f>ROUND(D527*$C527,0)</f>
        <v>0</v>
      </c>
      <c r="G527" s="173">
        <f>$G$169</f>
        <v>119.88</v>
      </c>
      <c r="H527" s="206"/>
      <c r="I527" s="111">
        <f>ROUND(G527*$C527,0)</f>
        <v>0</v>
      </c>
      <c r="J527" s="111"/>
      <c r="K527" s="173">
        <f>$K$169</f>
        <v>117.12</v>
      </c>
      <c r="L527" s="206"/>
      <c r="M527" s="111">
        <f>ROUND(K527*$C527,0)</f>
        <v>0</v>
      </c>
      <c r="N527" s="111"/>
      <c r="O527" s="173" t="str">
        <f>$O$169</f>
        <v xml:space="preserve"> </v>
      </c>
      <c r="P527" s="206"/>
      <c r="Q527" s="111">
        <f>ROUND(O527*$C527,0)</f>
        <v>0</v>
      </c>
      <c r="R527" s="111"/>
      <c r="S527" s="173" t="str">
        <f>$S$169</f>
        <v xml:space="preserve"> </v>
      </c>
      <c r="T527" s="206"/>
      <c r="U527" s="111">
        <f>ROUND(S527*$C527,0)</f>
        <v>0</v>
      </c>
      <c r="V527" s="44"/>
      <c r="W527" s="91"/>
      <c r="X527" s="91"/>
      <c r="Y527" s="91"/>
      <c r="Z527" s="44"/>
      <c r="AA527" s="44"/>
      <c r="AB527" s="44"/>
      <c r="AC527" s="44"/>
      <c r="AD527" s="44"/>
      <c r="AE527" s="44"/>
      <c r="AF527" s="44"/>
      <c r="AG527" s="44"/>
      <c r="AH527" s="44"/>
      <c r="AI527" s="44"/>
      <c r="AJ527" s="44"/>
      <c r="AK527" s="44"/>
      <c r="AL527" s="44"/>
      <c r="AM527" s="44"/>
      <c r="AN527" s="44"/>
      <c r="AO527" s="44"/>
      <c r="AP527" s="44"/>
    </row>
    <row r="528" spans="1:44" hidden="1" x14ac:dyDescent="0.25">
      <c r="A528" s="149" t="s">
        <v>125</v>
      </c>
      <c r="B528" s="149"/>
      <c r="C528" s="204">
        <v>1</v>
      </c>
      <c r="D528" s="173">
        <v>174.48</v>
      </c>
      <c r="E528" s="208"/>
      <c r="F528" s="111">
        <f t="shared" ref="F528:F529" si="117">ROUND(D528*$C528,0)</f>
        <v>174</v>
      </c>
      <c r="G528" s="173">
        <f>$G$170</f>
        <v>178.68</v>
      </c>
      <c r="H528" s="208"/>
      <c r="I528" s="111">
        <f>ROUND(G528*$C528,0)</f>
        <v>179</v>
      </c>
      <c r="J528" s="111"/>
      <c r="K528" s="173">
        <f>$K$170</f>
        <v>174.48</v>
      </c>
      <c r="L528" s="208"/>
      <c r="M528" s="111">
        <f>ROUND(K528*$C528,0)</f>
        <v>174</v>
      </c>
      <c r="N528" s="111"/>
      <c r="O528" s="173" t="str">
        <f>$O$170</f>
        <v xml:space="preserve"> </v>
      </c>
      <c r="P528" s="208"/>
      <c r="Q528" s="111">
        <f>ROUND(O528*$C528,0)</f>
        <v>0</v>
      </c>
      <c r="R528" s="111"/>
      <c r="S528" s="173" t="str">
        <f>$S$170</f>
        <v xml:space="preserve"> </v>
      </c>
      <c r="T528" s="208"/>
      <c r="U528" s="111">
        <f>ROUND(S528*$C528,0)</f>
        <v>0</v>
      </c>
      <c r="V528" s="44"/>
      <c r="W528" s="91"/>
      <c r="X528" s="91"/>
      <c r="Y528" s="91"/>
      <c r="Z528" s="44"/>
      <c r="AA528" s="44"/>
      <c r="AB528" s="44"/>
      <c r="AC528" s="44"/>
      <c r="AD528" s="44"/>
      <c r="AE528" s="44"/>
      <c r="AF528" s="44"/>
      <c r="AG528" s="44"/>
      <c r="AH528" s="44"/>
      <c r="AI528" s="44"/>
      <c r="AJ528" s="44"/>
      <c r="AK528" s="44"/>
      <c r="AL528" s="44"/>
      <c r="AM528" s="44"/>
      <c r="AN528" s="44"/>
      <c r="AO528" s="44"/>
      <c r="AP528" s="44"/>
    </row>
    <row r="529" spans="1:44" hidden="1" x14ac:dyDescent="0.25">
      <c r="A529" s="149" t="s">
        <v>126</v>
      </c>
      <c r="B529" s="149"/>
      <c r="C529" s="204">
        <v>59</v>
      </c>
      <c r="D529" s="173">
        <v>12.24</v>
      </c>
      <c r="E529" s="208"/>
      <c r="F529" s="111">
        <f t="shared" si="117"/>
        <v>722</v>
      </c>
      <c r="G529" s="173">
        <f>$G$171</f>
        <v>12.48</v>
      </c>
      <c r="H529" s="208"/>
      <c r="I529" s="111">
        <f>ROUND(G529*$C529,0)</f>
        <v>736</v>
      </c>
      <c r="J529" s="111"/>
      <c r="K529" s="173">
        <f>$K$171</f>
        <v>12.24</v>
      </c>
      <c r="L529" s="208"/>
      <c r="M529" s="111">
        <f>ROUND(K529*$C529,0)</f>
        <v>722</v>
      </c>
      <c r="N529" s="111"/>
      <c r="O529" s="173" t="str">
        <f>$O$171</f>
        <v xml:space="preserve"> </v>
      </c>
      <c r="P529" s="208"/>
      <c r="Q529" s="111">
        <f>ROUND(O529*$C529,0)</f>
        <v>0</v>
      </c>
      <c r="R529" s="111"/>
      <c r="S529" s="173" t="str">
        <f>$S$171</f>
        <v xml:space="preserve"> </v>
      </c>
      <c r="T529" s="208"/>
      <c r="U529" s="111">
        <f>ROUND(S529*$C529,0)</f>
        <v>0</v>
      </c>
      <c r="V529" s="44"/>
      <c r="W529" s="91"/>
      <c r="X529" s="91"/>
      <c r="Y529" s="91"/>
      <c r="Z529" s="44"/>
      <c r="AA529" s="44"/>
      <c r="AB529" s="44"/>
      <c r="AC529" s="44"/>
      <c r="AD529" s="44"/>
      <c r="AE529" s="44"/>
      <c r="AF529" s="44"/>
      <c r="AG529" s="44"/>
      <c r="AH529" s="44"/>
      <c r="AI529" s="44"/>
      <c r="AJ529" s="44"/>
      <c r="AK529" s="44"/>
      <c r="AL529" s="44"/>
      <c r="AM529" s="44"/>
      <c r="AN529" s="44"/>
      <c r="AO529" s="44"/>
      <c r="AP529" s="44"/>
    </row>
    <row r="530" spans="1:44" hidden="1" x14ac:dyDescent="0.25">
      <c r="A530" s="149" t="s">
        <v>128</v>
      </c>
      <c r="B530" s="149"/>
      <c r="C530" s="204">
        <f>SUM(C527:C528)</f>
        <v>1</v>
      </c>
      <c r="D530" s="173"/>
      <c r="E530" s="206"/>
      <c r="F530" s="111"/>
      <c r="G530" s="173"/>
      <c r="H530" s="206"/>
      <c r="I530" s="111"/>
      <c r="J530" s="111"/>
      <c r="K530" s="173"/>
      <c r="L530" s="206"/>
      <c r="M530" s="111"/>
      <c r="N530" s="111"/>
      <c r="O530" s="173"/>
      <c r="P530" s="206"/>
      <c r="Q530" s="111"/>
      <c r="R530" s="111"/>
      <c r="S530" s="173"/>
      <c r="T530" s="206"/>
      <c r="U530" s="111"/>
      <c r="V530" s="44"/>
      <c r="W530" s="91"/>
      <c r="X530" s="91"/>
      <c r="Y530" s="91"/>
      <c r="Z530" s="44"/>
      <c r="AA530" s="44"/>
      <c r="AB530" s="44"/>
      <c r="AC530" s="44"/>
      <c r="AD530" s="44"/>
      <c r="AE530" s="44"/>
      <c r="AF530" s="44"/>
      <c r="AG530" s="44"/>
      <c r="AH530" s="44"/>
      <c r="AI530" s="44"/>
      <c r="AJ530" s="44"/>
      <c r="AK530" s="44"/>
      <c r="AL530" s="44"/>
      <c r="AM530" s="44"/>
      <c r="AN530" s="44"/>
      <c r="AO530" s="44"/>
      <c r="AP530" s="44"/>
    </row>
    <row r="531" spans="1:44" hidden="1" x14ac:dyDescent="0.25">
      <c r="A531" s="149" t="s">
        <v>157</v>
      </c>
      <c r="B531" s="149"/>
      <c r="C531" s="204">
        <v>11.655555555555599</v>
      </c>
      <c r="D531" s="173"/>
      <c r="E531" s="206"/>
      <c r="F531" s="111"/>
      <c r="G531" s="173"/>
      <c r="H531" s="206"/>
      <c r="I531" s="111"/>
      <c r="J531" s="111"/>
      <c r="K531" s="173"/>
      <c r="L531" s="206"/>
      <c r="M531" s="111"/>
      <c r="N531" s="111"/>
      <c r="O531" s="173"/>
      <c r="P531" s="206"/>
      <c r="Q531" s="111"/>
      <c r="R531" s="111"/>
      <c r="S531" s="173"/>
      <c r="T531" s="206"/>
      <c r="U531" s="111"/>
      <c r="V531" s="44"/>
      <c r="W531" s="91"/>
      <c r="X531" s="91"/>
      <c r="Y531" s="91"/>
      <c r="Z531" s="44"/>
      <c r="AA531" s="44"/>
      <c r="AB531" s="44"/>
      <c r="AC531" s="44"/>
      <c r="AD531" s="44"/>
      <c r="AE531" s="44"/>
      <c r="AF531" s="44"/>
      <c r="AG531" s="44"/>
      <c r="AH531" s="44"/>
      <c r="AI531" s="44"/>
      <c r="AJ531" s="44"/>
      <c r="AK531" s="44"/>
      <c r="AL531" s="44"/>
      <c r="AM531" s="44"/>
      <c r="AN531" s="44"/>
      <c r="AO531" s="44"/>
      <c r="AP531" s="44"/>
    </row>
    <row r="532" spans="1:44" hidden="1" x14ac:dyDescent="0.25">
      <c r="A532" s="149" t="s">
        <v>129</v>
      </c>
      <c r="B532" s="149"/>
      <c r="C532" s="204">
        <v>170</v>
      </c>
      <c r="D532" s="226">
        <v>3.7</v>
      </c>
      <c r="E532" s="206"/>
      <c r="F532" s="111">
        <f>ROUND(D532*C532,0)</f>
        <v>629</v>
      </c>
      <c r="G532" s="226">
        <f>$G$178</f>
        <v>3.8</v>
      </c>
      <c r="H532" s="206"/>
      <c r="I532" s="111">
        <f>ROUND(G532*$C532,0)</f>
        <v>646</v>
      </c>
      <c r="J532" s="111"/>
      <c r="K532" s="226" t="e">
        <f>$K$178</f>
        <v>#REF!</v>
      </c>
      <c r="L532" s="206"/>
      <c r="M532" s="111" t="e">
        <f>ROUND(K532*$C532,0)</f>
        <v>#REF!</v>
      </c>
      <c r="N532" s="111"/>
      <c r="O532" s="226" t="e">
        <f>$O$178</f>
        <v>#DIV/0!</v>
      </c>
      <c r="P532" s="206"/>
      <c r="Q532" s="111" t="e">
        <f>ROUND(O532*$C532,0)</f>
        <v>#DIV/0!</v>
      </c>
      <c r="R532" s="111"/>
      <c r="S532" s="226" t="e">
        <f>$S$178</f>
        <v>#DIV/0!</v>
      </c>
      <c r="T532" s="206"/>
      <c r="U532" s="111" t="e">
        <f>ROUND(S532*$C532,0)</f>
        <v>#DIV/0!</v>
      </c>
      <c r="V532" s="44"/>
      <c r="W532" s="91"/>
      <c r="X532" s="91"/>
      <c r="Y532" s="91"/>
      <c r="Z532" s="44"/>
      <c r="AA532" s="44"/>
      <c r="AB532" s="44"/>
      <c r="AC532" s="44"/>
      <c r="AD532" s="44"/>
      <c r="AE532" s="44"/>
      <c r="AF532" s="44"/>
      <c r="AG532" s="44"/>
      <c r="AH532" s="44"/>
      <c r="AI532" s="44"/>
      <c r="AJ532" s="44"/>
      <c r="AK532" s="44"/>
      <c r="AL532" s="44"/>
      <c r="AM532" s="44"/>
      <c r="AN532" s="44"/>
      <c r="AO532" s="44"/>
      <c r="AP532" s="44"/>
    </row>
    <row r="533" spans="1:44" hidden="1" x14ac:dyDescent="0.25">
      <c r="A533" s="149" t="s">
        <v>130</v>
      </c>
      <c r="B533" s="149"/>
      <c r="C533" s="204">
        <v>4897</v>
      </c>
      <c r="D533" s="175">
        <v>10.628</v>
      </c>
      <c r="E533" s="206" t="s">
        <v>89</v>
      </c>
      <c r="F533" s="111">
        <f>ROUND(D533*C533/100,0)</f>
        <v>520</v>
      </c>
      <c r="G533" s="175">
        <f>$G$179</f>
        <v>10.878</v>
      </c>
      <c r="H533" s="206" t="s">
        <v>89</v>
      </c>
      <c r="I533" s="111">
        <f>ROUND(G533*$C533/100,0)</f>
        <v>533</v>
      </c>
      <c r="J533" s="111"/>
      <c r="K533" s="175" t="e">
        <f>$K$179</f>
        <v>#REF!</v>
      </c>
      <c r="L533" s="206" t="s">
        <v>89</v>
      </c>
      <c r="M533" s="111" t="e">
        <f>ROUND(K533*$C533/100,0)</f>
        <v>#REF!</v>
      </c>
      <c r="N533" s="111"/>
      <c r="O533" s="175" t="e">
        <f>$O$179</f>
        <v>#DIV/0!</v>
      </c>
      <c r="P533" s="206" t="s">
        <v>89</v>
      </c>
      <c r="Q533" s="111" t="e">
        <f>ROUND(O533*$C533/100,0)</f>
        <v>#DIV/0!</v>
      </c>
      <c r="R533" s="111"/>
      <c r="S533" s="175" t="e">
        <f>$S$179</f>
        <v>#DIV/0!</v>
      </c>
      <c r="T533" s="206" t="s">
        <v>89</v>
      </c>
      <c r="U533" s="111" t="e">
        <f>ROUND(S533*$C533/100,0)</f>
        <v>#DIV/0!</v>
      </c>
      <c r="V533" s="44"/>
      <c r="W533" s="91"/>
      <c r="X533" s="91"/>
      <c r="Y533" s="91"/>
      <c r="Z533" s="44"/>
      <c r="AA533" s="44"/>
      <c r="AB533" s="44"/>
      <c r="AC533" s="44"/>
      <c r="AD533" s="44"/>
      <c r="AE533" s="44"/>
      <c r="AF533" s="44"/>
      <c r="AG533" s="44"/>
      <c r="AH533" s="44"/>
      <c r="AI533" s="44"/>
      <c r="AJ533" s="44"/>
      <c r="AK533" s="44"/>
      <c r="AL533" s="44"/>
      <c r="AM533" s="44"/>
      <c r="AN533" s="44"/>
      <c r="AO533" s="44"/>
      <c r="AP533" s="44"/>
    </row>
    <row r="534" spans="1:44" hidden="1" x14ac:dyDescent="0.25">
      <c r="A534" s="149" t="s">
        <v>131</v>
      </c>
      <c r="B534" s="149"/>
      <c r="C534" s="204">
        <v>889</v>
      </c>
      <c r="D534" s="175">
        <v>7.3410000000000002</v>
      </c>
      <c r="E534" s="206" t="s">
        <v>89</v>
      </c>
      <c r="F534" s="111">
        <f>ROUND(D534*C534/100,0)</f>
        <v>65</v>
      </c>
      <c r="G534" s="175">
        <f>$G$180</f>
        <v>7.5140000000000002</v>
      </c>
      <c r="H534" s="206" t="s">
        <v>89</v>
      </c>
      <c r="I534" s="111">
        <f>ROUND(G534*$C534/100,0)</f>
        <v>67</v>
      </c>
      <c r="J534" s="111"/>
      <c r="K534" s="175" t="e">
        <f>$K$180</f>
        <v>#REF!</v>
      </c>
      <c r="L534" s="206" t="s">
        <v>89</v>
      </c>
      <c r="M534" s="111" t="e">
        <f>ROUND(K534*$C534/100,0)</f>
        <v>#REF!</v>
      </c>
      <c r="N534" s="111"/>
      <c r="O534" s="175" t="e">
        <f>$O$180</f>
        <v>#DIV/0!</v>
      </c>
      <c r="P534" s="206" t="s">
        <v>89</v>
      </c>
      <c r="Q534" s="111" t="e">
        <f>ROUND(O534*$C534/100,0)</f>
        <v>#DIV/0!</v>
      </c>
      <c r="R534" s="111"/>
      <c r="S534" s="175" t="e">
        <f>$S$180</f>
        <v>#DIV/0!</v>
      </c>
      <c r="T534" s="206" t="s">
        <v>89</v>
      </c>
      <c r="U534" s="111" t="e">
        <f>ROUND(S534*$C534/100,0)</f>
        <v>#DIV/0!</v>
      </c>
      <c r="V534" s="44"/>
      <c r="W534" s="91"/>
      <c r="X534" s="91"/>
      <c r="Y534" s="91"/>
      <c r="Z534" s="44"/>
      <c r="AA534" s="44"/>
      <c r="AB534" s="44"/>
      <c r="AC534" s="44"/>
      <c r="AD534" s="44"/>
      <c r="AE534" s="44"/>
      <c r="AF534" s="44"/>
      <c r="AG534" s="44"/>
      <c r="AH534" s="44"/>
      <c r="AI534" s="44"/>
      <c r="AJ534" s="44"/>
      <c r="AK534" s="44"/>
      <c r="AL534" s="44"/>
      <c r="AM534" s="44"/>
      <c r="AN534" s="44"/>
      <c r="AO534" s="44"/>
      <c r="AP534" s="44"/>
    </row>
    <row r="535" spans="1:44" hidden="1" x14ac:dyDescent="0.25">
      <c r="A535" s="149" t="s">
        <v>132</v>
      </c>
      <c r="B535" s="149"/>
      <c r="C535" s="204">
        <v>0</v>
      </c>
      <c r="D535" s="175">
        <v>6.3240000000000007</v>
      </c>
      <c r="E535" s="206" t="s">
        <v>89</v>
      </c>
      <c r="F535" s="111">
        <f>ROUND(D535*C535/100,0)</f>
        <v>0</v>
      </c>
      <c r="G535" s="175">
        <f>$G$181</f>
        <v>6.4720000000000004</v>
      </c>
      <c r="H535" s="206" t="s">
        <v>89</v>
      </c>
      <c r="I535" s="111">
        <f>ROUND(G535*$C535/100,0)</f>
        <v>0</v>
      </c>
      <c r="J535" s="111"/>
      <c r="K535" s="175" t="e">
        <f>$K$181</f>
        <v>#REF!</v>
      </c>
      <c r="L535" s="206" t="s">
        <v>89</v>
      </c>
      <c r="M535" s="111" t="e">
        <f>ROUND(K535*$C535/100,0)</f>
        <v>#REF!</v>
      </c>
      <c r="N535" s="111"/>
      <c r="O535" s="175" t="e">
        <f>$O$181</f>
        <v>#DIV/0!</v>
      </c>
      <c r="P535" s="206" t="s">
        <v>89</v>
      </c>
      <c r="Q535" s="111" t="e">
        <f>ROUND(O535*$C535/100,0)</f>
        <v>#DIV/0!</v>
      </c>
      <c r="R535" s="111"/>
      <c r="S535" s="175" t="e">
        <f>$S$181</f>
        <v>#DIV/0!</v>
      </c>
      <c r="T535" s="206" t="s">
        <v>89</v>
      </c>
      <c r="U535" s="111" t="e">
        <f>ROUND(S535*$C535/100,0)</f>
        <v>#DIV/0!</v>
      </c>
      <c r="V535" s="44"/>
      <c r="W535" s="91"/>
      <c r="X535" s="91"/>
      <c r="Y535" s="91"/>
      <c r="Z535" s="44"/>
      <c r="AA535" s="44"/>
      <c r="AB535" s="44"/>
      <c r="AC535" s="44"/>
      <c r="AD535" s="44"/>
      <c r="AE535" s="44"/>
      <c r="AF535" s="44"/>
      <c r="AG535" s="44"/>
      <c r="AH535" s="44"/>
      <c r="AI535" s="44"/>
      <c r="AJ535" s="44"/>
      <c r="AK535" s="44"/>
      <c r="AL535" s="44"/>
      <c r="AM535" s="44"/>
      <c r="AN535" s="44"/>
      <c r="AO535" s="44"/>
      <c r="AP535" s="44"/>
    </row>
    <row r="536" spans="1:44" hidden="1" x14ac:dyDescent="0.25">
      <c r="A536" s="149" t="s">
        <v>133</v>
      </c>
      <c r="B536" s="149"/>
      <c r="C536" s="204">
        <v>0</v>
      </c>
      <c r="D536" s="212">
        <v>57</v>
      </c>
      <c r="E536" s="206" t="s">
        <v>89</v>
      </c>
      <c r="F536" s="111">
        <f>ROUND(D536*C536/100,0)</f>
        <v>0</v>
      </c>
      <c r="G536" s="212">
        <f>$G$182</f>
        <v>58</v>
      </c>
      <c r="H536" s="206" t="s">
        <v>89</v>
      </c>
      <c r="I536" s="111">
        <f>ROUND(G536*$C536/100,0)</f>
        <v>0</v>
      </c>
      <c r="J536" s="111"/>
      <c r="K536" s="212" t="str">
        <f>$K$182</f>
        <v xml:space="preserve"> </v>
      </c>
      <c r="L536" s="206" t="s">
        <v>89</v>
      </c>
      <c r="M536" s="111">
        <f>ROUND(K536*$C536/100,0)</f>
        <v>0</v>
      </c>
      <c r="N536" s="111"/>
      <c r="O536" s="212" t="e">
        <f>$O$182</f>
        <v>#DIV/0!</v>
      </c>
      <c r="P536" s="206" t="s">
        <v>89</v>
      </c>
      <c r="Q536" s="111" t="e">
        <f>ROUND(O536*$C536/100,0)</f>
        <v>#DIV/0!</v>
      </c>
      <c r="R536" s="111"/>
      <c r="S536" s="212" t="e">
        <f>$S$182</f>
        <v>#DIV/0!</v>
      </c>
      <c r="T536" s="206" t="s">
        <v>89</v>
      </c>
      <c r="U536" s="111" t="e">
        <f>ROUND(S536*$C536/100,0)</f>
        <v>#DIV/0!</v>
      </c>
      <c r="V536" s="44"/>
      <c r="W536" s="91"/>
      <c r="X536" s="91"/>
      <c r="Y536" s="91"/>
      <c r="Z536" s="44"/>
      <c r="AA536" s="44"/>
      <c r="AB536" s="44"/>
      <c r="AC536" s="44"/>
      <c r="AD536" s="44"/>
      <c r="AE536" s="44"/>
      <c r="AF536" s="44"/>
      <c r="AG536" s="44"/>
      <c r="AH536" s="44"/>
      <c r="AI536" s="44"/>
      <c r="AJ536" s="44"/>
      <c r="AK536" s="44"/>
      <c r="AL536" s="44"/>
      <c r="AM536" s="44"/>
      <c r="AN536" s="44"/>
      <c r="AO536" s="44"/>
      <c r="AP536" s="44"/>
    </row>
    <row r="537" spans="1:44" s="120" customFormat="1" hidden="1" x14ac:dyDescent="0.25">
      <c r="A537" s="119" t="s">
        <v>134</v>
      </c>
      <c r="C537" s="121">
        <f>C533</f>
        <v>4897</v>
      </c>
      <c r="D537" s="128">
        <v>0</v>
      </c>
      <c r="E537" s="122"/>
      <c r="F537" s="123"/>
      <c r="G537" s="124">
        <f>G183</f>
        <v>0</v>
      </c>
      <c r="H537" s="215" t="s">
        <v>89</v>
      </c>
      <c r="I537" s="123">
        <f t="shared" ref="I537:I539" si="118">ROUND(G537*$C537/100,0)</f>
        <v>0</v>
      </c>
      <c r="J537" s="123"/>
      <c r="K537" s="124" t="str">
        <f>K183</f>
        <v xml:space="preserve"> </v>
      </c>
      <c r="L537" s="215" t="s">
        <v>89</v>
      </c>
      <c r="M537" s="123">
        <f t="shared" ref="M537:M539" si="119">ROUND(K537*$C537/100,0)</f>
        <v>0</v>
      </c>
      <c r="N537" s="123"/>
      <c r="O537" s="124" t="str">
        <f>O183</f>
        <v xml:space="preserve"> </v>
      </c>
      <c r="P537" s="215" t="s">
        <v>89</v>
      </c>
      <c r="Q537" s="123">
        <f t="shared" ref="Q537:Q539" si="120">ROUND(O537*$C537/100,0)</f>
        <v>0</v>
      </c>
      <c r="R537" s="123"/>
      <c r="S537" s="124">
        <f>S183</f>
        <v>0</v>
      </c>
      <c r="T537" s="215" t="s">
        <v>89</v>
      </c>
      <c r="U537" s="123">
        <f t="shared" ref="U537:U539" si="121">ROUND(S537*$C537/100,0)</f>
        <v>0</v>
      </c>
      <c r="W537" s="112"/>
      <c r="Z537" s="127"/>
      <c r="AA537" s="127"/>
      <c r="AF537" s="122"/>
      <c r="AG537" s="122"/>
      <c r="AH537" s="122"/>
      <c r="AI537" s="122"/>
      <c r="AJ537" s="122"/>
      <c r="AK537" s="122"/>
      <c r="AL537" s="122"/>
      <c r="AM537" s="122"/>
      <c r="AN537" s="122"/>
      <c r="AO537" s="122"/>
      <c r="AP537" s="122"/>
      <c r="AR537" s="126"/>
    </row>
    <row r="538" spans="1:44" s="120" customFormat="1" hidden="1" x14ac:dyDescent="0.25">
      <c r="A538" s="119" t="s">
        <v>135</v>
      </c>
      <c r="C538" s="121">
        <f>C534</f>
        <v>889</v>
      </c>
      <c r="D538" s="128">
        <v>0</v>
      </c>
      <c r="E538" s="122"/>
      <c r="F538" s="123"/>
      <c r="G538" s="124">
        <f>G184</f>
        <v>0</v>
      </c>
      <c r="H538" s="215" t="s">
        <v>89</v>
      </c>
      <c r="I538" s="123">
        <f t="shared" si="118"/>
        <v>0</v>
      </c>
      <c r="J538" s="123"/>
      <c r="K538" s="124" t="str">
        <f>K184</f>
        <v xml:space="preserve"> </v>
      </c>
      <c r="L538" s="215" t="s">
        <v>89</v>
      </c>
      <c r="M538" s="123">
        <f t="shared" si="119"/>
        <v>0</v>
      </c>
      <c r="N538" s="123"/>
      <c r="O538" s="124" t="str">
        <f>O184</f>
        <v xml:space="preserve"> </v>
      </c>
      <c r="P538" s="215" t="s">
        <v>89</v>
      </c>
      <c r="Q538" s="123">
        <f t="shared" si="120"/>
        <v>0</v>
      </c>
      <c r="R538" s="123"/>
      <c r="S538" s="124">
        <f>S184</f>
        <v>0</v>
      </c>
      <c r="T538" s="215" t="s">
        <v>89</v>
      </c>
      <c r="U538" s="123">
        <f t="shared" si="121"/>
        <v>0</v>
      </c>
      <c r="W538" s="112"/>
      <c r="Z538" s="127"/>
      <c r="AA538" s="127"/>
      <c r="AF538" s="122"/>
      <c r="AG538" s="122"/>
      <c r="AH538" s="122"/>
      <c r="AI538" s="122"/>
      <c r="AJ538" s="122"/>
      <c r="AK538" s="122"/>
      <c r="AL538" s="122"/>
      <c r="AM538" s="122"/>
      <c r="AN538" s="122"/>
      <c r="AO538" s="122"/>
      <c r="AP538" s="122"/>
      <c r="AR538" s="126"/>
    </row>
    <row r="539" spans="1:44" s="120" customFormat="1" hidden="1" x14ac:dyDescent="0.25">
      <c r="A539" s="119" t="s">
        <v>136</v>
      </c>
      <c r="C539" s="121">
        <f>C535</f>
        <v>0</v>
      </c>
      <c r="D539" s="128">
        <v>0</v>
      </c>
      <c r="E539" s="122"/>
      <c r="F539" s="123"/>
      <c r="G539" s="124">
        <f>G185</f>
        <v>0</v>
      </c>
      <c r="H539" s="215" t="s">
        <v>89</v>
      </c>
      <c r="I539" s="123">
        <f t="shared" si="118"/>
        <v>0</v>
      </c>
      <c r="J539" s="123"/>
      <c r="K539" s="124" t="str">
        <f>K185</f>
        <v xml:space="preserve"> </v>
      </c>
      <c r="L539" s="215" t="s">
        <v>89</v>
      </c>
      <c r="M539" s="123">
        <f t="shared" si="119"/>
        <v>0</v>
      </c>
      <c r="N539" s="123"/>
      <c r="O539" s="124" t="str">
        <f>O185</f>
        <v xml:space="preserve"> </v>
      </c>
      <c r="P539" s="215" t="s">
        <v>89</v>
      </c>
      <c r="Q539" s="123">
        <f t="shared" si="120"/>
        <v>0</v>
      </c>
      <c r="R539" s="123"/>
      <c r="S539" s="124">
        <f>S185</f>
        <v>0</v>
      </c>
      <c r="T539" s="215" t="s">
        <v>89</v>
      </c>
      <c r="U539" s="123">
        <f t="shared" si="121"/>
        <v>0</v>
      </c>
      <c r="W539" s="112"/>
      <c r="Z539" s="127"/>
      <c r="AA539" s="127"/>
      <c r="AF539" s="122"/>
      <c r="AG539" s="122"/>
      <c r="AH539" s="122"/>
      <c r="AI539" s="122"/>
      <c r="AJ539" s="122"/>
      <c r="AK539" s="122"/>
      <c r="AL539" s="122"/>
      <c r="AM539" s="122"/>
      <c r="AN539" s="122"/>
      <c r="AO539" s="122"/>
      <c r="AP539" s="122"/>
      <c r="AR539" s="126"/>
    </row>
    <row r="540" spans="1:44" hidden="1" x14ac:dyDescent="0.25">
      <c r="A540" s="219" t="s">
        <v>140</v>
      </c>
      <c r="B540" s="149"/>
      <c r="C540" s="204"/>
      <c r="D540" s="220">
        <v>-0.01</v>
      </c>
      <c r="E540" s="206"/>
      <c r="F540" s="111"/>
      <c r="G540" s="220">
        <v>-0.01</v>
      </c>
      <c r="H540" s="206"/>
      <c r="I540" s="111"/>
      <c r="J540" s="111"/>
      <c r="K540" s="220">
        <v>-0.01</v>
      </c>
      <c r="L540" s="206"/>
      <c r="M540" s="111"/>
      <c r="N540" s="111"/>
      <c r="O540" s="220">
        <v>-0.01</v>
      </c>
      <c r="P540" s="206"/>
      <c r="Q540" s="111"/>
      <c r="R540" s="111"/>
      <c r="S540" s="220">
        <v>-0.01</v>
      </c>
      <c r="T540" s="206"/>
      <c r="U540" s="111"/>
      <c r="V540" s="44"/>
      <c r="W540" s="91"/>
      <c r="X540" s="91"/>
      <c r="Y540" s="91"/>
      <c r="Z540" s="44"/>
      <c r="AA540" s="44"/>
      <c r="AB540" s="44"/>
      <c r="AC540" s="44"/>
      <c r="AD540" s="44"/>
      <c r="AE540" s="44"/>
      <c r="AF540" s="44"/>
      <c r="AG540" s="44"/>
      <c r="AH540" s="44"/>
      <c r="AI540" s="44"/>
      <c r="AJ540" s="44"/>
      <c r="AK540" s="44"/>
      <c r="AL540" s="44"/>
      <c r="AM540" s="44"/>
      <c r="AN540" s="44"/>
      <c r="AO540" s="44"/>
      <c r="AP540" s="44"/>
    </row>
    <row r="541" spans="1:44" hidden="1" x14ac:dyDescent="0.25">
      <c r="A541" s="149" t="s">
        <v>124</v>
      </c>
      <c r="B541" s="149"/>
      <c r="C541" s="204">
        <v>0</v>
      </c>
      <c r="D541" s="222">
        <v>117.12</v>
      </c>
      <c r="E541" s="223"/>
      <c r="F541" s="111">
        <f>-ROUND(D541*$C541/100,0)</f>
        <v>0</v>
      </c>
      <c r="G541" s="222">
        <f>G527</f>
        <v>119.88</v>
      </c>
      <c r="H541" s="223"/>
      <c r="I541" s="111">
        <f>-ROUND(G541*$C541/100,0)</f>
        <v>0</v>
      </c>
      <c r="J541" s="111"/>
      <c r="K541" s="222">
        <f>K527</f>
        <v>117.12</v>
      </c>
      <c r="L541" s="223"/>
      <c r="M541" s="111">
        <f>-ROUND(K541*$C541/100,0)</f>
        <v>0</v>
      </c>
      <c r="N541" s="111"/>
      <c r="O541" s="222" t="str">
        <f>O527</f>
        <v xml:space="preserve"> </v>
      </c>
      <c r="P541" s="223"/>
      <c r="Q541" s="111">
        <f>-ROUND(O541*$C541/100,0)</f>
        <v>0</v>
      </c>
      <c r="R541" s="111"/>
      <c r="S541" s="222" t="str">
        <f>S527</f>
        <v xml:space="preserve"> </v>
      </c>
      <c r="T541" s="223"/>
      <c r="U541" s="111">
        <f>-ROUND(S541*$C541/100,0)</f>
        <v>0</v>
      </c>
      <c r="V541" s="44"/>
      <c r="W541" s="91"/>
      <c r="X541" s="91"/>
      <c r="Y541" s="91"/>
      <c r="Z541" s="44"/>
      <c r="AA541" s="44"/>
      <c r="AB541" s="44"/>
      <c r="AC541" s="44"/>
      <c r="AD541" s="44"/>
      <c r="AE541" s="44"/>
      <c r="AF541" s="44"/>
      <c r="AG541" s="44"/>
      <c r="AH541" s="44"/>
      <c r="AI541" s="44"/>
      <c r="AJ541" s="44"/>
      <c r="AK541" s="44"/>
      <c r="AL541" s="44"/>
      <c r="AM541" s="44"/>
      <c r="AN541" s="44"/>
      <c r="AO541" s="44"/>
      <c r="AP541" s="44"/>
    </row>
    <row r="542" spans="1:44" hidden="1" x14ac:dyDescent="0.25">
      <c r="A542" s="149" t="s">
        <v>125</v>
      </c>
      <c r="B542" s="149"/>
      <c r="C542" s="204">
        <v>0</v>
      </c>
      <c r="D542" s="222">
        <v>174.48</v>
      </c>
      <c r="E542" s="223"/>
      <c r="F542" s="111">
        <f t="shared" ref="F542:F544" si="122">-ROUND(D542*$C542/100,0)</f>
        <v>0</v>
      </c>
      <c r="G542" s="222">
        <f>G528</f>
        <v>178.68</v>
      </c>
      <c r="H542" s="223"/>
      <c r="I542" s="111">
        <f>-ROUND(G542*$C542/100,0)</f>
        <v>0</v>
      </c>
      <c r="J542" s="111"/>
      <c r="K542" s="222">
        <f>K528</f>
        <v>174.48</v>
      </c>
      <c r="L542" s="223"/>
      <c r="M542" s="111">
        <f>-ROUND(K542*$C542/100,0)</f>
        <v>0</v>
      </c>
      <c r="N542" s="111"/>
      <c r="O542" s="222" t="str">
        <f>O528</f>
        <v xml:space="preserve"> </v>
      </c>
      <c r="P542" s="223"/>
      <c r="Q542" s="111">
        <f>-ROUND(O542*$C542/100,0)</f>
        <v>0</v>
      </c>
      <c r="R542" s="111"/>
      <c r="S542" s="222" t="str">
        <f>S528</f>
        <v xml:space="preserve"> </v>
      </c>
      <c r="T542" s="223"/>
      <c r="U542" s="111">
        <f>-ROUND(S542*$C542/100,0)</f>
        <v>0</v>
      </c>
      <c r="V542" s="44"/>
      <c r="W542" s="91"/>
      <c r="X542" s="91"/>
      <c r="Y542" s="91"/>
      <c r="Z542" s="44"/>
      <c r="AA542" s="44"/>
      <c r="AB542" s="44"/>
      <c r="AC542" s="44"/>
      <c r="AD542" s="44"/>
      <c r="AE542" s="44"/>
      <c r="AF542" s="44"/>
      <c r="AG542" s="44"/>
      <c r="AH542" s="44"/>
      <c r="AI542" s="44"/>
      <c r="AJ542" s="44"/>
      <c r="AK542" s="44"/>
      <c r="AL542" s="44"/>
      <c r="AM542" s="44"/>
      <c r="AN542" s="44"/>
      <c r="AO542" s="44"/>
      <c r="AP542" s="44"/>
    </row>
    <row r="543" spans="1:44" hidden="1" x14ac:dyDescent="0.25">
      <c r="A543" s="149" t="s">
        <v>141</v>
      </c>
      <c r="B543" s="149"/>
      <c r="C543" s="204">
        <v>0</v>
      </c>
      <c r="D543" s="222">
        <v>12.24</v>
      </c>
      <c r="E543" s="223"/>
      <c r="F543" s="111">
        <f t="shared" si="122"/>
        <v>0</v>
      </c>
      <c r="G543" s="222">
        <f>G529</f>
        <v>12.48</v>
      </c>
      <c r="H543" s="223"/>
      <c r="I543" s="111">
        <f>-ROUND(G543*$C543/100,0)</f>
        <v>0</v>
      </c>
      <c r="J543" s="111"/>
      <c r="K543" s="222">
        <f>K529</f>
        <v>12.24</v>
      </c>
      <c r="L543" s="223"/>
      <c r="M543" s="111">
        <f>-ROUND(K543*$C543/100,0)</f>
        <v>0</v>
      </c>
      <c r="N543" s="111"/>
      <c r="O543" s="222" t="str">
        <f>O529</f>
        <v xml:space="preserve"> </v>
      </c>
      <c r="P543" s="223"/>
      <c r="Q543" s="111">
        <f>-ROUND(O543*$C543/100,0)</f>
        <v>0</v>
      </c>
      <c r="R543" s="111"/>
      <c r="S543" s="222" t="str">
        <f>S529</f>
        <v xml:space="preserve"> </v>
      </c>
      <c r="T543" s="223"/>
      <c r="U543" s="111">
        <f>-ROUND(S543*$C543/100,0)</f>
        <v>0</v>
      </c>
      <c r="V543" s="44"/>
      <c r="W543" s="91"/>
      <c r="X543" s="91"/>
      <c r="Y543" s="91"/>
      <c r="Z543" s="44"/>
      <c r="AA543" s="44"/>
      <c r="AB543" s="44"/>
      <c r="AC543" s="44"/>
      <c r="AD543" s="44"/>
      <c r="AE543" s="44"/>
      <c r="AF543" s="44"/>
      <c r="AG543" s="44"/>
      <c r="AH543" s="44"/>
      <c r="AI543" s="44"/>
      <c r="AJ543" s="44"/>
      <c r="AK543" s="44"/>
      <c r="AL543" s="44"/>
      <c r="AM543" s="44"/>
      <c r="AN543" s="44"/>
      <c r="AO543" s="44"/>
      <c r="AP543" s="44"/>
    </row>
    <row r="544" spans="1:44" hidden="1" x14ac:dyDescent="0.25">
      <c r="A544" s="149" t="s">
        <v>142</v>
      </c>
      <c r="B544" s="149"/>
      <c r="C544" s="204">
        <v>0</v>
      </c>
      <c r="D544" s="222">
        <v>3.7</v>
      </c>
      <c r="E544" s="206"/>
      <c r="F544" s="111">
        <f t="shared" si="122"/>
        <v>0</v>
      </c>
      <c r="G544" s="222">
        <f>G532</f>
        <v>3.8</v>
      </c>
      <c r="H544" s="206"/>
      <c r="I544" s="111">
        <f>-ROUND(G544*$C544/100,0)</f>
        <v>0</v>
      </c>
      <c r="J544" s="111"/>
      <c r="K544" s="222" t="e">
        <f>K532</f>
        <v>#REF!</v>
      </c>
      <c r="L544" s="206"/>
      <c r="M544" s="111" t="e">
        <f>-ROUND(K544*$C544/100,0)</f>
        <v>#REF!</v>
      </c>
      <c r="N544" s="111"/>
      <c r="O544" s="222" t="e">
        <f>O532</f>
        <v>#DIV/0!</v>
      </c>
      <c r="P544" s="206"/>
      <c r="Q544" s="111" t="e">
        <f>-ROUND(O544*$C544/100,0)</f>
        <v>#DIV/0!</v>
      </c>
      <c r="R544" s="111"/>
      <c r="S544" s="222" t="e">
        <f>S532</f>
        <v>#DIV/0!</v>
      </c>
      <c r="T544" s="206"/>
      <c r="U544" s="111" t="e">
        <f>-ROUND(S544*$C544/100,0)</f>
        <v>#DIV/0!</v>
      </c>
      <c r="V544" s="44"/>
      <c r="W544" s="91"/>
      <c r="X544" s="91"/>
      <c r="Y544" s="91"/>
      <c r="Z544" s="44"/>
      <c r="AA544" s="44"/>
      <c r="AB544" s="44"/>
      <c r="AC544" s="44"/>
      <c r="AD544" s="44"/>
      <c r="AE544" s="44"/>
      <c r="AF544" s="44"/>
      <c r="AG544" s="44"/>
      <c r="AH544" s="44"/>
      <c r="AI544" s="44"/>
      <c r="AJ544" s="44"/>
      <c r="AK544" s="44"/>
      <c r="AL544" s="44"/>
      <c r="AM544" s="44"/>
      <c r="AN544" s="44"/>
      <c r="AO544" s="44"/>
      <c r="AP544" s="44"/>
    </row>
    <row r="545" spans="1:44" hidden="1" x14ac:dyDescent="0.25">
      <c r="A545" s="149" t="s">
        <v>143</v>
      </c>
      <c r="B545" s="149"/>
      <c r="C545" s="204">
        <v>0</v>
      </c>
      <c r="D545" s="224">
        <v>10.628</v>
      </c>
      <c r="E545" s="206" t="s">
        <v>89</v>
      </c>
      <c r="F545" s="111">
        <f>ROUND(D545*$C545/100*D540,0)</f>
        <v>0</v>
      </c>
      <c r="G545" s="224">
        <f>G533</f>
        <v>10.878</v>
      </c>
      <c r="H545" s="206" t="s">
        <v>89</v>
      </c>
      <c r="I545" s="111">
        <f>ROUND(G545*$C545/100*G540,0)</f>
        <v>0</v>
      </c>
      <c r="J545" s="111"/>
      <c r="K545" s="224" t="e">
        <f>K533</f>
        <v>#REF!</v>
      </c>
      <c r="L545" s="206" t="s">
        <v>89</v>
      </c>
      <c r="M545" s="111" t="e">
        <f>ROUND(K545*$C545/100*K540,0)</f>
        <v>#REF!</v>
      </c>
      <c r="N545" s="111"/>
      <c r="O545" s="224" t="e">
        <f>O533</f>
        <v>#DIV/0!</v>
      </c>
      <c r="P545" s="206" t="s">
        <v>89</v>
      </c>
      <c r="Q545" s="111" t="e">
        <f>ROUND(O545*$C545/100*O540,0)</f>
        <v>#DIV/0!</v>
      </c>
      <c r="R545" s="111"/>
      <c r="S545" s="224" t="e">
        <f>S533</f>
        <v>#DIV/0!</v>
      </c>
      <c r="T545" s="206" t="s">
        <v>89</v>
      </c>
      <c r="U545" s="111" t="e">
        <f>ROUND(S545*$C545/100*S540,0)</f>
        <v>#DIV/0!</v>
      </c>
      <c r="V545" s="44"/>
      <c r="W545" s="91"/>
      <c r="X545" s="91"/>
      <c r="Y545" s="91"/>
      <c r="Z545" s="44"/>
      <c r="AA545" s="44"/>
      <c r="AB545" s="44"/>
      <c r="AC545" s="44"/>
      <c r="AD545" s="44"/>
      <c r="AE545" s="44"/>
      <c r="AF545" s="44"/>
      <c r="AG545" s="44"/>
      <c r="AH545" s="44"/>
      <c r="AI545" s="44"/>
      <c r="AJ545" s="44"/>
      <c r="AK545" s="44"/>
      <c r="AL545" s="44"/>
      <c r="AM545" s="44"/>
      <c r="AN545" s="44"/>
      <c r="AO545" s="44"/>
      <c r="AP545" s="44"/>
    </row>
    <row r="546" spans="1:44" hidden="1" x14ac:dyDescent="0.25">
      <c r="A546" s="149" t="s">
        <v>131</v>
      </c>
      <c r="B546" s="149"/>
      <c r="C546" s="204">
        <v>0</v>
      </c>
      <c r="D546" s="224">
        <v>7.3410000000000002</v>
      </c>
      <c r="E546" s="206" t="s">
        <v>89</v>
      </c>
      <c r="F546" s="111">
        <f>ROUND(D546*$C546/100*D540,0)</f>
        <v>0</v>
      </c>
      <c r="G546" s="224">
        <f>G534</f>
        <v>7.5140000000000002</v>
      </c>
      <c r="H546" s="206" t="s">
        <v>89</v>
      </c>
      <c r="I546" s="111">
        <f>ROUND(G546*$C546/100*G540,0)</f>
        <v>0</v>
      </c>
      <c r="J546" s="111"/>
      <c r="K546" s="224" t="e">
        <f>K534</f>
        <v>#REF!</v>
      </c>
      <c r="L546" s="206" t="s">
        <v>89</v>
      </c>
      <c r="M546" s="111" t="e">
        <f>ROUND(K546*$C546/100*K540,0)</f>
        <v>#REF!</v>
      </c>
      <c r="N546" s="111"/>
      <c r="O546" s="224" t="e">
        <f>O534</f>
        <v>#DIV/0!</v>
      </c>
      <c r="P546" s="206" t="s">
        <v>89</v>
      </c>
      <c r="Q546" s="111" t="e">
        <f>ROUND(O546*$C546/100*O540,0)</f>
        <v>#DIV/0!</v>
      </c>
      <c r="R546" s="111"/>
      <c r="S546" s="224" t="e">
        <f>S534</f>
        <v>#DIV/0!</v>
      </c>
      <c r="T546" s="206" t="s">
        <v>89</v>
      </c>
      <c r="U546" s="111" t="e">
        <f>ROUND(S546*$C546/100*S540,0)</f>
        <v>#DIV/0!</v>
      </c>
      <c r="V546" s="44"/>
      <c r="W546" s="91"/>
      <c r="X546" s="91"/>
      <c r="Y546" s="91"/>
      <c r="Z546" s="44"/>
      <c r="AA546" s="44"/>
      <c r="AB546" s="44"/>
      <c r="AC546" s="44"/>
      <c r="AD546" s="44"/>
      <c r="AE546" s="44"/>
      <c r="AF546" s="44"/>
      <c r="AG546" s="44"/>
      <c r="AH546" s="44"/>
      <c r="AI546" s="44"/>
      <c r="AJ546" s="44"/>
      <c r="AK546" s="44"/>
      <c r="AL546" s="44"/>
      <c r="AM546" s="44"/>
      <c r="AN546" s="44"/>
      <c r="AO546" s="44"/>
      <c r="AP546" s="44"/>
    </row>
    <row r="547" spans="1:44" hidden="1" x14ac:dyDescent="0.25">
      <c r="A547" s="149" t="s">
        <v>132</v>
      </c>
      <c r="B547" s="149"/>
      <c r="C547" s="204">
        <v>0</v>
      </c>
      <c r="D547" s="224">
        <v>6.3240000000000007</v>
      </c>
      <c r="E547" s="206" t="s">
        <v>89</v>
      </c>
      <c r="F547" s="111">
        <f>ROUND(D547*$C547/100*D540,0)</f>
        <v>0</v>
      </c>
      <c r="G547" s="224">
        <f>G535</f>
        <v>6.4720000000000004</v>
      </c>
      <c r="H547" s="206" t="s">
        <v>89</v>
      </c>
      <c r="I547" s="111">
        <f>ROUND(G547*$C547/100*G540,0)</f>
        <v>0</v>
      </c>
      <c r="J547" s="111"/>
      <c r="K547" s="224" t="e">
        <f>K535</f>
        <v>#REF!</v>
      </c>
      <c r="L547" s="206" t="s">
        <v>89</v>
      </c>
      <c r="M547" s="111" t="e">
        <f>ROUND(K547*$C547/100*K540,0)</f>
        <v>#REF!</v>
      </c>
      <c r="N547" s="111"/>
      <c r="O547" s="224" t="e">
        <f>O535</f>
        <v>#DIV/0!</v>
      </c>
      <c r="P547" s="206" t="s">
        <v>89</v>
      </c>
      <c r="Q547" s="111" t="e">
        <f>ROUND(O547*$C547/100*O540,0)</f>
        <v>#DIV/0!</v>
      </c>
      <c r="R547" s="111"/>
      <c r="S547" s="224" t="e">
        <f>S535</f>
        <v>#DIV/0!</v>
      </c>
      <c r="T547" s="206" t="s">
        <v>89</v>
      </c>
      <c r="U547" s="111" t="e">
        <f>ROUND(S547*$C547/100*S540,0)</f>
        <v>#DIV/0!</v>
      </c>
      <c r="V547" s="44"/>
      <c r="W547" s="91"/>
      <c r="X547" s="91"/>
      <c r="Y547" s="91"/>
      <c r="Z547" s="44"/>
      <c r="AA547" s="44"/>
      <c r="AB547" s="44"/>
      <c r="AC547" s="44"/>
      <c r="AD547" s="44"/>
      <c r="AE547" s="44"/>
      <c r="AF547" s="44"/>
      <c r="AG547" s="44"/>
      <c r="AH547" s="44"/>
      <c r="AI547" s="44"/>
      <c r="AJ547" s="44"/>
      <c r="AK547" s="44"/>
      <c r="AL547" s="44"/>
      <c r="AM547" s="44"/>
      <c r="AN547" s="44"/>
      <c r="AO547" s="44"/>
      <c r="AP547" s="44"/>
    </row>
    <row r="548" spans="1:44" hidden="1" x14ac:dyDescent="0.25">
      <c r="A548" s="149" t="s">
        <v>133</v>
      </c>
      <c r="B548" s="149"/>
      <c r="C548" s="204">
        <v>0</v>
      </c>
      <c r="D548" s="225">
        <v>57</v>
      </c>
      <c r="E548" s="206" t="s">
        <v>89</v>
      </c>
      <c r="F548" s="111">
        <f>ROUND(D548*$C548/100*D540,0)</f>
        <v>0</v>
      </c>
      <c r="G548" s="225">
        <f>G536</f>
        <v>58</v>
      </c>
      <c r="H548" s="206" t="s">
        <v>89</v>
      </c>
      <c r="I548" s="111">
        <f>ROUND(G548*$C548/100*G540,0)</f>
        <v>0</v>
      </c>
      <c r="J548" s="111"/>
      <c r="K548" s="225" t="str">
        <f>K536</f>
        <v xml:space="preserve"> </v>
      </c>
      <c r="L548" s="206" t="s">
        <v>89</v>
      </c>
      <c r="M548" s="111">
        <f>ROUND(K548*$C548/100*K540,0)</f>
        <v>0</v>
      </c>
      <c r="N548" s="111"/>
      <c r="O548" s="225" t="e">
        <f>O536</f>
        <v>#DIV/0!</v>
      </c>
      <c r="P548" s="206" t="s">
        <v>89</v>
      </c>
      <c r="Q548" s="111" t="e">
        <f>ROUND(O548*$C548/100*O540,0)</f>
        <v>#DIV/0!</v>
      </c>
      <c r="R548" s="111"/>
      <c r="S548" s="225" t="e">
        <f>S536</f>
        <v>#DIV/0!</v>
      </c>
      <c r="T548" s="206" t="s">
        <v>89</v>
      </c>
      <c r="U548" s="111" t="e">
        <f>ROUND(S548*$C548/100*S540,0)</f>
        <v>#DIV/0!</v>
      </c>
      <c r="V548" s="44"/>
      <c r="W548" s="91"/>
      <c r="X548" s="91"/>
      <c r="Y548" s="91"/>
      <c r="Z548" s="44"/>
      <c r="AA548" s="44"/>
      <c r="AB548" s="44"/>
      <c r="AC548" s="44"/>
      <c r="AD548" s="44"/>
      <c r="AE548" s="44"/>
      <c r="AF548" s="44"/>
      <c r="AG548" s="44"/>
      <c r="AH548" s="44"/>
      <c r="AI548" s="44"/>
      <c r="AJ548" s="44"/>
      <c r="AK548" s="44"/>
      <c r="AL548" s="44"/>
      <c r="AM548" s="44"/>
      <c r="AN548" s="44"/>
      <c r="AO548" s="44"/>
      <c r="AP548" s="44"/>
    </row>
    <row r="549" spans="1:44" hidden="1" x14ac:dyDescent="0.25">
      <c r="A549" s="149" t="s">
        <v>144</v>
      </c>
      <c r="B549" s="149"/>
      <c r="C549" s="204">
        <v>0</v>
      </c>
      <c r="D549" s="226">
        <v>60</v>
      </c>
      <c r="E549" s="206"/>
      <c r="F549" s="111">
        <f>ROUND(D549*C549,0)</f>
        <v>0</v>
      </c>
      <c r="G549" s="226">
        <f>$G$198</f>
        <v>60</v>
      </c>
      <c r="H549" s="206"/>
      <c r="I549" s="111">
        <f>ROUND(G549*$C549,0)</f>
        <v>0</v>
      </c>
      <c r="J549" s="111"/>
      <c r="K549" s="226" t="str">
        <f>$K$198</f>
        <v xml:space="preserve"> </v>
      </c>
      <c r="L549" s="206"/>
      <c r="M549" s="111">
        <f>ROUND(K549*$C549,0)</f>
        <v>0</v>
      </c>
      <c r="N549" s="111"/>
      <c r="O549" s="226" t="e">
        <f>$O$198</f>
        <v>#DIV/0!</v>
      </c>
      <c r="P549" s="206"/>
      <c r="Q549" s="111" t="e">
        <f>ROUND(O549*$C549,0)</f>
        <v>#DIV/0!</v>
      </c>
      <c r="R549" s="111"/>
      <c r="S549" s="226" t="e">
        <f>$S$198</f>
        <v>#DIV/0!</v>
      </c>
      <c r="T549" s="206"/>
      <c r="U549" s="111" t="e">
        <f>ROUND(S549*$C549,0)</f>
        <v>#DIV/0!</v>
      </c>
      <c r="V549" s="44"/>
      <c r="W549" s="91"/>
      <c r="X549" s="91"/>
      <c r="Y549" s="91"/>
      <c r="Z549" s="44"/>
      <c r="AA549" s="44"/>
      <c r="AB549" s="44"/>
      <c r="AC549" s="44"/>
      <c r="AD549" s="44"/>
      <c r="AE549" s="44"/>
      <c r="AF549" s="44"/>
      <c r="AG549" s="44"/>
      <c r="AH549" s="44"/>
      <c r="AI549" s="44"/>
      <c r="AJ549" s="44"/>
      <c r="AK549" s="44"/>
      <c r="AL549" s="44"/>
      <c r="AM549" s="44"/>
      <c r="AN549" s="44"/>
      <c r="AO549" s="44"/>
      <c r="AP549" s="44"/>
    </row>
    <row r="550" spans="1:44" hidden="1" x14ac:dyDescent="0.25">
      <c r="A550" s="149" t="s">
        <v>145</v>
      </c>
      <c r="B550" s="149"/>
      <c r="C550" s="204">
        <v>0</v>
      </c>
      <c r="D550" s="227">
        <v>-30</v>
      </c>
      <c r="E550" s="206" t="s">
        <v>89</v>
      </c>
      <c r="F550" s="111">
        <f>ROUND(D550*C550/100,0)</f>
        <v>0</v>
      </c>
      <c r="G550" s="227">
        <f>$G$199</f>
        <v>-30</v>
      </c>
      <c r="H550" s="206" t="s">
        <v>89</v>
      </c>
      <c r="I550" s="111">
        <f>ROUND(G550*$C550/100,0)</f>
        <v>0</v>
      </c>
      <c r="J550" s="111"/>
      <c r="K550" s="227">
        <f>$K$199</f>
        <v>-30</v>
      </c>
      <c r="L550" s="206" t="s">
        <v>89</v>
      </c>
      <c r="M550" s="111">
        <f>ROUND(K550*$C550/100,0)</f>
        <v>0</v>
      </c>
      <c r="N550" s="111"/>
      <c r="O550" s="227" t="str">
        <f>$O$199</f>
        <v xml:space="preserve"> </v>
      </c>
      <c r="P550" s="206" t="s">
        <v>89</v>
      </c>
      <c r="Q550" s="111">
        <f>ROUND(O550*$C550/100,0)</f>
        <v>0</v>
      </c>
      <c r="R550" s="111"/>
      <c r="S550" s="227" t="str">
        <f>$S$199</f>
        <v xml:space="preserve"> </v>
      </c>
      <c r="T550" s="206" t="s">
        <v>89</v>
      </c>
      <c r="U550" s="111">
        <f>ROUND(S550*$C550/100,0)</f>
        <v>0</v>
      </c>
      <c r="V550" s="44"/>
      <c r="W550" s="91"/>
      <c r="X550" s="91"/>
      <c r="Y550" s="91"/>
      <c r="Z550" s="44"/>
      <c r="AA550" s="44"/>
      <c r="AB550" s="44"/>
      <c r="AC550" s="44"/>
      <c r="AD550" s="44"/>
      <c r="AE550" s="44"/>
      <c r="AF550" s="44"/>
      <c r="AG550" s="44"/>
      <c r="AH550" s="44"/>
      <c r="AI550" s="44"/>
      <c r="AJ550" s="44"/>
      <c r="AK550" s="44"/>
      <c r="AL550" s="44"/>
      <c r="AM550" s="44"/>
      <c r="AN550" s="44"/>
      <c r="AO550" s="44"/>
      <c r="AP550" s="44"/>
    </row>
    <row r="551" spans="1:44" s="120" customFormat="1" hidden="1" x14ac:dyDescent="0.25">
      <c r="A551" s="119" t="s">
        <v>134</v>
      </c>
      <c r="C551" s="121">
        <f>C545</f>
        <v>0</v>
      </c>
      <c r="D551" s="128">
        <v>0</v>
      </c>
      <c r="E551" s="122"/>
      <c r="F551" s="123"/>
      <c r="G551" s="124">
        <f>G183</f>
        <v>0</v>
      </c>
      <c r="H551" s="215" t="s">
        <v>89</v>
      </c>
      <c r="I551" s="111">
        <f>ROUND(G551*$C551/100*G540,0)</f>
        <v>0</v>
      </c>
      <c r="J551" s="111"/>
      <c r="K551" s="124" t="str">
        <f>K183</f>
        <v xml:space="preserve"> </v>
      </c>
      <c r="L551" s="215" t="s">
        <v>89</v>
      </c>
      <c r="M551" s="111">
        <f>ROUND(K551*$C551/100*K540,0)</f>
        <v>0</v>
      </c>
      <c r="N551" s="111"/>
      <c r="O551" s="124" t="str">
        <f>O183</f>
        <v xml:space="preserve"> </v>
      </c>
      <c r="P551" s="215" t="s">
        <v>89</v>
      </c>
      <c r="Q551" s="111">
        <f>ROUND(O551*$C551/100*O540,0)</f>
        <v>0</v>
      </c>
      <c r="R551" s="111"/>
      <c r="S551" s="124">
        <f>S183</f>
        <v>0</v>
      </c>
      <c r="T551" s="215" t="s">
        <v>89</v>
      </c>
      <c r="U551" s="111">
        <f>ROUND(S551*$C551/100*S540,0)</f>
        <v>0</v>
      </c>
      <c r="W551" s="112"/>
      <c r="Z551" s="127"/>
      <c r="AA551" s="127"/>
      <c r="AF551" s="122"/>
      <c r="AG551" s="122"/>
      <c r="AH551" s="122"/>
      <c r="AI551" s="122"/>
      <c r="AJ551" s="122"/>
      <c r="AK551" s="122"/>
      <c r="AL551" s="122"/>
      <c r="AM551" s="122"/>
      <c r="AN551" s="122"/>
      <c r="AO551" s="122"/>
      <c r="AP551" s="122"/>
      <c r="AR551" s="126"/>
    </row>
    <row r="552" spans="1:44" s="120" customFormat="1" hidden="1" x14ac:dyDescent="0.25">
      <c r="A552" s="119" t="s">
        <v>135</v>
      </c>
      <c r="C552" s="121">
        <f>C546</f>
        <v>0</v>
      </c>
      <c r="D552" s="128">
        <v>0</v>
      </c>
      <c r="E552" s="122"/>
      <c r="F552" s="123"/>
      <c r="G552" s="124">
        <f>G184</f>
        <v>0</v>
      </c>
      <c r="H552" s="215" t="s">
        <v>89</v>
      </c>
      <c r="I552" s="111">
        <f>ROUND(G552*$C552/100*G540,0)</f>
        <v>0</v>
      </c>
      <c r="J552" s="111"/>
      <c r="K552" s="124" t="str">
        <f>K184</f>
        <v xml:space="preserve"> </v>
      </c>
      <c r="L552" s="215" t="s">
        <v>89</v>
      </c>
      <c r="M552" s="111">
        <f>ROUND(K552*$C552/100*K540,0)</f>
        <v>0</v>
      </c>
      <c r="N552" s="111"/>
      <c r="O552" s="124" t="str">
        <f>O184</f>
        <v xml:space="preserve"> </v>
      </c>
      <c r="P552" s="215" t="s">
        <v>89</v>
      </c>
      <c r="Q552" s="111">
        <f>ROUND(O552*$C552/100*O540,0)</f>
        <v>0</v>
      </c>
      <c r="R552" s="111"/>
      <c r="S552" s="124">
        <f>S184</f>
        <v>0</v>
      </c>
      <c r="T552" s="215" t="s">
        <v>89</v>
      </c>
      <c r="U552" s="111">
        <f>ROUND(S552*$C552/100*S540,0)</f>
        <v>0</v>
      </c>
      <c r="W552" s="112"/>
      <c r="Z552" s="127"/>
      <c r="AA552" s="127"/>
      <c r="AF552" s="122"/>
      <c r="AG552" s="122"/>
      <c r="AH552" s="122"/>
      <c r="AI552" s="122"/>
      <c r="AJ552" s="122"/>
      <c r="AK552" s="122"/>
      <c r="AL552" s="122"/>
      <c r="AM552" s="122"/>
      <c r="AN552" s="122"/>
      <c r="AO552" s="122"/>
      <c r="AP552" s="122"/>
      <c r="AR552" s="126"/>
    </row>
    <row r="553" spans="1:44" s="120" customFormat="1" hidden="1" x14ac:dyDescent="0.25">
      <c r="A553" s="119" t="s">
        <v>136</v>
      </c>
      <c r="C553" s="121">
        <f>C547</f>
        <v>0</v>
      </c>
      <c r="D553" s="128">
        <v>0</v>
      </c>
      <c r="E553" s="122"/>
      <c r="F553" s="123"/>
      <c r="G553" s="124">
        <f>G185</f>
        <v>0</v>
      </c>
      <c r="H553" s="215" t="s">
        <v>89</v>
      </c>
      <c r="I553" s="111">
        <f>ROUND(G553*$C553/100*G540,0)</f>
        <v>0</v>
      </c>
      <c r="J553" s="111"/>
      <c r="K553" s="124" t="str">
        <f>K185</f>
        <v xml:space="preserve"> </v>
      </c>
      <c r="L553" s="215" t="s">
        <v>89</v>
      </c>
      <c r="M553" s="111">
        <f>ROUND(K553*$C553/100*K540,0)</f>
        <v>0</v>
      </c>
      <c r="N553" s="111"/>
      <c r="O553" s="124" t="str">
        <f>O185</f>
        <v xml:space="preserve"> </v>
      </c>
      <c r="P553" s="215" t="s">
        <v>89</v>
      </c>
      <c r="Q553" s="111">
        <f>ROUND(O553*$C553/100*O540,0)</f>
        <v>0</v>
      </c>
      <c r="R553" s="111"/>
      <c r="S553" s="124">
        <f>S185</f>
        <v>0</v>
      </c>
      <c r="T553" s="215" t="s">
        <v>89</v>
      </c>
      <c r="U553" s="111">
        <f>ROUND(S553*$C553/100*S540,0)</f>
        <v>0</v>
      </c>
      <c r="W553" s="112"/>
      <c r="Z553" s="127"/>
      <c r="AA553" s="127"/>
      <c r="AF553" s="122"/>
      <c r="AG553" s="122"/>
      <c r="AH553" s="122"/>
      <c r="AI553" s="122"/>
      <c r="AJ553" s="122"/>
      <c r="AK553" s="122"/>
      <c r="AL553" s="122"/>
      <c r="AM553" s="122"/>
      <c r="AN553" s="122"/>
      <c r="AO553" s="122"/>
      <c r="AP553" s="122"/>
      <c r="AR553" s="126"/>
    </row>
    <row r="554" spans="1:44" hidden="1" x14ac:dyDescent="0.25">
      <c r="A554" s="149" t="s">
        <v>114</v>
      </c>
      <c r="B554" s="149"/>
      <c r="C554" s="204">
        <f>SUM(C533:C535)</f>
        <v>5786</v>
      </c>
      <c r="D554" s="212"/>
      <c r="E554" s="206"/>
      <c r="F554" s="111">
        <f>SUM(F527:F550)</f>
        <v>2110</v>
      </c>
      <c r="G554" s="212"/>
      <c r="H554" s="206"/>
      <c r="I554" s="111">
        <f>SUM(I527:I553)</f>
        <v>2161</v>
      </c>
      <c r="J554" s="111"/>
      <c r="K554" s="212"/>
      <c r="L554" s="206"/>
      <c r="M554" s="111" t="e">
        <f>SUM(M527:M553)</f>
        <v>#REF!</v>
      </c>
      <c r="N554" s="111"/>
      <c r="O554" s="212"/>
      <c r="P554" s="206"/>
      <c r="Q554" s="111" t="e">
        <f>SUM(Q527:Q553)</f>
        <v>#DIV/0!</v>
      </c>
      <c r="R554" s="111"/>
      <c r="S554" s="212"/>
      <c r="T554" s="206"/>
      <c r="U554" s="111" t="e">
        <f>SUM(U527:U553)</f>
        <v>#DIV/0!</v>
      </c>
      <c r="V554" s="44"/>
      <c r="W554" s="91"/>
      <c r="X554" s="91"/>
      <c r="Y554" s="91"/>
      <c r="Z554" s="44"/>
      <c r="AA554" s="44"/>
      <c r="AB554" s="44"/>
      <c r="AC554" s="44"/>
      <c r="AD554" s="44"/>
      <c r="AE554" s="44"/>
      <c r="AF554" s="44"/>
      <c r="AG554" s="44"/>
      <c r="AH554" s="44"/>
      <c r="AI554" s="44"/>
      <c r="AJ554" s="44"/>
      <c r="AK554" s="44"/>
      <c r="AL554" s="44"/>
      <c r="AM554" s="44"/>
      <c r="AN554" s="44"/>
      <c r="AO554" s="44"/>
      <c r="AP554" s="44"/>
    </row>
    <row r="555" spans="1:44" hidden="1" x14ac:dyDescent="0.25">
      <c r="A555" s="149" t="s">
        <v>92</v>
      </c>
      <c r="B555" s="149"/>
      <c r="C555" s="248">
        <v>17.989857077409003</v>
      </c>
      <c r="D555" s="134"/>
      <c r="E555" s="134"/>
      <c r="F555" s="230">
        <v>6.4701450675839931</v>
      </c>
      <c r="G555" s="134"/>
      <c r="H555" s="134"/>
      <c r="I555" s="230">
        <f>F555</f>
        <v>6.4701450675839931</v>
      </c>
      <c r="J555" s="207"/>
      <c r="K555" s="134"/>
      <c r="L555" s="134"/>
      <c r="M555" s="230" t="e">
        <f>M204/I204*I555</f>
        <v>#DIV/0!</v>
      </c>
      <c r="N555" s="207"/>
      <c r="O555" s="134"/>
      <c r="P555" s="134"/>
      <c r="Q555" s="230" t="e">
        <f>Q204/I204*I555</f>
        <v>#DIV/0!</v>
      </c>
      <c r="R555" s="207"/>
      <c r="S555" s="134"/>
      <c r="T555" s="134"/>
      <c r="U555" s="230" t="e">
        <f>U204/I204*I555</f>
        <v>#DIV/0!</v>
      </c>
      <c r="V555" s="165"/>
      <c r="W555" s="163"/>
      <c r="X555" s="91"/>
      <c r="Y555" s="91"/>
      <c r="Z555" s="44"/>
      <c r="AA555" s="44"/>
      <c r="AB555" s="44"/>
      <c r="AC555" s="44"/>
      <c r="AD555" s="44"/>
      <c r="AE555" s="44"/>
      <c r="AF555" s="44"/>
      <c r="AG555" s="44"/>
      <c r="AH555" s="44"/>
      <c r="AI555" s="44"/>
      <c r="AJ555" s="44"/>
      <c r="AK555" s="44"/>
      <c r="AL555" s="44"/>
      <c r="AM555" s="44"/>
      <c r="AN555" s="44"/>
      <c r="AO555" s="44"/>
      <c r="AP555" s="44"/>
    </row>
    <row r="556" spans="1:44" ht="16.5" hidden="1" thickBot="1" x14ac:dyDescent="0.3">
      <c r="A556" s="149" t="s">
        <v>115</v>
      </c>
      <c r="B556" s="149"/>
      <c r="C556" s="192">
        <f>SUM(C554:C555)</f>
        <v>5803.9898570774094</v>
      </c>
      <c r="D556" s="245"/>
      <c r="E556" s="232"/>
      <c r="F556" s="233">
        <f>F554+F555</f>
        <v>2116.4701450675839</v>
      </c>
      <c r="G556" s="245"/>
      <c r="H556" s="232"/>
      <c r="I556" s="233">
        <f>I554+I555</f>
        <v>2167.4701450675839</v>
      </c>
      <c r="J556" s="207"/>
      <c r="K556" s="245"/>
      <c r="L556" s="232"/>
      <c r="M556" s="233" t="e">
        <f>M554+M555</f>
        <v>#REF!</v>
      </c>
      <c r="N556" s="233"/>
      <c r="O556" s="245"/>
      <c r="P556" s="232"/>
      <c r="Q556" s="233" t="e">
        <f>Q554+Q555</f>
        <v>#DIV/0!</v>
      </c>
      <c r="R556" s="233"/>
      <c r="S556" s="245"/>
      <c r="T556" s="232"/>
      <c r="U556" s="233" t="e">
        <f>U554+U555</f>
        <v>#DIV/0!</v>
      </c>
      <c r="V556" s="166"/>
      <c r="W556" s="167"/>
      <c r="X556" s="91"/>
      <c r="Y556" s="91"/>
      <c r="Z556" s="44"/>
      <c r="AA556" s="44"/>
      <c r="AB556" s="44"/>
      <c r="AC556" s="44"/>
      <c r="AD556" s="44"/>
      <c r="AE556" s="44"/>
      <c r="AF556" s="44"/>
      <c r="AG556" s="44"/>
      <c r="AH556" s="44"/>
      <c r="AI556" s="44"/>
      <c r="AJ556" s="44"/>
      <c r="AK556" s="44"/>
      <c r="AL556" s="44"/>
      <c r="AM556" s="44"/>
      <c r="AN556" s="44"/>
      <c r="AO556" s="44"/>
      <c r="AP556" s="44"/>
    </row>
    <row r="557" spans="1:44" hidden="1" x14ac:dyDescent="0.25">
      <c r="A557" s="149"/>
      <c r="B557" s="149"/>
      <c r="C557" s="169"/>
      <c r="D557" s="226" t="s">
        <v>0</v>
      </c>
      <c r="E557" s="149"/>
      <c r="F557" s="111"/>
      <c r="G557" s="250" t="s">
        <v>0</v>
      </c>
      <c r="H557" s="149"/>
      <c r="I557" s="111" t="s">
        <v>0</v>
      </c>
      <c r="J557" s="111"/>
      <c r="K557" s="250" t="s">
        <v>0</v>
      </c>
      <c r="L557" s="149"/>
      <c r="M557" s="111" t="s">
        <v>0</v>
      </c>
      <c r="N557" s="111"/>
      <c r="O557" s="250" t="s">
        <v>0</v>
      </c>
      <c r="P557" s="149"/>
      <c r="Q557" s="111" t="s">
        <v>0</v>
      </c>
      <c r="R557" s="111"/>
      <c r="S557" s="250" t="s">
        <v>0</v>
      </c>
      <c r="T557" s="149"/>
      <c r="U557" s="111" t="s">
        <v>0</v>
      </c>
      <c r="V557" s="44"/>
      <c r="W557" s="91"/>
      <c r="X557" s="91"/>
      <c r="Y557" s="91"/>
      <c r="Z557" s="44"/>
      <c r="AA557" s="44"/>
      <c r="AB557" s="44"/>
      <c r="AC557" s="44"/>
      <c r="AD557" s="44"/>
      <c r="AE557" s="44"/>
      <c r="AF557" s="44"/>
      <c r="AG557" s="44"/>
      <c r="AH557" s="44"/>
      <c r="AI557" s="44"/>
      <c r="AJ557" s="44"/>
      <c r="AK557" s="44"/>
      <c r="AL557" s="44"/>
      <c r="AM557" s="44"/>
      <c r="AN557" s="44"/>
      <c r="AO557" s="44"/>
      <c r="AP557" s="44"/>
    </row>
    <row r="558" spans="1:44" x14ac:dyDescent="0.25">
      <c r="A558" s="168" t="s">
        <v>158</v>
      </c>
      <c r="B558" s="149"/>
      <c r="C558" s="252"/>
      <c r="D558" s="111"/>
      <c r="E558" s="149"/>
      <c r="F558" s="149"/>
      <c r="G558" s="111"/>
      <c r="H558" s="149"/>
      <c r="I558" s="111" t="s">
        <v>0</v>
      </c>
      <c r="J558" s="111"/>
      <c r="K558" s="111"/>
      <c r="L558" s="149"/>
      <c r="M558" s="111" t="s">
        <v>0</v>
      </c>
      <c r="N558" s="111"/>
      <c r="O558" s="111"/>
      <c r="P558" s="149"/>
      <c r="Q558" s="111" t="s">
        <v>0</v>
      </c>
      <c r="R558" s="111"/>
      <c r="S558" s="111"/>
      <c r="T558" s="149"/>
      <c r="U558" s="111" t="s">
        <v>0</v>
      </c>
      <c r="V558" s="44"/>
      <c r="W558" s="91"/>
      <c r="X558" s="91"/>
      <c r="Y558" s="91"/>
      <c r="Z558" s="44"/>
      <c r="AA558" s="44"/>
      <c r="AB558" s="44"/>
      <c r="AC558" s="44"/>
      <c r="AD558" s="44"/>
      <c r="AE558" s="44"/>
      <c r="AF558" s="44"/>
      <c r="AG558" s="44"/>
      <c r="AH558" s="44"/>
      <c r="AI558" s="44"/>
      <c r="AJ558" s="44"/>
      <c r="AK558" s="44"/>
      <c r="AL558" s="44"/>
      <c r="AM558" s="44"/>
      <c r="AN558" s="44"/>
      <c r="AO558" s="44"/>
      <c r="AP558" s="44"/>
    </row>
    <row r="559" spans="1:44" x14ac:dyDescent="0.25">
      <c r="A559" s="206" t="s">
        <v>46</v>
      </c>
      <c r="B559" s="149"/>
      <c r="C559" s="149" t="s">
        <v>0</v>
      </c>
      <c r="D559" s="111"/>
      <c r="E559" s="149"/>
      <c r="F559" s="149"/>
      <c r="G559" s="111"/>
      <c r="H559" s="149"/>
      <c r="I559" s="149"/>
      <c r="J559" s="149"/>
      <c r="K559" s="111"/>
      <c r="L559" s="149"/>
      <c r="M559" s="149"/>
      <c r="N559" s="149"/>
      <c r="O559" s="111"/>
      <c r="P559" s="149"/>
      <c r="Q559" s="149"/>
      <c r="R559" s="149"/>
      <c r="S559" s="111"/>
      <c r="T559" s="149"/>
      <c r="U559" s="149"/>
      <c r="V559" s="44"/>
      <c r="W559" s="91"/>
      <c r="X559" s="91"/>
      <c r="Y559" s="91"/>
      <c r="Z559" s="44"/>
      <c r="AA559" s="44"/>
      <c r="AB559" s="44"/>
      <c r="AC559" s="44"/>
      <c r="AD559" s="44"/>
      <c r="AE559" s="44"/>
      <c r="AF559" s="44"/>
      <c r="AG559" s="44"/>
      <c r="AH559" s="44"/>
      <c r="AI559" s="44"/>
      <c r="AJ559" s="44"/>
      <c r="AK559" s="44"/>
      <c r="AL559" s="44"/>
      <c r="AM559" s="44"/>
      <c r="AN559" s="44"/>
      <c r="AO559" s="44"/>
      <c r="AP559" s="44"/>
    </row>
    <row r="560" spans="1:44" x14ac:dyDescent="0.25">
      <c r="A560" s="206"/>
      <c r="B560" s="149"/>
      <c r="C560" s="149"/>
      <c r="D560" s="111"/>
      <c r="E560" s="149"/>
      <c r="F560" s="149"/>
      <c r="G560" s="111"/>
      <c r="H560" s="149"/>
      <c r="I560" s="149"/>
      <c r="J560" s="149"/>
      <c r="K560" s="111"/>
      <c r="L560" s="149"/>
      <c r="M560" s="149"/>
      <c r="N560" s="149"/>
      <c r="O560" s="111"/>
      <c r="P560" s="149"/>
      <c r="Q560" s="149"/>
      <c r="R560" s="149"/>
      <c r="S560" s="111"/>
      <c r="T560" s="149"/>
      <c r="U560" s="149"/>
      <c r="V560" s="44"/>
      <c r="W560" s="91"/>
      <c r="X560" s="91"/>
      <c r="Y560" s="91"/>
      <c r="Z560" s="44"/>
      <c r="AA560" s="44"/>
      <c r="AB560" s="44"/>
      <c r="AC560" s="44"/>
      <c r="AD560" s="44"/>
      <c r="AE560" s="44"/>
      <c r="AF560" s="44"/>
      <c r="AG560" s="44"/>
      <c r="AH560" s="44"/>
      <c r="AI560" s="44"/>
      <c r="AJ560" s="44"/>
      <c r="AK560" s="44"/>
      <c r="AL560" s="44"/>
      <c r="AM560" s="44"/>
      <c r="AN560" s="44"/>
      <c r="AO560" s="44"/>
      <c r="AP560" s="44"/>
    </row>
    <row r="561" spans="1:44" x14ac:dyDescent="0.25">
      <c r="A561" s="206" t="s">
        <v>127</v>
      </c>
      <c r="B561" s="149"/>
      <c r="C561" s="204"/>
      <c r="D561" s="111"/>
      <c r="E561" s="149"/>
      <c r="F561" s="149"/>
      <c r="G561" s="111"/>
      <c r="H561" s="149"/>
      <c r="I561" s="149"/>
      <c r="J561" s="149"/>
      <c r="K561" s="111"/>
      <c r="L561" s="149"/>
      <c r="M561" s="149"/>
      <c r="N561" s="149"/>
      <c r="O561" s="111"/>
      <c r="P561" s="149"/>
      <c r="Q561" s="149"/>
      <c r="R561" s="149"/>
      <c r="S561" s="111"/>
      <c r="T561" s="149"/>
      <c r="U561" s="149"/>
      <c r="V561" s="44"/>
      <c r="W561" s="91"/>
      <c r="X561" s="91"/>
      <c r="Y561" s="91"/>
      <c r="Z561" s="44"/>
      <c r="AA561" s="44"/>
      <c r="AB561" s="44"/>
      <c r="AC561" s="44"/>
      <c r="AD561" s="44"/>
      <c r="AE561" s="44"/>
      <c r="AF561" s="44"/>
      <c r="AG561" s="44"/>
      <c r="AH561" s="44"/>
      <c r="AI561" s="44"/>
      <c r="AJ561" s="44"/>
      <c r="AK561" s="44"/>
      <c r="AL561" s="44"/>
      <c r="AM561" s="44"/>
      <c r="AN561" s="44"/>
      <c r="AO561" s="44"/>
      <c r="AP561" s="44"/>
    </row>
    <row r="562" spans="1:44" x14ac:dyDescent="0.25">
      <c r="A562" s="206" t="s">
        <v>159</v>
      </c>
      <c r="B562" s="149"/>
      <c r="C562" s="204">
        <v>0</v>
      </c>
      <c r="D562" s="180">
        <v>264</v>
      </c>
      <c r="E562" s="206"/>
      <c r="F562" s="223">
        <f>ROUND(D562*$C562,0)</f>
        <v>0</v>
      </c>
      <c r="G562" s="180">
        <v>268</v>
      </c>
      <c r="H562" s="206"/>
      <c r="I562" s="223">
        <f>ROUND(G562*$C562,0)</f>
        <v>0</v>
      </c>
      <c r="J562" s="223"/>
      <c r="K562" s="180">
        <v>264</v>
      </c>
      <c r="L562" s="206"/>
      <c r="M562" s="223">
        <v>0</v>
      </c>
      <c r="N562" s="223"/>
      <c r="O562" s="180" t="s">
        <v>0</v>
      </c>
      <c r="P562" s="206"/>
      <c r="Q562" s="223">
        <v>0</v>
      </c>
      <c r="R562" s="223"/>
      <c r="S562" s="180" t="s">
        <v>0</v>
      </c>
      <c r="T562" s="206"/>
      <c r="U562" s="223">
        <v>0</v>
      </c>
      <c r="V562" s="44"/>
      <c r="W562" s="91"/>
      <c r="X562" s="91"/>
      <c r="Y562" s="91"/>
      <c r="Z562" s="44"/>
      <c r="AA562" s="44"/>
      <c r="AB562" s="44"/>
      <c r="AC562" s="44"/>
      <c r="AD562" s="44"/>
      <c r="AE562" s="44"/>
      <c r="AF562" s="44"/>
      <c r="AG562" s="44"/>
      <c r="AH562" s="44"/>
      <c r="AI562" s="44"/>
      <c r="AJ562" s="44"/>
      <c r="AK562" s="44"/>
      <c r="AL562" s="44"/>
      <c r="AM562" s="44"/>
      <c r="AN562" s="44"/>
      <c r="AO562" s="44"/>
      <c r="AP562" s="44"/>
    </row>
    <row r="563" spans="1:44" x14ac:dyDescent="0.25">
      <c r="A563" s="206" t="s">
        <v>160</v>
      </c>
      <c r="B563" s="149"/>
      <c r="C563" s="204">
        <v>0</v>
      </c>
      <c r="D563" s="180">
        <v>98</v>
      </c>
      <c r="E563" s="206"/>
      <c r="F563" s="223">
        <f>ROUND(D563*$C563,0)</f>
        <v>0</v>
      </c>
      <c r="G563" s="180">
        <v>100</v>
      </c>
      <c r="H563" s="206"/>
      <c r="I563" s="223">
        <f>ROUND(G563*$C563,0)</f>
        <v>0</v>
      </c>
      <c r="J563" s="223"/>
      <c r="K563" s="180">
        <v>98</v>
      </c>
      <c r="L563" s="206"/>
      <c r="M563" s="223">
        <v>0</v>
      </c>
      <c r="N563" s="223"/>
      <c r="O563" s="180" t="s">
        <v>0</v>
      </c>
      <c r="P563" s="206"/>
      <c r="Q563" s="223">
        <v>0</v>
      </c>
      <c r="R563" s="223"/>
      <c r="S563" s="180" t="s">
        <v>0</v>
      </c>
      <c r="T563" s="206"/>
      <c r="U563" s="223">
        <v>0</v>
      </c>
      <c r="V563" s="44"/>
      <c r="W563" s="91"/>
      <c r="X563" s="91"/>
      <c r="Y563" s="91"/>
      <c r="Z563" s="44"/>
      <c r="AA563" s="44"/>
      <c r="AB563" s="44"/>
      <c r="AC563" s="44"/>
      <c r="AD563" s="44"/>
      <c r="AE563" s="44"/>
      <c r="AF563" s="44"/>
      <c r="AG563" s="44"/>
      <c r="AH563" s="44"/>
      <c r="AI563" s="44"/>
      <c r="AJ563" s="44"/>
      <c r="AK563" s="44"/>
      <c r="AL563" s="44"/>
      <c r="AM563" s="44"/>
      <c r="AN563" s="44"/>
      <c r="AO563" s="44"/>
      <c r="AP563" s="44"/>
    </row>
    <row r="564" spans="1:44" x14ac:dyDescent="0.25">
      <c r="A564" s="206" t="s">
        <v>161</v>
      </c>
      <c r="B564" s="149"/>
      <c r="C564" s="204">
        <v>0</v>
      </c>
      <c r="D564" s="180">
        <v>195</v>
      </c>
      <c r="E564" s="208"/>
      <c r="F564" s="223">
        <f>ROUND(D564*$C564,0)</f>
        <v>0</v>
      </c>
      <c r="G564" s="180">
        <v>200</v>
      </c>
      <c r="H564" s="208"/>
      <c r="I564" s="223">
        <f>ROUND(G564*$C564,0)</f>
        <v>0</v>
      </c>
      <c r="J564" s="223"/>
      <c r="K564" s="180">
        <v>195</v>
      </c>
      <c r="L564" s="208"/>
      <c r="M564" s="223">
        <v>0</v>
      </c>
      <c r="N564" s="223"/>
      <c r="O564" s="180" t="s">
        <v>0</v>
      </c>
      <c r="P564" s="208"/>
      <c r="Q564" s="223">
        <v>0</v>
      </c>
      <c r="R564" s="223"/>
      <c r="S564" s="180" t="s">
        <v>0</v>
      </c>
      <c r="T564" s="208"/>
      <c r="U564" s="223">
        <v>0</v>
      </c>
      <c r="V564" s="44"/>
      <c r="W564" s="91"/>
      <c r="X564" s="91"/>
      <c r="Y564" s="91"/>
      <c r="Z564" s="44"/>
      <c r="AA564" s="44"/>
      <c r="AB564" s="44"/>
      <c r="AC564" s="44"/>
      <c r="AD564" s="44"/>
      <c r="AE564" s="44"/>
      <c r="AF564" s="44"/>
      <c r="AG564" s="44"/>
      <c r="AH564" s="44"/>
      <c r="AI564" s="44"/>
      <c r="AJ564" s="44"/>
      <c r="AK564" s="44"/>
      <c r="AL564" s="44"/>
      <c r="AM564" s="44"/>
      <c r="AN564" s="44"/>
      <c r="AO564" s="44"/>
      <c r="AP564" s="44"/>
    </row>
    <row r="565" spans="1:44" x14ac:dyDescent="0.25">
      <c r="A565" s="206" t="s">
        <v>128</v>
      </c>
      <c r="B565" s="149"/>
      <c r="C565" s="204">
        <f>SUM(C562:C564)</f>
        <v>0</v>
      </c>
      <c r="D565" s="180"/>
      <c r="E565" s="206"/>
      <c r="F565" s="223"/>
      <c r="G565" s="180"/>
      <c r="H565" s="206"/>
      <c r="I565" s="223"/>
      <c r="J565" s="223"/>
      <c r="K565" s="180"/>
      <c r="L565" s="206"/>
      <c r="M565" s="223"/>
      <c r="N565" s="223"/>
      <c r="O565" s="180"/>
      <c r="P565" s="206"/>
      <c r="Q565" s="223"/>
      <c r="R565" s="223"/>
      <c r="S565" s="180"/>
      <c r="T565" s="206"/>
      <c r="U565" s="223"/>
      <c r="V565" s="44"/>
      <c r="W565" s="91"/>
      <c r="X565" s="91"/>
      <c r="Y565" s="91"/>
      <c r="Z565" s="44"/>
      <c r="AA565" s="44"/>
      <c r="AB565" s="44"/>
      <c r="AC565" s="44"/>
      <c r="AD565" s="44"/>
      <c r="AE565" s="44"/>
      <c r="AF565" s="44"/>
      <c r="AG565" s="44"/>
      <c r="AH565" s="44"/>
      <c r="AI565" s="44"/>
      <c r="AJ565" s="44"/>
      <c r="AK565" s="44"/>
      <c r="AL565" s="44"/>
      <c r="AM565" s="44"/>
      <c r="AN565" s="44"/>
      <c r="AO565" s="44"/>
      <c r="AP565" s="44"/>
    </row>
    <row r="566" spans="1:44" x14ac:dyDescent="0.25">
      <c r="A566" s="206" t="s">
        <v>160</v>
      </c>
      <c r="B566" s="149"/>
      <c r="C566" s="204">
        <v>0</v>
      </c>
      <c r="D566" s="180">
        <v>1.79</v>
      </c>
      <c r="E566" s="206" t="s">
        <v>0</v>
      </c>
      <c r="F566" s="223">
        <f>ROUND(D566*$C566,0)</f>
        <v>0</v>
      </c>
      <c r="G566" s="180">
        <v>1.83</v>
      </c>
      <c r="H566" s="206" t="s">
        <v>0</v>
      </c>
      <c r="I566" s="223">
        <f>ROUND(G566*$C566,0)</f>
        <v>0</v>
      </c>
      <c r="J566" s="223"/>
      <c r="K566" s="180">
        <v>1.79</v>
      </c>
      <c r="L566" s="206" t="s">
        <v>0</v>
      </c>
      <c r="M566" s="223">
        <v>0</v>
      </c>
      <c r="N566" s="223"/>
      <c r="O566" s="180" t="s">
        <v>0</v>
      </c>
      <c r="P566" s="206" t="s">
        <v>0</v>
      </c>
      <c r="Q566" s="223">
        <v>0</v>
      </c>
      <c r="R566" s="223"/>
      <c r="S566" s="180" t="s">
        <v>0</v>
      </c>
      <c r="T566" s="206" t="s">
        <v>0</v>
      </c>
      <c r="U566" s="223">
        <v>0</v>
      </c>
      <c r="V566" s="44"/>
      <c r="W566" s="91"/>
      <c r="X566" s="91"/>
      <c r="Y566" s="91"/>
      <c r="Z566" s="44"/>
      <c r="AA566" s="44"/>
      <c r="AB566" s="44"/>
      <c r="AC566" s="44"/>
      <c r="AD566" s="44"/>
      <c r="AE566" s="44"/>
      <c r="AF566" s="44"/>
      <c r="AG566" s="44"/>
      <c r="AH566" s="44"/>
      <c r="AI566" s="44"/>
      <c r="AJ566" s="44"/>
      <c r="AK566" s="44"/>
      <c r="AL566" s="44"/>
      <c r="AM566" s="44"/>
      <c r="AN566" s="44"/>
      <c r="AO566" s="44"/>
      <c r="AP566" s="44"/>
    </row>
    <row r="567" spans="1:44" x14ac:dyDescent="0.25">
      <c r="A567" s="206" t="s">
        <v>161</v>
      </c>
      <c r="B567" s="149"/>
      <c r="C567" s="204">
        <v>0</v>
      </c>
      <c r="D567" s="180">
        <v>1.46</v>
      </c>
      <c r="E567" s="206" t="s">
        <v>0</v>
      </c>
      <c r="F567" s="223">
        <f>ROUND(D567*$C567,0)</f>
        <v>0</v>
      </c>
      <c r="G567" s="180">
        <v>1.5</v>
      </c>
      <c r="H567" s="206" t="s">
        <v>0</v>
      </c>
      <c r="I567" s="223">
        <f>ROUND(G567*$C567,0)</f>
        <v>0</v>
      </c>
      <c r="J567" s="223"/>
      <c r="K567" s="180">
        <v>1.46</v>
      </c>
      <c r="L567" s="206" t="s">
        <v>0</v>
      </c>
      <c r="M567" s="223">
        <v>0</v>
      </c>
      <c r="N567" s="223"/>
      <c r="O567" s="180" t="s">
        <v>0</v>
      </c>
      <c r="P567" s="206" t="s">
        <v>0</v>
      </c>
      <c r="Q567" s="223">
        <v>0</v>
      </c>
      <c r="R567" s="223"/>
      <c r="S567" s="180" t="s">
        <v>0</v>
      </c>
      <c r="T567" s="206" t="s">
        <v>0</v>
      </c>
      <c r="U567" s="223">
        <v>0</v>
      </c>
      <c r="V567" s="44"/>
      <c r="W567" s="91"/>
      <c r="X567" s="91"/>
      <c r="Y567" s="91"/>
      <c r="Z567" s="44"/>
      <c r="AA567" s="44"/>
      <c r="AB567" s="44"/>
      <c r="AC567" s="44"/>
      <c r="AD567" s="44"/>
      <c r="AE567" s="44"/>
      <c r="AF567" s="44"/>
      <c r="AG567" s="44"/>
      <c r="AH567" s="44"/>
      <c r="AI567" s="44"/>
      <c r="AJ567" s="44"/>
      <c r="AK567" s="44"/>
      <c r="AL567" s="44"/>
      <c r="AM567" s="44"/>
      <c r="AN567" s="44"/>
      <c r="AO567" s="44"/>
      <c r="AP567" s="44"/>
    </row>
    <row r="568" spans="1:44" x14ac:dyDescent="0.25">
      <c r="A568" s="134" t="s">
        <v>162</v>
      </c>
      <c r="B568" s="149"/>
      <c r="C568" s="204"/>
      <c r="D568" s="180"/>
      <c r="E568" s="206"/>
      <c r="F568" s="223"/>
      <c r="G568" s="180"/>
      <c r="H568" s="206"/>
      <c r="I568" s="223"/>
      <c r="J568" s="223"/>
      <c r="K568" s="180"/>
      <c r="L568" s="206"/>
      <c r="M568" s="223"/>
      <c r="N568" s="223"/>
      <c r="O568" s="180"/>
      <c r="P568" s="206"/>
      <c r="Q568" s="223"/>
      <c r="R568" s="223"/>
      <c r="S568" s="180"/>
      <c r="T568" s="206"/>
      <c r="U568" s="223"/>
      <c r="V568" s="44"/>
      <c r="W568" s="91"/>
      <c r="X568" s="91"/>
      <c r="Y568" s="91"/>
      <c r="Z568" s="44"/>
      <c r="AA568" s="44"/>
      <c r="AB568" s="44"/>
      <c r="AC568" s="44"/>
      <c r="AD568" s="44"/>
      <c r="AE568" s="44"/>
      <c r="AF568" s="44"/>
      <c r="AG568" s="44"/>
      <c r="AH568" s="44"/>
      <c r="AI568" s="44"/>
      <c r="AJ568" s="44"/>
      <c r="AK568" s="44"/>
      <c r="AL568" s="44"/>
      <c r="AM568" s="44"/>
      <c r="AN568" s="44"/>
      <c r="AO568" s="44"/>
      <c r="AP568" s="44"/>
    </row>
    <row r="569" spans="1:44" x14ac:dyDescent="0.25">
      <c r="A569" s="134" t="s">
        <v>163</v>
      </c>
      <c r="B569" s="149"/>
      <c r="C569" s="204">
        <v>0</v>
      </c>
      <c r="D569" s="180">
        <v>5.47</v>
      </c>
      <c r="E569" s="206"/>
      <c r="F569" s="223">
        <f>ROUND(D569*$C569,0)</f>
        <v>0</v>
      </c>
      <c r="G569" s="180">
        <v>5.6</v>
      </c>
      <c r="H569" s="206"/>
      <c r="I569" s="223">
        <f>ROUND(G569*$C569,0)</f>
        <v>0</v>
      </c>
      <c r="J569" s="223"/>
      <c r="K569" s="180" t="e">
        <v>#REF!</v>
      </c>
      <c r="L569" s="206"/>
      <c r="M569" s="223" t="e">
        <v>#REF!</v>
      </c>
      <c r="N569" s="223"/>
      <c r="O569" s="180">
        <v>0</v>
      </c>
      <c r="P569" s="206"/>
      <c r="Q569" s="223">
        <v>0</v>
      </c>
      <c r="R569" s="223"/>
      <c r="S569" s="180">
        <v>0</v>
      </c>
      <c r="T569" s="206"/>
      <c r="U569" s="223">
        <v>0</v>
      </c>
      <c r="V569" s="44"/>
      <c r="W569" s="91"/>
      <c r="X569" s="91"/>
      <c r="Y569" s="91"/>
      <c r="Z569" s="44"/>
      <c r="AA569" s="44"/>
      <c r="AB569" s="44"/>
      <c r="AC569" s="44"/>
      <c r="AD569" s="44"/>
      <c r="AE569" s="44"/>
      <c r="AF569" s="44"/>
      <c r="AG569" s="44"/>
      <c r="AH569" s="44"/>
      <c r="AI569" s="44"/>
      <c r="AJ569" s="44"/>
      <c r="AK569" s="44"/>
      <c r="AL569" s="44"/>
      <c r="AM569" s="44"/>
      <c r="AN569" s="44"/>
      <c r="AO569" s="44"/>
      <c r="AP569" s="44"/>
    </row>
    <row r="570" spans="1:44" x14ac:dyDescent="0.25">
      <c r="A570" s="206" t="s">
        <v>164</v>
      </c>
      <c r="B570" s="149"/>
      <c r="C570" s="204"/>
      <c r="D570" s="253"/>
      <c r="E570" s="223"/>
      <c r="F570" s="223"/>
      <c r="G570" s="253"/>
      <c r="H570" s="223"/>
      <c r="I570" s="223"/>
      <c r="J570" s="223"/>
      <c r="K570" s="253"/>
      <c r="L570" s="223"/>
      <c r="M570" s="223"/>
      <c r="N570" s="223"/>
      <c r="O570" s="253"/>
      <c r="P570" s="223"/>
      <c r="Q570" s="223"/>
      <c r="R570" s="223"/>
      <c r="S570" s="253"/>
      <c r="T570" s="223"/>
      <c r="U570" s="223"/>
      <c r="V570" s="44"/>
      <c r="W570" s="91"/>
      <c r="X570" s="91"/>
      <c r="Y570" s="91"/>
      <c r="Z570" s="44"/>
      <c r="AA570" s="44"/>
      <c r="AB570" s="44"/>
      <c r="AC570" s="44"/>
      <c r="AD570" s="44"/>
      <c r="AE570" s="44"/>
      <c r="AF570" s="44"/>
      <c r="AG570" s="44"/>
      <c r="AH570" s="44"/>
      <c r="AI570" s="44"/>
      <c r="AJ570" s="44"/>
      <c r="AK570" s="44"/>
      <c r="AL570" s="44"/>
      <c r="AM570" s="44"/>
      <c r="AN570" s="44"/>
      <c r="AO570" s="44"/>
      <c r="AP570" s="44"/>
    </row>
    <row r="571" spans="1:44" x14ac:dyDescent="0.25">
      <c r="A571" s="206" t="s">
        <v>165</v>
      </c>
      <c r="B571" s="149"/>
      <c r="C571" s="204">
        <v>0</v>
      </c>
      <c r="D571" s="224">
        <v>5.7730000000000006</v>
      </c>
      <c r="E571" s="223" t="s">
        <v>89</v>
      </c>
      <c r="F571" s="223">
        <f>ROUND($C571*D571/100,0)</f>
        <v>0</v>
      </c>
      <c r="G571" s="224">
        <v>5.9119999999999999</v>
      </c>
      <c r="H571" s="223" t="s">
        <v>89</v>
      </c>
      <c r="I571" s="223">
        <f>ROUND($C571*G571/100,0)</f>
        <v>0</v>
      </c>
      <c r="J571" s="223"/>
      <c r="K571" s="224" t="s">
        <v>0</v>
      </c>
      <c r="L571" s="223" t="s">
        <v>89</v>
      </c>
      <c r="M571" s="223">
        <v>0</v>
      </c>
      <c r="N571" s="223"/>
      <c r="O571" s="224" t="e">
        <v>#REF!</v>
      </c>
      <c r="P571" s="223" t="s">
        <v>89</v>
      </c>
      <c r="Q571" s="223" t="e">
        <v>#REF!</v>
      </c>
      <c r="R571" s="223"/>
      <c r="S571" s="224" t="e">
        <v>#REF!</v>
      </c>
      <c r="T571" s="223" t="s">
        <v>89</v>
      </c>
      <c r="U571" s="223" t="e">
        <v>#REF!</v>
      </c>
      <c r="V571" s="44"/>
      <c r="W571" s="91"/>
      <c r="X571" s="91"/>
      <c r="Y571" s="91"/>
      <c r="Z571" s="44"/>
      <c r="AA571" s="44"/>
      <c r="AB571" s="44"/>
      <c r="AC571" s="44"/>
      <c r="AD571" s="44"/>
      <c r="AE571" s="44"/>
      <c r="AF571" s="44"/>
      <c r="AG571" s="44"/>
      <c r="AH571" s="44"/>
      <c r="AI571" s="44"/>
      <c r="AJ571" s="44"/>
      <c r="AK571" s="44"/>
      <c r="AL571" s="44"/>
      <c r="AM571" s="44"/>
      <c r="AN571" s="44"/>
      <c r="AO571" s="44"/>
      <c r="AP571" s="44"/>
    </row>
    <row r="572" spans="1:44" x14ac:dyDescent="0.25">
      <c r="A572" s="206" t="s">
        <v>132</v>
      </c>
      <c r="B572" s="149"/>
      <c r="C572" s="204">
        <v>0</v>
      </c>
      <c r="D572" s="224">
        <v>5.2879999999999994</v>
      </c>
      <c r="E572" s="223" t="s">
        <v>89</v>
      </c>
      <c r="F572" s="223">
        <f>ROUND($C572*D572/100,0)</f>
        <v>0</v>
      </c>
      <c r="G572" s="224">
        <v>5.41</v>
      </c>
      <c r="H572" s="223" t="s">
        <v>89</v>
      </c>
      <c r="I572" s="223">
        <f>ROUND($C572*G572/100,0)</f>
        <v>0</v>
      </c>
      <c r="J572" s="223"/>
      <c r="K572" s="224" t="s">
        <v>0</v>
      </c>
      <c r="L572" s="223" t="s">
        <v>89</v>
      </c>
      <c r="M572" s="223">
        <v>0</v>
      </c>
      <c r="N572" s="223"/>
      <c r="O572" s="224" t="e">
        <v>#REF!</v>
      </c>
      <c r="P572" s="223" t="s">
        <v>89</v>
      </c>
      <c r="Q572" s="223" t="e">
        <v>#REF!</v>
      </c>
      <c r="R572" s="223"/>
      <c r="S572" s="224" t="e">
        <v>#REF!</v>
      </c>
      <c r="T572" s="223" t="s">
        <v>89</v>
      </c>
      <c r="U572" s="223" t="e">
        <v>#REF!</v>
      </c>
      <c r="V572" s="44"/>
      <c r="W572" s="91"/>
      <c r="X572" s="91"/>
      <c r="Y572" s="91"/>
      <c r="Z572" s="44"/>
      <c r="AA572" s="44"/>
      <c r="AB572" s="44"/>
      <c r="AC572" s="44"/>
      <c r="AD572" s="44"/>
      <c r="AE572" s="44"/>
      <c r="AF572" s="44"/>
      <c r="AG572" s="44"/>
      <c r="AH572" s="44"/>
      <c r="AI572" s="44"/>
      <c r="AJ572" s="44"/>
      <c r="AK572" s="44"/>
      <c r="AL572" s="44"/>
      <c r="AM572" s="44"/>
      <c r="AN572" s="44"/>
      <c r="AO572" s="44"/>
      <c r="AP572" s="44"/>
    </row>
    <row r="573" spans="1:44" x14ac:dyDescent="0.25">
      <c r="A573" s="206" t="s">
        <v>133</v>
      </c>
      <c r="B573" s="149"/>
      <c r="C573" s="204">
        <v>0</v>
      </c>
      <c r="D573" s="254">
        <v>57</v>
      </c>
      <c r="E573" s="223" t="s">
        <v>89</v>
      </c>
      <c r="F573" s="223">
        <f>ROUND(D573*$C573/100,0)</f>
        <v>0</v>
      </c>
      <c r="G573" s="254">
        <v>58</v>
      </c>
      <c r="H573" s="223" t="s">
        <v>89</v>
      </c>
      <c r="I573" s="223">
        <f>ROUND(G573*$C573,0)</f>
        <v>0</v>
      </c>
      <c r="J573" s="223"/>
      <c r="K573" s="254" t="s">
        <v>0</v>
      </c>
      <c r="L573" s="223" t="s">
        <v>89</v>
      </c>
      <c r="M573" s="223">
        <v>0</v>
      </c>
      <c r="N573" s="223"/>
      <c r="O573" s="254" t="e">
        <v>#DIV/0!</v>
      </c>
      <c r="P573" s="223" t="s">
        <v>89</v>
      </c>
      <c r="Q573" s="223" t="e">
        <v>#DIV/0!</v>
      </c>
      <c r="R573" s="223"/>
      <c r="S573" s="254" t="e">
        <v>#DIV/0!</v>
      </c>
      <c r="T573" s="223" t="s">
        <v>89</v>
      </c>
      <c r="U573" s="223" t="e">
        <v>#DIV/0!</v>
      </c>
      <c r="V573" s="44"/>
      <c r="W573" s="91"/>
      <c r="X573" s="91"/>
      <c r="Y573" s="91"/>
      <c r="Z573" s="44"/>
      <c r="AA573" s="44"/>
      <c r="AB573" s="44"/>
      <c r="AC573" s="44"/>
      <c r="AD573" s="44"/>
      <c r="AE573" s="44"/>
      <c r="AF573" s="44"/>
      <c r="AG573" s="44"/>
      <c r="AH573" s="44"/>
      <c r="AI573" s="44"/>
      <c r="AJ573" s="44"/>
      <c r="AK573" s="44"/>
      <c r="AL573" s="44"/>
      <c r="AM573" s="44"/>
      <c r="AN573" s="44"/>
      <c r="AO573" s="44"/>
      <c r="AP573" s="44"/>
    </row>
    <row r="574" spans="1:44" x14ac:dyDescent="0.25">
      <c r="A574" s="206" t="s">
        <v>166</v>
      </c>
      <c r="B574" s="149"/>
      <c r="C574" s="204">
        <v>0</v>
      </c>
      <c r="D574" s="255">
        <v>0.06</v>
      </c>
      <c r="E574" s="223" t="s">
        <v>89</v>
      </c>
      <c r="F574" s="223">
        <f>ROUND($C574*D574/100,0)</f>
        <v>0</v>
      </c>
      <c r="G574" s="225">
        <v>0.06</v>
      </c>
      <c r="H574" s="223" t="s">
        <v>89</v>
      </c>
      <c r="I574" s="223">
        <f>ROUND($C574*G574/100,0)</f>
        <v>0</v>
      </c>
      <c r="J574" s="223"/>
      <c r="K574" s="225" t="s">
        <v>0</v>
      </c>
      <c r="L574" s="223" t="s">
        <v>89</v>
      </c>
      <c r="M574" s="223">
        <v>0</v>
      </c>
      <c r="N574" s="223"/>
      <c r="O574" s="225" t="e">
        <v>#DIV/0!</v>
      </c>
      <c r="P574" s="223" t="s">
        <v>89</v>
      </c>
      <c r="Q574" s="223" t="e">
        <v>#DIV/0!</v>
      </c>
      <c r="R574" s="223"/>
      <c r="S574" s="225" t="e">
        <v>#DIV/0!</v>
      </c>
      <c r="T574" s="223" t="s">
        <v>89</v>
      </c>
      <c r="U574" s="223" t="e">
        <v>#DIV/0!</v>
      </c>
      <c r="V574" s="44"/>
      <c r="W574" s="91"/>
      <c r="X574" s="91"/>
      <c r="Y574" s="91"/>
      <c r="Z574" s="44"/>
      <c r="AA574" s="44"/>
      <c r="AB574" s="44"/>
      <c r="AC574" s="44"/>
      <c r="AD574" s="44"/>
      <c r="AE574" s="44"/>
      <c r="AF574" s="44"/>
      <c r="AG574" s="44"/>
      <c r="AH574" s="44"/>
      <c r="AI574" s="44"/>
      <c r="AJ574" s="44"/>
      <c r="AK574" s="44"/>
      <c r="AL574" s="44"/>
      <c r="AM574" s="44"/>
      <c r="AN574" s="44"/>
      <c r="AO574" s="44"/>
      <c r="AP574" s="44"/>
    </row>
    <row r="575" spans="1:44" s="120" customFormat="1" hidden="1" x14ac:dyDescent="0.25">
      <c r="A575" s="119" t="s">
        <v>167</v>
      </c>
      <c r="C575" s="121">
        <f>C571+C572</f>
        <v>0</v>
      </c>
      <c r="D575" s="128">
        <v>0</v>
      </c>
      <c r="E575" s="122"/>
      <c r="F575" s="123"/>
      <c r="G575" s="224">
        <v>0</v>
      </c>
      <c r="H575" s="256" t="s">
        <v>89</v>
      </c>
      <c r="I575" s="256">
        <f t="shared" ref="I575:I576" si="123">ROUND($C575*G575/100,0)</f>
        <v>0</v>
      </c>
      <c r="J575" s="256"/>
      <c r="K575" s="224" t="s">
        <v>0</v>
      </c>
      <c r="L575" s="256" t="s">
        <v>89</v>
      </c>
      <c r="M575" s="223">
        <v>0</v>
      </c>
      <c r="N575" s="256"/>
      <c r="O575" s="224" t="s">
        <v>0</v>
      </c>
      <c r="P575" s="256" t="s">
        <v>89</v>
      </c>
      <c r="Q575" s="223">
        <v>0</v>
      </c>
      <c r="R575" s="256"/>
      <c r="S575" s="224">
        <v>0</v>
      </c>
      <c r="T575" s="256" t="s">
        <v>89</v>
      </c>
      <c r="U575" s="223">
        <v>0</v>
      </c>
      <c r="W575" s="112"/>
      <c r="Z575" s="127"/>
      <c r="AA575" s="127"/>
      <c r="AF575" s="122"/>
      <c r="AG575" s="122"/>
      <c r="AH575" s="122"/>
      <c r="AI575" s="122"/>
      <c r="AJ575" s="122"/>
      <c r="AK575" s="122"/>
      <c r="AL575" s="122"/>
      <c r="AM575" s="122"/>
      <c r="AN575" s="122"/>
      <c r="AO575" s="122"/>
      <c r="AP575" s="122"/>
      <c r="AR575" s="126"/>
    </row>
    <row r="576" spans="1:44" s="120" customFormat="1" hidden="1" x14ac:dyDescent="0.25">
      <c r="A576" s="119" t="s">
        <v>168</v>
      </c>
      <c r="C576" s="121">
        <f>C572+C573</f>
        <v>0</v>
      </c>
      <c r="D576" s="128">
        <v>0</v>
      </c>
      <c r="E576" s="122"/>
      <c r="F576" s="123"/>
      <c r="G576" s="224">
        <v>0</v>
      </c>
      <c r="H576" s="122"/>
      <c r="I576" s="256">
        <f t="shared" si="123"/>
        <v>0</v>
      </c>
      <c r="J576" s="256"/>
      <c r="K576" s="224" t="s">
        <v>0</v>
      </c>
      <c r="L576" s="122"/>
      <c r="M576" s="223">
        <v>0</v>
      </c>
      <c r="N576" s="256"/>
      <c r="O576" s="224" t="s">
        <v>0</v>
      </c>
      <c r="P576" s="122"/>
      <c r="Q576" s="223">
        <v>0</v>
      </c>
      <c r="R576" s="256"/>
      <c r="S576" s="224">
        <v>0</v>
      </c>
      <c r="T576" s="122"/>
      <c r="U576" s="223">
        <v>0</v>
      </c>
      <c r="W576" s="112"/>
      <c r="Z576" s="127"/>
      <c r="AA576" s="127"/>
      <c r="AF576" s="122"/>
      <c r="AG576" s="122"/>
      <c r="AH576" s="122"/>
      <c r="AI576" s="122"/>
      <c r="AJ576" s="122"/>
      <c r="AK576" s="122"/>
      <c r="AL576" s="122"/>
      <c r="AM576" s="122"/>
      <c r="AN576" s="122"/>
      <c r="AO576" s="122"/>
      <c r="AP576" s="122"/>
      <c r="AR576" s="126"/>
    </row>
    <row r="577" spans="1:42" x14ac:dyDescent="0.25">
      <c r="A577" s="257" t="s">
        <v>140</v>
      </c>
      <c r="B577" s="149" t="s">
        <v>0</v>
      </c>
      <c r="C577" s="204"/>
      <c r="D577" s="220">
        <v>-0.01</v>
      </c>
      <c r="E577" s="258"/>
      <c r="F577" s="258"/>
      <c r="G577" s="220">
        <v>-0.01</v>
      </c>
      <c r="H577" s="258"/>
      <c r="I577" s="111"/>
      <c r="J577" s="111"/>
      <c r="K577" s="220">
        <v>-0.01</v>
      </c>
      <c r="L577" s="258"/>
      <c r="M577" s="111"/>
      <c r="N577" s="111"/>
      <c r="O577" s="220">
        <v>-0.01</v>
      </c>
      <c r="P577" s="258"/>
      <c r="Q577" s="111"/>
      <c r="R577" s="111"/>
      <c r="S577" s="220">
        <v>-0.01</v>
      </c>
      <c r="T577" s="258"/>
      <c r="U577" s="111"/>
      <c r="V577" s="44"/>
      <c r="W577" s="91"/>
      <c r="X577" s="91"/>
      <c r="Y577" s="91"/>
      <c r="Z577" s="44"/>
      <c r="AA577" s="44"/>
      <c r="AB577" s="44"/>
      <c r="AC577" s="44"/>
      <c r="AD577" s="44"/>
      <c r="AE577" s="44"/>
      <c r="AF577" s="44"/>
      <c r="AG577" s="44"/>
      <c r="AH577" s="44"/>
      <c r="AI577" s="44"/>
      <c r="AJ577" s="44"/>
      <c r="AK577" s="44"/>
      <c r="AL577" s="44"/>
      <c r="AM577" s="44"/>
      <c r="AN577" s="44"/>
      <c r="AO577" s="44"/>
      <c r="AP577" s="44"/>
    </row>
    <row r="578" spans="1:42" x14ac:dyDescent="0.25">
      <c r="A578" s="206" t="s">
        <v>159</v>
      </c>
      <c r="B578" s="149"/>
      <c r="C578" s="204">
        <v>0</v>
      </c>
      <c r="D578" s="180">
        <v>264</v>
      </c>
      <c r="E578" s="206"/>
      <c r="F578" s="223">
        <f t="shared" ref="F578:F583" si="124">ROUND(D578*$C578*$D$577,0)</f>
        <v>0</v>
      </c>
      <c r="G578" s="180">
        <f>G562</f>
        <v>268</v>
      </c>
      <c r="H578" s="206"/>
      <c r="I578" s="223">
        <f t="shared" ref="I578:I583" si="125">ROUND(G578*$C578*$G$577,0)</f>
        <v>0</v>
      </c>
      <c r="J578" s="223"/>
      <c r="K578" s="180">
        <f>K562</f>
        <v>264</v>
      </c>
      <c r="L578" s="206"/>
      <c r="M578" s="223" t="e">
        <v>#REF!</v>
      </c>
      <c r="N578" s="223"/>
      <c r="O578" s="180" t="str">
        <f>O562</f>
        <v xml:space="preserve"> </v>
      </c>
      <c r="P578" s="206"/>
      <c r="Q578" s="223" t="e">
        <v>#REF!</v>
      </c>
      <c r="R578" s="223"/>
      <c r="S578" s="180" t="str">
        <f>S562</f>
        <v xml:space="preserve"> </v>
      </c>
      <c r="T578" s="206"/>
      <c r="U578" s="223" t="e">
        <v>#REF!</v>
      </c>
      <c r="V578" s="44"/>
      <c r="W578" s="91"/>
      <c r="X578" s="91"/>
      <c r="Y578" s="91"/>
      <c r="Z578" s="44"/>
      <c r="AA578" s="44"/>
      <c r="AB578" s="44"/>
      <c r="AC578" s="44"/>
      <c r="AD578" s="44"/>
      <c r="AE578" s="44"/>
      <c r="AF578" s="44"/>
      <c r="AG578" s="44"/>
      <c r="AH578" s="44"/>
      <c r="AI578" s="44"/>
      <c r="AJ578" s="44"/>
      <c r="AK578" s="44"/>
      <c r="AL578" s="44"/>
      <c r="AM578" s="44"/>
      <c r="AN578" s="44"/>
      <c r="AO578" s="44"/>
      <c r="AP578" s="44"/>
    </row>
    <row r="579" spans="1:42" x14ac:dyDescent="0.25">
      <c r="A579" s="206" t="s">
        <v>160</v>
      </c>
      <c r="B579" s="149"/>
      <c r="C579" s="204">
        <v>0</v>
      </c>
      <c r="D579" s="180">
        <v>98</v>
      </c>
      <c r="E579" s="206"/>
      <c r="F579" s="223">
        <f t="shared" si="124"/>
        <v>0</v>
      </c>
      <c r="G579" s="180">
        <f>G563</f>
        <v>100</v>
      </c>
      <c r="H579" s="206"/>
      <c r="I579" s="223">
        <f t="shared" si="125"/>
        <v>0</v>
      </c>
      <c r="J579" s="223"/>
      <c r="K579" s="180">
        <f>K563</f>
        <v>98</v>
      </c>
      <c r="L579" s="206"/>
      <c r="M579" s="223" t="e">
        <v>#REF!</v>
      </c>
      <c r="N579" s="223"/>
      <c r="O579" s="180" t="str">
        <f>O563</f>
        <v xml:space="preserve"> </v>
      </c>
      <c r="P579" s="206"/>
      <c r="Q579" s="223" t="e">
        <v>#REF!</v>
      </c>
      <c r="R579" s="223"/>
      <c r="S579" s="180" t="str">
        <f>S563</f>
        <v xml:space="preserve"> </v>
      </c>
      <c r="T579" s="206"/>
      <c r="U579" s="223" t="e">
        <v>#REF!</v>
      </c>
      <c r="V579" s="44"/>
      <c r="W579" s="91"/>
      <c r="X579" s="91"/>
      <c r="Y579" s="91"/>
      <c r="Z579" s="44"/>
      <c r="AA579" s="44"/>
      <c r="AB579" s="44"/>
      <c r="AC579" s="44"/>
      <c r="AD579" s="44"/>
      <c r="AE579" s="44"/>
      <c r="AF579" s="44"/>
      <c r="AG579" s="44"/>
      <c r="AH579" s="44"/>
      <c r="AI579" s="44"/>
      <c r="AJ579" s="44"/>
      <c r="AK579" s="44"/>
      <c r="AL579" s="44"/>
      <c r="AM579" s="44"/>
      <c r="AN579" s="44"/>
      <c r="AO579" s="44"/>
      <c r="AP579" s="44"/>
    </row>
    <row r="580" spans="1:42" x14ac:dyDescent="0.25">
      <c r="A580" s="206" t="s">
        <v>161</v>
      </c>
      <c r="B580" s="149"/>
      <c r="C580" s="204">
        <v>0</v>
      </c>
      <c r="D580" s="180">
        <v>195</v>
      </c>
      <c r="E580" s="208"/>
      <c r="F580" s="223">
        <f t="shared" si="124"/>
        <v>0</v>
      </c>
      <c r="G580" s="180">
        <f>G564</f>
        <v>200</v>
      </c>
      <c r="H580" s="208"/>
      <c r="I580" s="223">
        <f t="shared" si="125"/>
        <v>0</v>
      </c>
      <c r="J580" s="223"/>
      <c r="K580" s="180">
        <f>K564</f>
        <v>195</v>
      </c>
      <c r="L580" s="208"/>
      <c r="M580" s="223" t="e">
        <v>#REF!</v>
      </c>
      <c r="N580" s="223"/>
      <c r="O580" s="180" t="str">
        <f>O564</f>
        <v xml:space="preserve"> </v>
      </c>
      <c r="P580" s="208"/>
      <c r="Q580" s="223" t="e">
        <v>#REF!</v>
      </c>
      <c r="R580" s="223"/>
      <c r="S580" s="180" t="str">
        <f>S564</f>
        <v xml:space="preserve"> </v>
      </c>
      <c r="T580" s="208"/>
      <c r="U580" s="223" t="e">
        <v>#REF!</v>
      </c>
      <c r="V580" s="44"/>
      <c r="W580" s="91"/>
      <c r="X580" s="91"/>
      <c r="Y580" s="91"/>
      <c r="Z580" s="44"/>
      <c r="AA580" s="44"/>
      <c r="AB580" s="44"/>
      <c r="AC580" s="44"/>
      <c r="AD580" s="44"/>
      <c r="AE580" s="44"/>
      <c r="AF580" s="44"/>
      <c r="AG580" s="44"/>
      <c r="AH580" s="44"/>
      <c r="AI580" s="44"/>
      <c r="AJ580" s="44"/>
      <c r="AK580" s="44"/>
      <c r="AL580" s="44"/>
      <c r="AM580" s="44"/>
      <c r="AN580" s="44"/>
      <c r="AO580" s="44"/>
      <c r="AP580" s="44"/>
    </row>
    <row r="581" spans="1:42" x14ac:dyDescent="0.25">
      <c r="A581" s="206" t="s">
        <v>160</v>
      </c>
      <c r="B581" s="149"/>
      <c r="C581" s="204">
        <v>0</v>
      </c>
      <c r="D581" s="180">
        <v>1.79</v>
      </c>
      <c r="E581" s="206" t="s">
        <v>0</v>
      </c>
      <c r="F581" s="223">
        <f t="shared" si="124"/>
        <v>0</v>
      </c>
      <c r="G581" s="180">
        <f>G566</f>
        <v>1.83</v>
      </c>
      <c r="H581" s="206" t="s">
        <v>0</v>
      </c>
      <c r="I581" s="223">
        <f t="shared" si="125"/>
        <v>0</v>
      </c>
      <c r="J581" s="223"/>
      <c r="K581" s="180">
        <f>K566</f>
        <v>1.79</v>
      </c>
      <c r="L581" s="206" t="s">
        <v>0</v>
      </c>
      <c r="M581" s="223" t="e">
        <v>#REF!</v>
      </c>
      <c r="N581" s="223"/>
      <c r="O581" s="180" t="str">
        <f>O566</f>
        <v xml:space="preserve"> </v>
      </c>
      <c r="P581" s="206" t="s">
        <v>0</v>
      </c>
      <c r="Q581" s="223" t="e">
        <v>#REF!</v>
      </c>
      <c r="R581" s="223"/>
      <c r="S581" s="180" t="str">
        <f>S566</f>
        <v xml:space="preserve"> </v>
      </c>
      <c r="T581" s="206" t="s">
        <v>0</v>
      </c>
      <c r="U581" s="223" t="e">
        <v>#REF!</v>
      </c>
      <c r="V581" s="44"/>
      <c r="W581" s="91"/>
      <c r="X581" s="91"/>
      <c r="Y581" s="91"/>
      <c r="Z581" s="44"/>
      <c r="AA581" s="44"/>
      <c r="AB581" s="44"/>
      <c r="AC581" s="44"/>
      <c r="AD581" s="44"/>
      <c r="AE581" s="44"/>
      <c r="AF581" s="44"/>
      <c r="AG581" s="44"/>
      <c r="AH581" s="44"/>
      <c r="AI581" s="44"/>
      <c r="AJ581" s="44"/>
      <c r="AK581" s="44"/>
      <c r="AL581" s="44"/>
      <c r="AM581" s="44"/>
      <c r="AN581" s="44"/>
      <c r="AO581" s="44"/>
      <c r="AP581" s="44"/>
    </row>
    <row r="582" spans="1:42" x14ac:dyDescent="0.25">
      <c r="A582" s="206" t="s">
        <v>161</v>
      </c>
      <c r="B582" s="149"/>
      <c r="C582" s="204">
        <v>0</v>
      </c>
      <c r="D582" s="180">
        <v>1.46</v>
      </c>
      <c r="E582" s="206" t="s">
        <v>0</v>
      </c>
      <c r="F582" s="223">
        <f t="shared" si="124"/>
        <v>0</v>
      </c>
      <c r="G582" s="180">
        <f>G567</f>
        <v>1.5</v>
      </c>
      <c r="H582" s="206" t="s">
        <v>0</v>
      </c>
      <c r="I582" s="223">
        <f t="shared" si="125"/>
        <v>0</v>
      </c>
      <c r="J582" s="223"/>
      <c r="K582" s="180">
        <f>K567</f>
        <v>1.46</v>
      </c>
      <c r="L582" s="206" t="s">
        <v>0</v>
      </c>
      <c r="M582" s="223" t="e">
        <v>#REF!</v>
      </c>
      <c r="N582" s="223"/>
      <c r="O582" s="180" t="str">
        <f>O567</f>
        <v xml:space="preserve"> </v>
      </c>
      <c r="P582" s="206" t="s">
        <v>0</v>
      </c>
      <c r="Q582" s="223" t="e">
        <v>#REF!</v>
      </c>
      <c r="R582" s="223"/>
      <c r="S582" s="180" t="str">
        <f>S567</f>
        <v xml:space="preserve"> </v>
      </c>
      <c r="T582" s="206" t="s">
        <v>0</v>
      </c>
      <c r="U582" s="223" t="e">
        <v>#REF!</v>
      </c>
      <c r="V582" s="44"/>
      <c r="W582" s="91"/>
      <c r="X582" s="91"/>
      <c r="Y582" s="91"/>
      <c r="Z582" s="44"/>
      <c r="AA582" s="44"/>
      <c r="AB582" s="44"/>
      <c r="AC582" s="44"/>
      <c r="AD582" s="44"/>
      <c r="AE582" s="44"/>
      <c r="AF582" s="44"/>
      <c r="AG582" s="44"/>
      <c r="AH582" s="44"/>
      <c r="AI582" s="44"/>
      <c r="AJ582" s="44"/>
      <c r="AK582" s="44"/>
      <c r="AL582" s="44"/>
      <c r="AM582" s="44"/>
      <c r="AN582" s="44"/>
      <c r="AO582" s="44"/>
      <c r="AP582" s="44"/>
    </row>
    <row r="583" spans="1:42" x14ac:dyDescent="0.25">
      <c r="A583" s="134" t="s">
        <v>163</v>
      </c>
      <c r="B583" s="149"/>
      <c r="C583" s="204">
        <v>0</v>
      </c>
      <c r="D583" s="180">
        <v>5.47</v>
      </c>
      <c r="E583" s="206"/>
      <c r="F583" s="223">
        <f t="shared" si="124"/>
        <v>0</v>
      </c>
      <c r="G583" s="180">
        <f>G569</f>
        <v>5.6</v>
      </c>
      <c r="H583" s="206"/>
      <c r="I583" s="223">
        <f t="shared" si="125"/>
        <v>0</v>
      </c>
      <c r="J583" s="223"/>
      <c r="K583" s="180" t="e">
        <f>K569</f>
        <v>#REF!</v>
      </c>
      <c r="L583" s="206"/>
      <c r="M583" s="223" t="e">
        <v>#REF!</v>
      </c>
      <c r="N583" s="223"/>
      <c r="O583" s="180">
        <f>O569</f>
        <v>0</v>
      </c>
      <c r="P583" s="206"/>
      <c r="Q583" s="223" t="e">
        <v>#REF!</v>
      </c>
      <c r="R583" s="223"/>
      <c r="S583" s="180">
        <f>S569</f>
        <v>0</v>
      </c>
      <c r="T583" s="206"/>
      <c r="U583" s="223" t="e">
        <v>#REF!</v>
      </c>
      <c r="V583" s="44"/>
      <c r="W583" s="91"/>
      <c r="X583" s="91"/>
      <c r="Y583" s="91"/>
      <c r="Z583" s="44"/>
      <c r="AA583" s="44"/>
      <c r="AB583" s="44"/>
      <c r="AC583" s="44"/>
      <c r="AD583" s="44"/>
      <c r="AE583" s="44"/>
      <c r="AF583" s="44"/>
      <c r="AG583" s="44"/>
      <c r="AH583" s="44"/>
      <c r="AI583" s="44"/>
      <c r="AJ583" s="44"/>
      <c r="AK583" s="44"/>
      <c r="AL583" s="44"/>
      <c r="AM583" s="44"/>
      <c r="AN583" s="44"/>
      <c r="AO583" s="44"/>
      <c r="AP583" s="44"/>
    </row>
    <row r="584" spans="1:42" x14ac:dyDescent="0.25">
      <c r="A584" s="206" t="s">
        <v>165</v>
      </c>
      <c r="B584" s="149"/>
      <c r="C584" s="204">
        <v>0</v>
      </c>
      <c r="D584" s="222">
        <v>0</v>
      </c>
      <c r="E584" s="223" t="s">
        <v>89</v>
      </c>
      <c r="F584" s="223">
        <f>ROUND(D584/100*$C584*D577,0)</f>
        <v>0</v>
      </c>
      <c r="G584" s="180">
        <f>G570</f>
        <v>0</v>
      </c>
      <c r="H584" s="223" t="s">
        <v>89</v>
      </c>
      <c r="I584" s="223">
        <f>ROUND(G584/100*$C584*G577,0)</f>
        <v>0</v>
      </c>
      <c r="J584" s="223"/>
      <c r="K584" s="180">
        <f>K570</f>
        <v>0</v>
      </c>
      <c r="L584" s="223" t="s">
        <v>89</v>
      </c>
      <c r="M584" s="223">
        <v>0</v>
      </c>
      <c r="N584" s="223"/>
      <c r="O584" s="180">
        <f>O570</f>
        <v>0</v>
      </c>
      <c r="P584" s="223" t="s">
        <v>89</v>
      </c>
      <c r="Q584" s="223">
        <v>0</v>
      </c>
      <c r="R584" s="223"/>
      <c r="S584" s="180">
        <f>S570</f>
        <v>0</v>
      </c>
      <c r="T584" s="223" t="s">
        <v>89</v>
      </c>
      <c r="U584" s="223">
        <v>0</v>
      </c>
      <c r="V584" s="44"/>
      <c r="W584" s="91"/>
      <c r="X584" s="91"/>
      <c r="Y584" s="91"/>
      <c r="Z584" s="44"/>
      <c r="AA584" s="44"/>
      <c r="AB584" s="44"/>
      <c r="AC584" s="44"/>
      <c r="AD584" s="44"/>
      <c r="AE584" s="44"/>
      <c r="AF584" s="44"/>
      <c r="AG584" s="44"/>
      <c r="AH584" s="44"/>
      <c r="AI584" s="44"/>
      <c r="AJ584" s="44"/>
      <c r="AK584" s="44"/>
      <c r="AL584" s="44"/>
      <c r="AM584" s="44"/>
      <c r="AN584" s="44"/>
      <c r="AO584" s="44"/>
      <c r="AP584" s="44"/>
    </row>
    <row r="585" spans="1:42" x14ac:dyDescent="0.25">
      <c r="A585" s="206" t="s">
        <v>132</v>
      </c>
      <c r="B585" s="149"/>
      <c r="C585" s="204">
        <v>0</v>
      </c>
      <c r="D585" s="259">
        <v>5.2879999999999994</v>
      </c>
      <c r="E585" s="223" t="s">
        <v>89</v>
      </c>
      <c r="F585" s="223">
        <f>ROUND(D585/100*$C585*D577,0)</f>
        <v>0</v>
      </c>
      <c r="G585" s="260">
        <f>G572</f>
        <v>5.41</v>
      </c>
      <c r="H585" s="223" t="s">
        <v>89</v>
      </c>
      <c r="I585" s="223">
        <f>ROUND(G585/100*$C585*G577,0)</f>
        <v>0</v>
      </c>
      <c r="J585" s="223"/>
      <c r="K585" s="260" t="str">
        <f>K572</f>
        <v xml:space="preserve"> </v>
      </c>
      <c r="L585" s="223" t="s">
        <v>89</v>
      </c>
      <c r="M585" s="223">
        <v>0</v>
      </c>
      <c r="N585" s="223"/>
      <c r="O585" s="260" t="e">
        <f>O572</f>
        <v>#REF!</v>
      </c>
      <c r="P585" s="223" t="s">
        <v>89</v>
      </c>
      <c r="Q585" s="223" t="e">
        <v>#REF!</v>
      </c>
      <c r="R585" s="223"/>
      <c r="S585" s="260" t="e">
        <f>S572</f>
        <v>#REF!</v>
      </c>
      <c r="T585" s="223" t="s">
        <v>89</v>
      </c>
      <c r="U585" s="223" t="e">
        <v>#REF!</v>
      </c>
      <c r="V585" s="44"/>
      <c r="W585" s="91"/>
      <c r="X585" s="91"/>
      <c r="Y585" s="91"/>
      <c r="Z585" s="44"/>
      <c r="AA585" s="44"/>
      <c r="AB585" s="44"/>
      <c r="AC585" s="44"/>
      <c r="AD585" s="44"/>
      <c r="AE585" s="44"/>
      <c r="AF585" s="44"/>
      <c r="AG585" s="44"/>
      <c r="AH585" s="44"/>
      <c r="AI585" s="44"/>
      <c r="AJ585" s="44"/>
      <c r="AK585" s="44"/>
      <c r="AL585" s="44"/>
      <c r="AM585" s="44"/>
      <c r="AN585" s="44"/>
      <c r="AO585" s="44"/>
      <c r="AP585" s="44"/>
    </row>
    <row r="586" spans="1:42" x14ac:dyDescent="0.25">
      <c r="A586" s="134" t="s">
        <v>169</v>
      </c>
      <c r="B586" s="149"/>
      <c r="C586" s="204">
        <v>0</v>
      </c>
      <c r="D586" s="261">
        <v>57</v>
      </c>
      <c r="E586" s="223" t="s">
        <v>89</v>
      </c>
      <c r="F586" s="223">
        <f>ROUND(D586*$C586*$D$577,0)</f>
        <v>0</v>
      </c>
      <c r="G586" s="262">
        <f>G573</f>
        <v>58</v>
      </c>
      <c r="H586" s="223" t="s">
        <v>89</v>
      </c>
      <c r="I586" s="223">
        <f>ROUND(G586*$C586*$G$577,0)</f>
        <v>0</v>
      </c>
      <c r="J586" s="223"/>
      <c r="K586" s="262" t="str">
        <f>K573</f>
        <v xml:space="preserve"> </v>
      </c>
      <c r="L586" s="223" t="s">
        <v>89</v>
      </c>
      <c r="M586" s="223" t="e">
        <v>#REF!</v>
      </c>
      <c r="N586" s="223"/>
      <c r="O586" s="262" t="e">
        <f>O573</f>
        <v>#DIV/0!</v>
      </c>
      <c r="P586" s="223" t="s">
        <v>89</v>
      </c>
      <c r="Q586" s="223" t="e">
        <v>#DIV/0!</v>
      </c>
      <c r="R586" s="223"/>
      <c r="S586" s="262" t="e">
        <f>S573</f>
        <v>#DIV/0!</v>
      </c>
      <c r="T586" s="223" t="s">
        <v>89</v>
      </c>
      <c r="U586" s="223" t="e">
        <v>#DIV/0!</v>
      </c>
      <c r="V586" s="44"/>
      <c r="W586" s="91"/>
      <c r="X586" s="91"/>
      <c r="Y586" s="91"/>
      <c r="Z586" s="44"/>
      <c r="AA586" s="44"/>
      <c r="AB586" s="44"/>
      <c r="AC586" s="44"/>
      <c r="AD586" s="44"/>
      <c r="AE586" s="44"/>
      <c r="AF586" s="44"/>
      <c r="AG586" s="44"/>
      <c r="AH586" s="44"/>
      <c r="AI586" s="44"/>
      <c r="AJ586" s="44"/>
      <c r="AK586" s="44"/>
      <c r="AL586" s="44"/>
      <c r="AM586" s="44"/>
      <c r="AN586" s="44"/>
      <c r="AO586" s="44"/>
      <c r="AP586" s="44"/>
    </row>
    <row r="587" spans="1:42" x14ac:dyDescent="0.25">
      <c r="A587" s="134" t="s">
        <v>170</v>
      </c>
      <c r="B587" s="149"/>
      <c r="C587" s="204">
        <v>0</v>
      </c>
      <c r="D587" s="263">
        <v>0.06</v>
      </c>
      <c r="E587" s="223" t="s">
        <v>89</v>
      </c>
      <c r="F587" s="223">
        <f>ROUND(D587/100*$C587*D577,0)</f>
        <v>0</v>
      </c>
      <c r="G587" s="255">
        <f>G574</f>
        <v>0.06</v>
      </c>
      <c r="H587" s="223" t="s">
        <v>89</v>
      </c>
      <c r="I587" s="223">
        <f>ROUND(G587/100*$C587*G577,0)</f>
        <v>0</v>
      </c>
      <c r="J587" s="223"/>
      <c r="K587" s="255" t="str">
        <f>K574</f>
        <v xml:space="preserve"> </v>
      </c>
      <c r="L587" s="223" t="s">
        <v>89</v>
      </c>
      <c r="M587" s="223">
        <v>0</v>
      </c>
      <c r="N587" s="223"/>
      <c r="O587" s="255" t="e">
        <f>O574</f>
        <v>#DIV/0!</v>
      </c>
      <c r="P587" s="223" t="s">
        <v>89</v>
      </c>
      <c r="Q587" s="223" t="e">
        <v>#DIV/0!</v>
      </c>
      <c r="R587" s="223"/>
      <c r="S587" s="255" t="e">
        <f>S574</f>
        <v>#DIV/0!</v>
      </c>
      <c r="T587" s="223" t="s">
        <v>89</v>
      </c>
      <c r="U587" s="223" t="e">
        <v>#DIV/0!</v>
      </c>
      <c r="V587" s="44"/>
      <c r="W587" s="91"/>
      <c r="X587" s="91"/>
      <c r="Y587" s="91"/>
      <c r="Z587" s="44"/>
      <c r="AA587" s="44"/>
      <c r="AB587" s="44"/>
      <c r="AC587" s="44"/>
      <c r="AD587" s="44"/>
      <c r="AE587" s="44"/>
      <c r="AF587" s="44"/>
      <c r="AG587" s="44"/>
      <c r="AH587" s="44"/>
      <c r="AI587" s="44"/>
      <c r="AJ587" s="44"/>
      <c r="AK587" s="44"/>
      <c r="AL587" s="44"/>
      <c r="AM587" s="44"/>
      <c r="AN587" s="44"/>
      <c r="AO587" s="44"/>
      <c r="AP587" s="44"/>
    </row>
    <row r="588" spans="1:42" x14ac:dyDescent="0.25">
      <c r="A588" s="206" t="s">
        <v>171</v>
      </c>
      <c r="B588" s="149"/>
      <c r="C588" s="204">
        <v>0</v>
      </c>
      <c r="D588" s="250">
        <v>60</v>
      </c>
      <c r="E588" s="264" t="s">
        <v>0</v>
      </c>
      <c r="F588" s="223">
        <f>ROUND(D588*$C588,0)</f>
        <v>0</v>
      </c>
      <c r="G588" s="250">
        <v>60</v>
      </c>
      <c r="H588" s="264" t="s">
        <v>0</v>
      </c>
      <c r="I588" s="223">
        <f>ROUND(G588*$C588,0)</f>
        <v>0</v>
      </c>
      <c r="J588" s="223"/>
      <c r="K588" s="250">
        <v>60</v>
      </c>
      <c r="L588" s="264" t="s">
        <v>0</v>
      </c>
      <c r="M588" s="223">
        <v>0</v>
      </c>
      <c r="N588" s="223"/>
      <c r="O588" s="250">
        <v>60</v>
      </c>
      <c r="P588" s="264" t="s">
        <v>0</v>
      </c>
      <c r="Q588" s="223">
        <v>0</v>
      </c>
      <c r="R588" s="223"/>
      <c r="S588" s="250">
        <v>60</v>
      </c>
      <c r="T588" s="264" t="s">
        <v>0</v>
      </c>
      <c r="U588" s="223">
        <v>0</v>
      </c>
      <c r="V588" s="44"/>
      <c r="W588" s="91"/>
      <c r="X588" s="91"/>
      <c r="Y588" s="91"/>
      <c r="Z588" s="44"/>
      <c r="AA588" s="44"/>
      <c r="AB588" s="44"/>
      <c r="AC588" s="44"/>
      <c r="AD588" s="44"/>
      <c r="AE588" s="44"/>
      <c r="AF588" s="44"/>
      <c r="AG588" s="44"/>
      <c r="AH588" s="44"/>
      <c r="AI588" s="44"/>
      <c r="AJ588" s="44"/>
      <c r="AK588" s="44"/>
      <c r="AL588" s="44"/>
      <c r="AM588" s="44"/>
      <c r="AN588" s="44"/>
      <c r="AO588" s="44"/>
      <c r="AP588" s="44"/>
    </row>
    <row r="589" spans="1:42" x14ac:dyDescent="0.25">
      <c r="A589" s="206" t="s">
        <v>172</v>
      </c>
      <c r="B589" s="149"/>
      <c r="C589" s="204">
        <v>0</v>
      </c>
      <c r="D589" s="225">
        <v>-30</v>
      </c>
      <c r="E589" s="223" t="s">
        <v>89</v>
      </c>
      <c r="F589" s="223">
        <f>ROUND(D589*$C589*$D$577,0)</f>
        <v>0</v>
      </c>
      <c r="G589" s="225">
        <v>-30</v>
      </c>
      <c r="H589" s="223" t="s">
        <v>89</v>
      </c>
      <c r="I589" s="223">
        <f>ROUND(G589*$C589*$G$577,0)</f>
        <v>0</v>
      </c>
      <c r="J589" s="223"/>
      <c r="K589" s="225">
        <v>-30</v>
      </c>
      <c r="L589" s="223" t="s">
        <v>89</v>
      </c>
      <c r="M589" s="223" t="e">
        <v>#REF!</v>
      </c>
      <c r="N589" s="223"/>
      <c r="O589" s="225">
        <v>-30</v>
      </c>
      <c r="P589" s="223" t="s">
        <v>89</v>
      </c>
      <c r="Q589" s="223" t="e">
        <v>#REF!</v>
      </c>
      <c r="R589" s="223"/>
      <c r="S589" s="225">
        <v>-30</v>
      </c>
      <c r="T589" s="223" t="s">
        <v>89</v>
      </c>
      <c r="U589" s="223" t="e">
        <v>#REF!</v>
      </c>
      <c r="V589" s="44"/>
      <c r="W589" s="91"/>
      <c r="X589" s="91"/>
      <c r="Y589" s="243" t="s">
        <v>0</v>
      </c>
      <c r="Z589" s="44"/>
      <c r="AA589" s="44"/>
      <c r="AB589" s="44"/>
      <c r="AC589" s="44"/>
      <c r="AD589" s="44"/>
      <c r="AE589" s="44"/>
      <c r="AF589" s="44"/>
      <c r="AG589" s="44"/>
      <c r="AH589" s="44"/>
      <c r="AI589" s="44"/>
      <c r="AJ589" s="44"/>
      <c r="AK589" s="44"/>
      <c r="AL589" s="44"/>
      <c r="AM589" s="44"/>
      <c r="AN589" s="44"/>
      <c r="AO589" s="44"/>
      <c r="AP589" s="44"/>
    </row>
    <row r="590" spans="1:42" x14ac:dyDescent="0.25">
      <c r="A590" s="134" t="s">
        <v>173</v>
      </c>
      <c r="B590" s="149"/>
      <c r="C590" s="204">
        <v>0</v>
      </c>
      <c r="D590" s="222">
        <v>2.7349999999999999</v>
      </c>
      <c r="E590" s="223"/>
      <c r="F590" s="223">
        <f>ROUND(D590*$C590*$D$577,0)</f>
        <v>0</v>
      </c>
      <c r="G590" s="180">
        <f>G583/2</f>
        <v>2.8</v>
      </c>
      <c r="H590" s="223"/>
      <c r="I590" s="223">
        <f>ROUND($C590*G590,0)</f>
        <v>0</v>
      </c>
      <c r="J590" s="223"/>
      <c r="K590" s="180" t="e">
        <f>K583/2</f>
        <v>#REF!</v>
      </c>
      <c r="L590" s="223"/>
      <c r="M590" s="223" t="e">
        <v>#REF!</v>
      </c>
      <c r="N590" s="223"/>
      <c r="O590" s="180">
        <f>O583/2</f>
        <v>0</v>
      </c>
      <c r="P590" s="223"/>
      <c r="Q590" s="223">
        <v>0</v>
      </c>
      <c r="R590" s="223"/>
      <c r="S590" s="180">
        <f>S583/2</f>
        <v>0</v>
      </c>
      <c r="T590" s="223"/>
      <c r="U590" s="223">
        <v>0</v>
      </c>
      <c r="V590" s="44"/>
      <c r="W590" s="91"/>
      <c r="X590" s="91"/>
      <c r="Y590" s="91"/>
      <c r="Z590" s="44"/>
      <c r="AA590" s="44"/>
      <c r="AB590" s="44"/>
      <c r="AC590" s="44"/>
      <c r="AD590" s="44"/>
      <c r="AE590" s="44"/>
      <c r="AF590" s="44"/>
      <c r="AG590" s="44"/>
      <c r="AH590" s="44"/>
      <c r="AI590" s="44"/>
      <c r="AJ590" s="44"/>
      <c r="AK590" s="44"/>
      <c r="AL590" s="44"/>
      <c r="AM590" s="44"/>
      <c r="AN590" s="44"/>
      <c r="AO590" s="44"/>
      <c r="AP590" s="44"/>
    </row>
    <row r="591" spans="1:42" x14ac:dyDescent="0.25">
      <c r="A591" s="134" t="s">
        <v>174</v>
      </c>
      <c r="B591" s="149"/>
      <c r="C591" s="204">
        <v>0</v>
      </c>
      <c r="D591" s="222">
        <v>21.88</v>
      </c>
      <c r="E591" s="223"/>
      <c r="F591" s="223">
        <f>ROUND($C591*D591/100,0)</f>
        <v>0</v>
      </c>
      <c r="G591" s="180">
        <f>G583*4</f>
        <v>22.4</v>
      </c>
      <c r="H591" s="223"/>
      <c r="I591" s="223">
        <f>ROUND($C591*G591,0)</f>
        <v>0</v>
      </c>
      <c r="J591" s="223"/>
      <c r="K591" s="180" t="e">
        <f>K583*4</f>
        <v>#REF!</v>
      </c>
      <c r="L591" s="223"/>
      <c r="M591" s="223" t="e">
        <v>#REF!</v>
      </c>
      <c r="N591" s="223"/>
      <c r="O591" s="180">
        <f>O583*4</f>
        <v>0</v>
      </c>
      <c r="P591" s="223"/>
      <c r="Q591" s="223">
        <v>0</v>
      </c>
      <c r="R591" s="223"/>
      <c r="S591" s="180">
        <f>S583*4</f>
        <v>0</v>
      </c>
      <c r="T591" s="223"/>
      <c r="U591" s="223">
        <v>0</v>
      </c>
      <c r="V591" s="44"/>
      <c r="W591" s="91"/>
      <c r="X591" s="91"/>
      <c r="Y591" s="91"/>
      <c r="Z591" s="44"/>
      <c r="AA591" s="44"/>
      <c r="AB591" s="44"/>
      <c r="AC591" s="44"/>
      <c r="AD591" s="44"/>
      <c r="AE591" s="44"/>
      <c r="AF591" s="44"/>
      <c r="AG591" s="44"/>
      <c r="AH591" s="44"/>
      <c r="AI591" s="44"/>
      <c r="AJ591" s="44"/>
      <c r="AK591" s="44"/>
      <c r="AL591" s="44"/>
      <c r="AM591" s="44"/>
      <c r="AN591" s="44"/>
      <c r="AO591" s="44"/>
      <c r="AP591" s="44"/>
    </row>
    <row r="592" spans="1:42" x14ac:dyDescent="0.25">
      <c r="A592" s="92" t="s">
        <v>175</v>
      </c>
      <c r="B592" s="179"/>
      <c r="C592" s="204">
        <v>0</v>
      </c>
      <c r="D592" s="224">
        <v>21.151999999999997</v>
      </c>
      <c r="E592" s="223" t="s">
        <v>89</v>
      </c>
      <c r="F592" s="223">
        <f>ROUND($C592*D592/100,0)</f>
        <v>0</v>
      </c>
      <c r="G592" s="224">
        <f>(G572)*4</f>
        <v>21.64</v>
      </c>
      <c r="H592" s="223" t="s">
        <v>89</v>
      </c>
      <c r="I592" s="223">
        <f>ROUND($C592*G592/100,0)</f>
        <v>0</v>
      </c>
      <c r="J592" s="223"/>
      <c r="K592" s="224">
        <f>(K572)*4</f>
        <v>0</v>
      </c>
      <c r="L592" s="223" t="s">
        <v>89</v>
      </c>
      <c r="M592" s="223">
        <v>0</v>
      </c>
      <c r="N592" s="223"/>
      <c r="O592" s="224" t="e">
        <f>(O572)*4</f>
        <v>#REF!</v>
      </c>
      <c r="P592" s="223" t="s">
        <v>89</v>
      </c>
      <c r="Q592" s="223" t="e">
        <v>#REF!</v>
      </c>
      <c r="R592" s="223"/>
      <c r="S592" s="224" t="e">
        <f>(S572)*4</f>
        <v>#REF!</v>
      </c>
      <c r="T592" s="223" t="s">
        <v>89</v>
      </c>
      <c r="U592" s="223" t="e">
        <v>#REF!</v>
      </c>
      <c r="V592" s="199" t="s">
        <v>176</v>
      </c>
      <c r="W592" s="91"/>
      <c r="X592" s="91"/>
      <c r="Y592" s="91"/>
      <c r="Z592" s="44"/>
      <c r="AA592" s="44"/>
      <c r="AB592" s="44"/>
      <c r="AC592" s="44"/>
      <c r="AD592" s="44"/>
      <c r="AE592" s="44"/>
      <c r="AF592" s="44"/>
      <c r="AG592" s="44"/>
      <c r="AH592" s="44"/>
      <c r="AI592" s="44"/>
      <c r="AJ592" s="44"/>
      <c r="AK592" s="44"/>
      <c r="AL592" s="44"/>
      <c r="AM592" s="44"/>
      <c r="AN592" s="44"/>
      <c r="AO592" s="44"/>
      <c r="AP592" s="44"/>
    </row>
    <row r="593" spans="1:44" s="120" customFormat="1" hidden="1" x14ac:dyDescent="0.25">
      <c r="A593" s="119" t="s">
        <v>167</v>
      </c>
      <c r="C593" s="121">
        <f>C584+C585</f>
        <v>0</v>
      </c>
      <c r="D593" s="128">
        <v>0</v>
      </c>
      <c r="E593" s="122"/>
      <c r="F593" s="123"/>
      <c r="G593" s="124">
        <f>G616</f>
        <v>0</v>
      </c>
      <c r="H593" s="215" t="s">
        <v>89</v>
      </c>
      <c r="I593" s="256">
        <f t="shared" ref="I593:I594" si="126">ROUND($C593*G593/100,0)</f>
        <v>0</v>
      </c>
      <c r="J593" s="256"/>
      <c r="K593" s="124" t="str">
        <f>K616</f>
        <v xml:space="preserve"> </v>
      </c>
      <c r="L593" s="215" t="s">
        <v>89</v>
      </c>
      <c r="M593" s="223">
        <v>0</v>
      </c>
      <c r="N593" s="256"/>
      <c r="O593" s="124" t="str">
        <f>O616</f>
        <v xml:space="preserve"> </v>
      </c>
      <c r="P593" s="215" t="s">
        <v>89</v>
      </c>
      <c r="Q593" s="223">
        <v>0</v>
      </c>
      <c r="R593" s="256"/>
      <c r="S593" s="124">
        <f>S616</f>
        <v>0</v>
      </c>
      <c r="T593" s="215" t="s">
        <v>89</v>
      </c>
      <c r="U593" s="223">
        <v>0</v>
      </c>
      <c r="W593" s="112"/>
      <c r="Z593" s="127"/>
      <c r="AA593" s="127"/>
      <c r="AF593" s="122"/>
      <c r="AG593" s="122"/>
      <c r="AH593" s="122"/>
      <c r="AI593" s="122"/>
      <c r="AJ593" s="122"/>
      <c r="AK593" s="122"/>
      <c r="AL593" s="122"/>
      <c r="AM593" s="122"/>
      <c r="AN593" s="122"/>
      <c r="AO593" s="122"/>
      <c r="AP593" s="122"/>
      <c r="AR593" s="126"/>
    </row>
    <row r="594" spans="1:44" s="120" customFormat="1" hidden="1" x14ac:dyDescent="0.25">
      <c r="A594" s="119" t="s">
        <v>168</v>
      </c>
      <c r="C594" s="121">
        <f>C585+C586</f>
        <v>0</v>
      </c>
      <c r="D594" s="128">
        <v>0</v>
      </c>
      <c r="E594" s="122"/>
      <c r="F594" s="123"/>
      <c r="G594" s="124">
        <f>G617</f>
        <v>0</v>
      </c>
      <c r="H594" s="215" t="s">
        <v>89</v>
      </c>
      <c r="I594" s="256">
        <f t="shared" si="126"/>
        <v>0</v>
      </c>
      <c r="J594" s="256"/>
      <c r="K594" s="124" t="str">
        <f>K617</f>
        <v xml:space="preserve"> </v>
      </c>
      <c r="L594" s="215" t="s">
        <v>89</v>
      </c>
      <c r="M594" s="223">
        <v>0</v>
      </c>
      <c r="N594" s="256"/>
      <c r="O594" s="124" t="str">
        <f>O617</f>
        <v xml:space="preserve"> </v>
      </c>
      <c r="P594" s="215" t="s">
        <v>89</v>
      </c>
      <c r="Q594" s="223">
        <v>0</v>
      </c>
      <c r="R594" s="256"/>
      <c r="S594" s="124">
        <f>S617</f>
        <v>0</v>
      </c>
      <c r="T594" s="215" t="s">
        <v>89</v>
      </c>
      <c r="U594" s="223">
        <v>0</v>
      </c>
      <c r="W594" s="112"/>
      <c r="Z594" s="127"/>
      <c r="AA594" s="127"/>
      <c r="AF594" s="122"/>
      <c r="AG594" s="122"/>
      <c r="AH594" s="122"/>
      <c r="AI594" s="122"/>
      <c r="AJ594" s="122"/>
      <c r="AK594" s="122"/>
      <c r="AL594" s="122"/>
      <c r="AM594" s="122"/>
      <c r="AN594" s="122"/>
      <c r="AO594" s="122"/>
      <c r="AP594" s="122"/>
      <c r="AR594" s="126"/>
    </row>
    <row r="595" spans="1:44" x14ac:dyDescent="0.25">
      <c r="A595" s="149" t="s">
        <v>114</v>
      </c>
      <c r="B595" s="149"/>
      <c r="C595" s="204">
        <f>SUM(C571:C572)</f>
        <v>0</v>
      </c>
      <c r="D595" s="212"/>
      <c r="E595" s="206"/>
      <c r="F595" s="111">
        <f>SUM(F562:F592)</f>
        <v>0</v>
      </c>
      <c r="G595" s="212"/>
      <c r="H595" s="206"/>
      <c r="I595" s="111">
        <f>SUM(I562:I594)</f>
        <v>0</v>
      </c>
      <c r="J595" s="111"/>
      <c r="K595" s="212"/>
      <c r="L595" s="206"/>
      <c r="M595" s="111" t="e">
        <f>SUM(M562:M594)</f>
        <v>#REF!</v>
      </c>
      <c r="N595" s="111"/>
      <c r="O595" s="212"/>
      <c r="P595" s="206"/>
      <c r="Q595" s="111" t="e">
        <f>SUM(Q562:Q594)</f>
        <v>#REF!</v>
      </c>
      <c r="R595" s="111"/>
      <c r="S595" s="212"/>
      <c r="T595" s="206"/>
      <c r="U595" s="111" t="e">
        <f>SUM(U562:U594)</f>
        <v>#REF!</v>
      </c>
      <c r="V595" s="44"/>
      <c r="W595" s="91"/>
      <c r="X595" s="91"/>
      <c r="Y595" s="91"/>
      <c r="Z595" s="44"/>
      <c r="AA595" s="44"/>
      <c r="AB595" s="44"/>
      <c r="AC595" s="44"/>
      <c r="AD595" s="44"/>
      <c r="AE595" s="44"/>
      <c r="AF595" s="44"/>
      <c r="AG595" s="44"/>
      <c r="AH595" s="44"/>
      <c r="AI595" s="44"/>
      <c r="AJ595" s="44"/>
      <c r="AK595" s="44"/>
      <c r="AL595" s="44"/>
      <c r="AM595" s="44"/>
      <c r="AN595" s="44"/>
      <c r="AO595" s="44"/>
      <c r="AP595" s="44"/>
    </row>
    <row r="596" spans="1:44" x14ac:dyDescent="0.25">
      <c r="A596" s="149" t="s">
        <v>92</v>
      </c>
      <c r="B596" s="149"/>
      <c r="C596" s="248">
        <v>0</v>
      </c>
      <c r="D596" s="134"/>
      <c r="E596" s="134"/>
      <c r="F596" s="132">
        <v>0</v>
      </c>
      <c r="G596" s="134"/>
      <c r="H596" s="134"/>
      <c r="I596" s="132">
        <v>0</v>
      </c>
      <c r="J596" s="133"/>
      <c r="K596" s="134"/>
      <c r="L596" s="134"/>
      <c r="M596" s="132">
        <v>0</v>
      </c>
      <c r="N596" s="133"/>
      <c r="O596" s="134"/>
      <c r="P596" s="134"/>
      <c r="Q596" s="132">
        <v>0</v>
      </c>
      <c r="R596" s="133"/>
      <c r="S596" s="134"/>
      <c r="T596" s="134"/>
      <c r="U596" s="132">
        <v>0</v>
      </c>
      <c r="V596" s="165"/>
      <c r="W596" s="163"/>
      <c r="X596" s="91"/>
      <c r="Y596" s="91"/>
      <c r="Z596" s="44"/>
      <c r="AA596" s="44"/>
      <c r="AB596" s="44"/>
      <c r="AC596" s="44"/>
      <c r="AD596" s="44"/>
      <c r="AE596" s="44"/>
      <c r="AF596" s="44"/>
      <c r="AG596" s="44"/>
      <c r="AH596" s="44"/>
      <c r="AI596" s="44"/>
      <c r="AJ596" s="44"/>
      <c r="AK596" s="44"/>
      <c r="AL596" s="44"/>
      <c r="AM596" s="44"/>
      <c r="AN596" s="44"/>
      <c r="AO596" s="44"/>
      <c r="AP596" s="44"/>
    </row>
    <row r="597" spans="1:44" ht="16.5" thickBot="1" x14ac:dyDescent="0.3">
      <c r="A597" s="149" t="s">
        <v>115</v>
      </c>
      <c r="B597" s="149"/>
      <c r="C597" s="265">
        <f>SUM(C595:C596)</f>
        <v>0</v>
      </c>
      <c r="D597" s="245"/>
      <c r="E597" s="232"/>
      <c r="F597" s="233">
        <f>SUM(F595:F596)</f>
        <v>0</v>
      </c>
      <c r="G597" s="245"/>
      <c r="H597" s="232"/>
      <c r="I597" s="233">
        <f>SUM(I595:I596)</f>
        <v>0</v>
      </c>
      <c r="J597" s="207"/>
      <c r="K597" s="245"/>
      <c r="L597" s="232"/>
      <c r="M597" s="233" t="e">
        <f>SUM(M595:M596)</f>
        <v>#REF!</v>
      </c>
      <c r="N597" s="233"/>
      <c r="O597" s="245"/>
      <c r="P597" s="232"/>
      <c r="Q597" s="233" t="e">
        <f>SUM(Q595:Q596)</f>
        <v>#REF!</v>
      </c>
      <c r="R597" s="233"/>
      <c r="S597" s="245"/>
      <c r="T597" s="232"/>
      <c r="U597" s="233" t="e">
        <f>SUM(U595:U596)</f>
        <v>#REF!</v>
      </c>
      <c r="V597" s="166"/>
      <c r="W597" s="167"/>
      <c r="X597" s="91"/>
      <c r="Y597" s="91"/>
      <c r="Z597" s="44"/>
      <c r="AA597" s="44"/>
      <c r="AB597" s="44"/>
      <c r="AC597" s="44"/>
      <c r="AD597" s="44"/>
      <c r="AE597" s="44"/>
      <c r="AF597" s="44"/>
      <c r="AG597" s="44"/>
      <c r="AH597" s="44"/>
      <c r="AI597" s="44"/>
      <c r="AJ597" s="44"/>
      <c r="AK597" s="44"/>
      <c r="AL597" s="44"/>
      <c r="AM597" s="44"/>
      <c r="AN597" s="44"/>
      <c r="AO597" s="44"/>
      <c r="AP597" s="44"/>
    </row>
    <row r="598" spans="1:44" ht="16.5" thickTop="1" x14ac:dyDescent="0.25">
      <c r="A598" s="149"/>
      <c r="B598" s="266"/>
      <c r="C598" s="169"/>
      <c r="D598" s="226"/>
      <c r="E598" s="149"/>
      <c r="F598" s="111"/>
      <c r="G598" s="226"/>
      <c r="H598" s="149"/>
      <c r="I598" s="111"/>
      <c r="J598" s="111"/>
      <c r="K598" s="226"/>
      <c r="L598" s="149"/>
      <c r="M598" s="111"/>
      <c r="N598" s="111"/>
      <c r="O598" s="226"/>
      <c r="P598" s="149"/>
      <c r="Q598" s="111"/>
      <c r="R598" s="111"/>
      <c r="S598" s="226"/>
      <c r="T598" s="149"/>
      <c r="U598" s="111"/>
      <c r="V598" s="44"/>
      <c r="W598" s="91"/>
      <c r="X598" s="91"/>
      <c r="Y598" s="91"/>
      <c r="Z598" s="44"/>
      <c r="AA598" s="44"/>
      <c r="AB598" s="44"/>
      <c r="AC598" s="44"/>
      <c r="AD598" s="44"/>
      <c r="AE598" s="44"/>
      <c r="AF598" s="44"/>
      <c r="AG598" s="44"/>
      <c r="AH598" s="44"/>
      <c r="AI598" s="44"/>
      <c r="AJ598" s="44"/>
      <c r="AK598" s="44"/>
      <c r="AL598" s="44"/>
      <c r="AM598" s="44"/>
      <c r="AN598" s="44"/>
      <c r="AO598" s="44"/>
      <c r="AP598" s="44"/>
    </row>
    <row r="599" spans="1:44" x14ac:dyDescent="0.25">
      <c r="A599" s="168" t="s">
        <v>177</v>
      </c>
      <c r="B599" s="149"/>
      <c r="C599" s="149"/>
      <c r="D599" s="111"/>
      <c r="E599" s="149"/>
      <c r="F599" s="149"/>
      <c r="G599" s="111"/>
      <c r="H599" s="149"/>
      <c r="I599" s="149"/>
      <c r="J599" s="149"/>
      <c r="K599" s="111"/>
      <c r="L599" s="149"/>
      <c r="M599" s="149"/>
      <c r="N599" s="149"/>
      <c r="O599" s="111"/>
      <c r="P599" s="149"/>
      <c r="Q599" s="149"/>
      <c r="R599" s="149"/>
      <c r="S599" s="111"/>
      <c r="T599" s="149"/>
      <c r="U599" s="149"/>
      <c r="V599" s="44"/>
      <c r="W599" s="91"/>
      <c r="X599" s="91"/>
      <c r="Y599" s="91"/>
      <c r="Z599" s="44"/>
      <c r="AA599" s="44"/>
      <c r="AB599" s="44"/>
      <c r="AC599" s="44"/>
      <c r="AD599" s="44"/>
      <c r="AE599" s="44"/>
      <c r="AF599" s="44"/>
      <c r="AG599" s="44"/>
      <c r="AH599" s="44"/>
      <c r="AI599" s="44"/>
      <c r="AJ599" s="44"/>
      <c r="AK599" s="44"/>
      <c r="AL599" s="44"/>
      <c r="AM599" s="44"/>
      <c r="AN599" s="44"/>
      <c r="AO599" s="44"/>
      <c r="AP599" s="44"/>
    </row>
    <row r="600" spans="1:44" x14ac:dyDescent="0.25">
      <c r="A600" s="134" t="s">
        <v>178</v>
      </c>
      <c r="B600" s="149"/>
      <c r="C600" s="149"/>
      <c r="D600" s="111"/>
      <c r="E600" s="149"/>
      <c r="F600" s="149"/>
      <c r="G600" s="111"/>
      <c r="H600" s="149"/>
      <c r="I600" s="149"/>
      <c r="J600" s="149"/>
      <c r="K600" s="111"/>
      <c r="L600" s="149"/>
      <c r="M600" s="149"/>
      <c r="N600" s="149"/>
      <c r="O600" s="111"/>
      <c r="P600" s="149"/>
      <c r="Q600" s="149"/>
      <c r="R600" s="149"/>
      <c r="S600" s="111"/>
      <c r="T600" s="149"/>
      <c r="U600" s="149"/>
      <c r="V600" s="44"/>
      <c r="W600" s="91"/>
      <c r="X600" s="91"/>
      <c r="Y600" s="91"/>
      <c r="Z600" s="44"/>
      <c r="AA600" s="44"/>
      <c r="AB600" s="44"/>
      <c r="AC600" s="44"/>
      <c r="AD600" s="44"/>
      <c r="AE600" s="44"/>
      <c r="AF600" s="44"/>
      <c r="AG600" s="44"/>
      <c r="AH600" s="44"/>
      <c r="AI600" s="44"/>
      <c r="AJ600" s="44"/>
      <c r="AK600" s="44"/>
      <c r="AL600" s="44"/>
      <c r="AM600" s="44"/>
      <c r="AN600" s="44"/>
      <c r="AO600" s="44"/>
      <c r="AP600" s="44"/>
    </row>
    <row r="601" spans="1:44" x14ac:dyDescent="0.25">
      <c r="A601" s="206"/>
      <c r="B601" s="149"/>
      <c r="C601" s="149"/>
      <c r="D601" s="111"/>
      <c r="E601" s="149"/>
      <c r="F601" s="149"/>
      <c r="G601" s="111"/>
      <c r="H601" s="149"/>
      <c r="I601" s="149"/>
      <c r="J601" s="149"/>
      <c r="K601" s="111"/>
      <c r="L601" s="149"/>
      <c r="M601" s="149"/>
      <c r="N601" s="149"/>
      <c r="O601" s="111"/>
      <c r="P601" s="149"/>
      <c r="Q601" s="149"/>
      <c r="R601" s="149"/>
      <c r="S601" s="111"/>
      <c r="T601" s="149"/>
      <c r="U601" s="149"/>
      <c r="V601" s="44"/>
      <c r="X601" s="91"/>
      <c r="Y601" s="91"/>
      <c r="Z601" s="44"/>
      <c r="AA601" s="44"/>
      <c r="AB601" s="44"/>
      <c r="AC601" s="44"/>
      <c r="AD601" s="44"/>
      <c r="AE601" s="44"/>
      <c r="AF601" s="44"/>
      <c r="AG601" s="44"/>
      <c r="AH601" s="44"/>
      <c r="AI601" s="44"/>
      <c r="AJ601" s="44"/>
      <c r="AK601" s="44"/>
      <c r="AL601" s="44"/>
      <c r="AM601" s="44"/>
      <c r="AN601" s="44"/>
      <c r="AO601" s="44"/>
      <c r="AP601" s="44"/>
    </row>
    <row r="602" spans="1:44" x14ac:dyDescent="0.25">
      <c r="A602" s="206" t="s">
        <v>127</v>
      </c>
      <c r="B602" s="149"/>
      <c r="C602" s="204"/>
      <c r="D602" s="111"/>
      <c r="E602" s="149"/>
      <c r="F602" s="149"/>
      <c r="G602" s="111"/>
      <c r="H602" s="149"/>
      <c r="I602" s="149"/>
      <c r="J602" s="149"/>
      <c r="K602" s="111"/>
      <c r="L602" s="149"/>
      <c r="M602" s="149"/>
      <c r="N602" s="149"/>
      <c r="O602" s="111"/>
      <c r="P602" s="149"/>
      <c r="Q602" s="149"/>
      <c r="R602" s="149"/>
      <c r="S602" s="111"/>
      <c r="T602" s="149"/>
      <c r="U602" s="149"/>
      <c r="V602" s="44"/>
      <c r="W602" s="91"/>
      <c r="X602" s="267" t="s">
        <v>19</v>
      </c>
      <c r="Y602" s="267"/>
      <c r="Z602" s="44"/>
      <c r="AA602" s="44"/>
      <c r="AB602" s="44"/>
      <c r="AC602" s="44"/>
      <c r="AD602" s="44"/>
      <c r="AE602" s="44"/>
      <c r="AF602" s="44"/>
      <c r="AH602" s="44"/>
      <c r="AI602" s="44"/>
      <c r="AJ602" s="44"/>
      <c r="AK602" s="44"/>
      <c r="AL602" s="44"/>
      <c r="AM602" s="44"/>
      <c r="AN602" s="44"/>
      <c r="AO602" s="44"/>
      <c r="AP602" s="44"/>
    </row>
    <row r="603" spans="1:44" x14ac:dyDescent="0.25">
      <c r="A603" s="206" t="s">
        <v>159</v>
      </c>
      <c r="B603" s="149"/>
      <c r="C603" s="204">
        <f>C645+C683</f>
        <v>413.66666666666674</v>
      </c>
      <c r="D603" s="173">
        <v>264</v>
      </c>
      <c r="E603" s="206"/>
      <c r="F603" s="223">
        <f>F645+F683</f>
        <v>109208</v>
      </c>
      <c r="G603" s="173">
        <v>268</v>
      </c>
      <c r="H603" s="206"/>
      <c r="I603" s="223">
        <f>I645+I683</f>
        <v>110863</v>
      </c>
      <c r="J603" s="223"/>
      <c r="K603" s="173">
        <v>264</v>
      </c>
      <c r="L603" s="206"/>
      <c r="M603" s="223">
        <v>109208</v>
      </c>
      <c r="N603" s="223"/>
      <c r="O603" s="173" t="s">
        <v>0</v>
      </c>
      <c r="P603" s="206"/>
      <c r="Q603" s="223">
        <v>0</v>
      </c>
      <c r="R603" s="111"/>
      <c r="S603" s="173" t="s">
        <v>0</v>
      </c>
      <c r="T603" s="149"/>
      <c r="U603" s="111">
        <v>0</v>
      </c>
      <c r="X603" s="52">
        <f>(G603-D603)/D603</f>
        <v>1.5151515151515152E-2</v>
      </c>
      <c r="Y603" s="52"/>
      <c r="AG603" s="202"/>
      <c r="AH603" s="202"/>
      <c r="AK603" s="44"/>
      <c r="AL603" s="44"/>
      <c r="AM603" s="44"/>
      <c r="AN603" s="44"/>
      <c r="AO603" s="44"/>
      <c r="AP603" s="44"/>
    </row>
    <row r="604" spans="1:44" x14ac:dyDescent="0.25">
      <c r="A604" s="206" t="s">
        <v>160</v>
      </c>
      <c r="B604" s="149"/>
      <c r="C604" s="204">
        <f>C646+C684</f>
        <v>8716.2666666666191</v>
      </c>
      <c r="D604" s="173">
        <v>98</v>
      </c>
      <c r="E604" s="206"/>
      <c r="F604" s="223">
        <f>F646+F684</f>
        <v>854194</v>
      </c>
      <c r="G604" s="173">
        <v>100</v>
      </c>
      <c r="H604" s="206"/>
      <c r="I604" s="223">
        <f>I646+I684</f>
        <v>871627</v>
      </c>
      <c r="J604" s="223"/>
      <c r="K604" s="173">
        <v>98</v>
      </c>
      <c r="L604" s="206"/>
      <c r="M604" s="223">
        <v>854194</v>
      </c>
      <c r="N604" s="223"/>
      <c r="O604" s="173" t="s">
        <v>0</v>
      </c>
      <c r="P604" s="206"/>
      <c r="Q604" s="223">
        <v>0</v>
      </c>
      <c r="R604" s="111"/>
      <c r="S604" s="173" t="s">
        <v>0</v>
      </c>
      <c r="T604" s="149"/>
      <c r="U604" s="111">
        <v>0</v>
      </c>
      <c r="X604" s="52">
        <f>(G604-D604)/D604</f>
        <v>2.0408163265306121E-2</v>
      </c>
      <c r="Y604" s="52"/>
      <c r="AA604" s="115"/>
      <c r="AB604" s="174"/>
      <c r="AC604" s="115"/>
      <c r="AD604" s="174"/>
      <c r="AE604" s="115"/>
      <c r="AF604" s="115"/>
      <c r="AG604" s="174"/>
      <c r="AH604" s="174"/>
      <c r="AJ604" s="80"/>
      <c r="AK604" s="44"/>
      <c r="AL604" s="44"/>
      <c r="AM604" s="44"/>
      <c r="AN604" s="44"/>
      <c r="AO604" s="44"/>
      <c r="AP604" s="44"/>
    </row>
    <row r="605" spans="1:44" x14ac:dyDescent="0.25">
      <c r="A605" s="206" t="s">
        <v>161</v>
      </c>
      <c r="B605" s="149"/>
      <c r="C605" s="204">
        <f>C647+C685</f>
        <v>3900.3000000000029</v>
      </c>
      <c r="D605" s="173">
        <v>195</v>
      </c>
      <c r="E605" s="208"/>
      <c r="F605" s="223">
        <f>F647+F685</f>
        <v>760559</v>
      </c>
      <c r="G605" s="173">
        <v>200</v>
      </c>
      <c r="H605" s="208"/>
      <c r="I605" s="223">
        <f>I647+I685</f>
        <v>780060</v>
      </c>
      <c r="J605" s="223"/>
      <c r="K605" s="173">
        <v>195</v>
      </c>
      <c r="L605" s="208"/>
      <c r="M605" s="223">
        <v>760559</v>
      </c>
      <c r="N605" s="223"/>
      <c r="O605" s="173" t="s">
        <v>0</v>
      </c>
      <c r="P605" s="208"/>
      <c r="Q605" s="223">
        <v>0</v>
      </c>
      <c r="R605" s="111"/>
      <c r="S605" s="173" t="s">
        <v>0</v>
      </c>
      <c r="T605" s="149"/>
      <c r="U605" s="111">
        <v>0</v>
      </c>
      <c r="X605" s="52">
        <f>(G605-D605)/D605</f>
        <v>2.564102564102564E-2</v>
      </c>
      <c r="Y605" s="52"/>
      <c r="AA605" s="115"/>
      <c r="AB605" s="174"/>
      <c r="AC605" s="115"/>
      <c r="AD605" s="174"/>
      <c r="AE605" s="115"/>
      <c r="AF605" s="115"/>
      <c r="AG605" s="174"/>
      <c r="AH605" s="174"/>
      <c r="AJ605" s="80"/>
      <c r="AK605" s="44"/>
      <c r="AL605" s="44"/>
      <c r="AM605" s="44"/>
      <c r="AN605" s="44"/>
      <c r="AO605" s="44"/>
      <c r="AP605" s="44"/>
    </row>
    <row r="606" spans="1:44" x14ac:dyDescent="0.25">
      <c r="A606" s="206" t="s">
        <v>128</v>
      </c>
      <c r="B606" s="149"/>
      <c r="C606" s="204">
        <f>SUM(C603:C605)</f>
        <v>13030.233333333288</v>
      </c>
      <c r="D606" s="173"/>
      <c r="E606" s="206"/>
      <c r="F606" s="223"/>
      <c r="G606" s="173"/>
      <c r="H606" s="206"/>
      <c r="I606" s="223"/>
      <c r="J606" s="223"/>
      <c r="K606" s="173"/>
      <c r="L606" s="206"/>
      <c r="M606" s="223"/>
      <c r="N606" s="223"/>
      <c r="O606" s="173"/>
      <c r="P606" s="206"/>
      <c r="Q606" s="223"/>
      <c r="R606" s="223"/>
      <c r="S606" s="173"/>
      <c r="T606" s="206"/>
      <c r="U606" s="223"/>
      <c r="AA606" s="115"/>
      <c r="AB606" s="174"/>
      <c r="AC606" s="115"/>
      <c r="AD606" s="174"/>
      <c r="AE606" s="115"/>
      <c r="AF606" s="115"/>
      <c r="AG606" s="174"/>
      <c r="AH606" s="174"/>
      <c r="AJ606" s="80"/>
      <c r="AK606" s="44"/>
      <c r="AL606" s="44"/>
      <c r="AM606" s="44"/>
      <c r="AN606" s="44"/>
      <c r="AO606" s="44"/>
      <c r="AP606" s="44"/>
    </row>
    <row r="607" spans="1:44" x14ac:dyDescent="0.25">
      <c r="A607" s="206" t="s">
        <v>160</v>
      </c>
      <c r="B607" s="149"/>
      <c r="C607" s="204">
        <f>C649+C687</f>
        <v>1499067</v>
      </c>
      <c r="D607" s="173">
        <v>1.79</v>
      </c>
      <c r="E607" s="206" t="s">
        <v>0</v>
      </c>
      <c r="F607" s="223">
        <f>F649+F687</f>
        <v>2683330</v>
      </c>
      <c r="G607" s="173">
        <v>1.83</v>
      </c>
      <c r="H607" s="206" t="s">
        <v>0</v>
      </c>
      <c r="I607" s="223">
        <f>I649+I687</f>
        <v>2743292</v>
      </c>
      <c r="J607" s="223"/>
      <c r="K607" s="173">
        <v>1.79</v>
      </c>
      <c r="L607" s="206" t="s">
        <v>0</v>
      </c>
      <c r="M607" s="223">
        <v>2683330</v>
      </c>
      <c r="N607" s="223"/>
      <c r="O607" s="173" t="s">
        <v>0</v>
      </c>
      <c r="P607" s="206" t="s">
        <v>0</v>
      </c>
      <c r="Q607" s="223">
        <v>0</v>
      </c>
      <c r="R607" s="111"/>
      <c r="S607" s="173" t="s">
        <v>0</v>
      </c>
      <c r="T607" s="149"/>
      <c r="U607" s="111">
        <v>0</v>
      </c>
      <c r="W607" s="176" t="s">
        <v>0</v>
      </c>
      <c r="X607" s="52">
        <f>(G607-D607)/D607</f>
        <v>2.2346368715083817E-2</v>
      </c>
      <c r="Y607" s="52"/>
      <c r="AA607" s="115"/>
      <c r="AB607" s="209"/>
      <c r="AC607" s="115"/>
      <c r="AD607" s="209"/>
      <c r="AE607" s="115"/>
      <c r="AF607" s="115"/>
      <c r="AG607" s="209"/>
      <c r="AH607" s="209"/>
      <c r="AJ607" s="44"/>
      <c r="AK607" s="44"/>
      <c r="AL607" s="44"/>
      <c r="AM607" s="44"/>
      <c r="AN607" s="44"/>
      <c r="AO607" s="44"/>
      <c r="AP607" s="44"/>
    </row>
    <row r="608" spans="1:44" x14ac:dyDescent="0.25">
      <c r="A608" s="206" t="s">
        <v>161</v>
      </c>
      <c r="B608" s="149"/>
      <c r="C608" s="204">
        <f>C650+C688</f>
        <v>1976046</v>
      </c>
      <c r="D608" s="173">
        <v>1.46</v>
      </c>
      <c r="E608" s="206" t="s">
        <v>0</v>
      </c>
      <c r="F608" s="223">
        <f>F650+F688</f>
        <v>2885027</v>
      </c>
      <c r="G608" s="173">
        <v>1.5</v>
      </c>
      <c r="H608" s="206" t="s">
        <v>0</v>
      </c>
      <c r="I608" s="223">
        <f>I650+I688</f>
        <v>2964069</v>
      </c>
      <c r="J608" s="223"/>
      <c r="K608" s="173">
        <v>1.46</v>
      </c>
      <c r="L608" s="206" t="s">
        <v>0</v>
      </c>
      <c r="M608" s="223">
        <v>2885027</v>
      </c>
      <c r="N608" s="223"/>
      <c r="O608" s="173" t="s">
        <v>0</v>
      </c>
      <c r="P608" s="206" t="s">
        <v>0</v>
      </c>
      <c r="Q608" s="223">
        <v>0</v>
      </c>
      <c r="R608" s="111"/>
      <c r="S608" s="173" t="s">
        <v>0</v>
      </c>
      <c r="T608" s="149"/>
      <c r="U608" s="111">
        <v>0</v>
      </c>
      <c r="X608" s="52">
        <f>(G608-D608)/D608</f>
        <v>2.7397260273972629E-2</v>
      </c>
      <c r="Y608" s="52"/>
      <c r="AA608" s="115"/>
      <c r="AB608" s="115"/>
      <c r="AJ608" s="44"/>
      <c r="AK608" s="44"/>
      <c r="AL608" s="44"/>
      <c r="AM608" s="44"/>
      <c r="AN608" s="44"/>
      <c r="AO608" s="44"/>
      <c r="AP608" s="44"/>
    </row>
    <row r="609" spans="1:44" x14ac:dyDescent="0.25">
      <c r="A609" s="134" t="s">
        <v>162</v>
      </c>
      <c r="B609" s="149"/>
      <c r="C609" s="204"/>
      <c r="D609" s="180"/>
      <c r="E609" s="206"/>
      <c r="F609" s="223"/>
      <c r="G609" s="180"/>
      <c r="H609" s="206"/>
      <c r="I609" s="223"/>
      <c r="J609" s="223"/>
      <c r="K609" s="180"/>
      <c r="L609" s="206"/>
      <c r="M609" s="223"/>
      <c r="N609" s="223"/>
      <c r="O609" s="180"/>
      <c r="P609" s="206"/>
      <c r="Q609" s="223"/>
      <c r="R609" s="223"/>
      <c r="S609" s="180"/>
      <c r="T609" s="206"/>
      <c r="U609" s="223"/>
      <c r="Z609" s="98"/>
      <c r="AJ609" s="44"/>
      <c r="AK609" s="44"/>
      <c r="AL609" s="44"/>
      <c r="AM609" s="44"/>
      <c r="AN609" s="44"/>
      <c r="AO609" s="44"/>
      <c r="AP609" s="44"/>
    </row>
    <row r="610" spans="1:44" x14ac:dyDescent="0.25">
      <c r="A610" s="134" t="s">
        <v>163</v>
      </c>
      <c r="B610" s="149"/>
      <c r="C610" s="204">
        <f>C652+C690</f>
        <v>2642724.5</v>
      </c>
      <c r="D610" s="173">
        <v>5.47</v>
      </c>
      <c r="E610" s="206"/>
      <c r="F610" s="223">
        <f>F652+F690</f>
        <v>14455703</v>
      </c>
      <c r="G610" s="173">
        <v>5.6</v>
      </c>
      <c r="H610" s="206"/>
      <c r="I610" s="223">
        <f>I652+I690</f>
        <v>14799258</v>
      </c>
      <c r="J610" s="223"/>
      <c r="K610" s="173" t="e">
        <v>#REF!</v>
      </c>
      <c r="L610" s="206"/>
      <c r="M610" s="223" t="e">
        <v>#REF!</v>
      </c>
      <c r="N610" s="223"/>
      <c r="O610" s="173">
        <v>0</v>
      </c>
      <c r="P610" s="206"/>
      <c r="Q610" s="223" t="e">
        <v>#REF!</v>
      </c>
      <c r="R610" s="223"/>
      <c r="S610" s="173">
        <v>0</v>
      </c>
      <c r="T610" s="206"/>
      <c r="U610" s="111" t="e">
        <v>#REF!</v>
      </c>
      <c r="X610" s="52">
        <f>(G610-D610)/D610</f>
        <v>2.3765996343692853E-2</v>
      </c>
      <c r="Y610" s="52"/>
      <c r="Z610" s="98"/>
      <c r="AJ610" s="44"/>
      <c r="AK610" s="44"/>
      <c r="AL610" s="44"/>
      <c r="AM610" s="44"/>
      <c r="AN610" s="44"/>
      <c r="AO610" s="44"/>
      <c r="AP610" s="44"/>
    </row>
    <row r="611" spans="1:44" x14ac:dyDescent="0.25">
      <c r="A611" s="134" t="s">
        <v>179</v>
      </c>
      <c r="B611" s="149"/>
      <c r="C611" s="204">
        <f>C653+C691</f>
        <v>3580.1666666666692</v>
      </c>
      <c r="D611" s="268">
        <v>5.47</v>
      </c>
      <c r="E611" s="206"/>
      <c r="F611" s="223">
        <f>F653+F691</f>
        <v>19584</v>
      </c>
      <c r="G611" s="268">
        <f>G610</f>
        <v>5.6</v>
      </c>
      <c r="H611" s="206"/>
      <c r="I611" s="223">
        <f>I653+I691</f>
        <v>20049</v>
      </c>
      <c r="J611" s="223"/>
      <c r="K611" s="268" t="e">
        <f>K610</f>
        <v>#REF!</v>
      </c>
      <c r="L611" s="206"/>
      <c r="M611" s="223" t="e">
        <v>#REF!</v>
      </c>
      <c r="N611" s="223"/>
      <c r="O611" s="268">
        <f>O610</f>
        <v>0</v>
      </c>
      <c r="P611" s="206"/>
      <c r="Q611" s="223">
        <v>0</v>
      </c>
      <c r="R611" s="223"/>
      <c r="S611" s="268">
        <f>S610</f>
        <v>0</v>
      </c>
      <c r="T611" s="206"/>
      <c r="U611" s="111">
        <v>0</v>
      </c>
      <c r="X611" s="52">
        <f>(G611-D611)/D611</f>
        <v>2.3765996343692853E-2</v>
      </c>
      <c r="Y611" s="52"/>
      <c r="Z611" s="98"/>
      <c r="AJ611" s="44"/>
      <c r="AK611" s="44"/>
      <c r="AL611" s="44"/>
      <c r="AM611" s="44"/>
      <c r="AN611" s="44"/>
      <c r="AO611" s="44"/>
      <c r="AP611" s="44"/>
    </row>
    <row r="612" spans="1:44" x14ac:dyDescent="0.25">
      <c r="A612" s="206" t="s">
        <v>164</v>
      </c>
      <c r="B612" s="149"/>
      <c r="C612" s="204"/>
      <c r="D612" s="173"/>
      <c r="E612" s="206"/>
      <c r="F612" s="223"/>
      <c r="G612" s="173"/>
      <c r="H612" s="206"/>
      <c r="I612" s="223"/>
      <c r="J612" s="223"/>
      <c r="K612" s="173"/>
      <c r="L612" s="206"/>
      <c r="M612" s="223"/>
      <c r="N612" s="223"/>
      <c r="O612" s="173"/>
      <c r="P612" s="206"/>
      <c r="Q612" s="223"/>
      <c r="R612" s="223"/>
      <c r="S612" s="173"/>
      <c r="T612" s="206"/>
      <c r="U612" s="223"/>
      <c r="Z612" s="176" t="s">
        <v>0</v>
      </c>
      <c r="AJ612" s="44"/>
      <c r="AK612" s="44"/>
      <c r="AL612" s="44"/>
      <c r="AM612" s="44"/>
      <c r="AN612" s="44"/>
      <c r="AO612" s="44"/>
      <c r="AP612" s="44"/>
    </row>
    <row r="613" spans="1:44" x14ac:dyDescent="0.25">
      <c r="A613" s="206" t="s">
        <v>165</v>
      </c>
      <c r="B613" s="204"/>
      <c r="C613" s="204">
        <f>C655+C693</f>
        <v>406603312.8503738</v>
      </c>
      <c r="D613" s="269">
        <v>5.7730000000000006</v>
      </c>
      <c r="E613" s="206" t="s">
        <v>89</v>
      </c>
      <c r="F613" s="223">
        <f>F655+F693</f>
        <v>23473210</v>
      </c>
      <c r="G613" s="269">
        <v>5.9119999999999999</v>
      </c>
      <c r="H613" s="206" t="s">
        <v>89</v>
      </c>
      <c r="I613" s="223">
        <f>I655+I693</f>
        <v>24038388</v>
      </c>
      <c r="J613" s="223"/>
      <c r="K613" s="269" t="s">
        <v>0</v>
      </c>
      <c r="L613" s="206" t="s">
        <v>0</v>
      </c>
      <c r="M613" s="223">
        <v>0</v>
      </c>
      <c r="N613" s="223"/>
      <c r="O613" s="269" t="e">
        <v>#REF!</v>
      </c>
      <c r="P613" s="206" t="s">
        <v>89</v>
      </c>
      <c r="Q613" s="223" t="e">
        <v>#REF!</v>
      </c>
      <c r="R613" s="223"/>
      <c r="S613" s="269" t="e">
        <v>#REF!</v>
      </c>
      <c r="T613" s="206" t="s">
        <v>89</v>
      </c>
      <c r="U613" s="111" t="e">
        <v>#REF!</v>
      </c>
      <c r="X613" s="52">
        <f>((G613+G616)-D613)/D613</f>
        <v>2.4077602632946359E-2</v>
      </c>
      <c r="Y613" s="52"/>
      <c r="Z613" s="98"/>
      <c r="AJ613" s="44"/>
      <c r="AK613" s="44"/>
      <c r="AL613" s="44"/>
      <c r="AM613" s="44"/>
      <c r="AN613" s="44"/>
      <c r="AO613" s="44"/>
      <c r="AP613" s="44"/>
    </row>
    <row r="614" spans="1:44" x14ac:dyDescent="0.25">
      <c r="A614" s="206" t="s">
        <v>132</v>
      </c>
      <c r="B614" s="204"/>
      <c r="C614" s="204">
        <f>C656+C694</f>
        <v>515912822.9645322</v>
      </c>
      <c r="D614" s="269">
        <v>5.2879999999999994</v>
      </c>
      <c r="E614" s="206" t="s">
        <v>89</v>
      </c>
      <c r="F614" s="223">
        <f>F656+F694</f>
        <v>27281470</v>
      </c>
      <c r="G614" s="269">
        <v>5.41</v>
      </c>
      <c r="H614" s="206" t="s">
        <v>89</v>
      </c>
      <c r="I614" s="223">
        <f>I656+I694</f>
        <v>27910884</v>
      </c>
      <c r="J614" s="223"/>
      <c r="K614" s="269" t="s">
        <v>0</v>
      </c>
      <c r="L614" s="206" t="s">
        <v>0</v>
      </c>
      <c r="M614" s="223">
        <v>0</v>
      </c>
      <c r="N614" s="223"/>
      <c r="O614" s="269" t="e">
        <v>#REF!</v>
      </c>
      <c r="P614" s="206" t="s">
        <v>89</v>
      </c>
      <c r="Q614" s="223" t="e">
        <v>#REF!</v>
      </c>
      <c r="R614" s="223"/>
      <c r="S614" s="269" t="e">
        <v>#REF!</v>
      </c>
      <c r="T614" s="206" t="s">
        <v>89</v>
      </c>
      <c r="U614" s="111" t="e">
        <v>#REF!</v>
      </c>
      <c r="X614" s="52">
        <f>((G614+G617)-D614)/D614</f>
        <v>2.3071104387292131E-2</v>
      </c>
      <c r="Y614" s="52"/>
      <c r="Z614" s="98"/>
      <c r="AK614" s="44"/>
      <c r="AL614" s="44"/>
      <c r="AM614" s="44"/>
      <c r="AN614" s="44"/>
      <c r="AO614" s="44"/>
      <c r="AP614" s="44"/>
    </row>
    <row r="615" spans="1:44" x14ac:dyDescent="0.25">
      <c r="A615" s="206" t="s">
        <v>133</v>
      </c>
      <c r="B615" s="149"/>
      <c r="C615" s="204">
        <f>C657+C695</f>
        <v>494491.933333333</v>
      </c>
      <c r="D615" s="270">
        <v>57</v>
      </c>
      <c r="E615" s="206" t="s">
        <v>89</v>
      </c>
      <c r="F615" s="223">
        <f>F657+F695</f>
        <v>281861</v>
      </c>
      <c r="G615" s="270">
        <v>58</v>
      </c>
      <c r="H615" s="206" t="s">
        <v>89</v>
      </c>
      <c r="I615" s="223">
        <f>I657+I695</f>
        <v>286806</v>
      </c>
      <c r="J615" s="223"/>
      <c r="K615" s="255" t="s">
        <v>0</v>
      </c>
      <c r="L615" s="206" t="s">
        <v>0</v>
      </c>
      <c r="M615" s="223">
        <v>0</v>
      </c>
      <c r="N615" s="223"/>
      <c r="O615" s="255" t="e">
        <v>#DIV/0!</v>
      </c>
      <c r="P615" s="206" t="s">
        <v>89</v>
      </c>
      <c r="Q615" s="223" t="e">
        <v>#DIV/0!</v>
      </c>
      <c r="R615" s="223"/>
      <c r="S615" s="255" t="e">
        <v>#DIV/0!</v>
      </c>
      <c r="T615" s="206" t="s">
        <v>89</v>
      </c>
      <c r="U615" s="111" t="e">
        <v>#DIV/0!</v>
      </c>
      <c r="X615" s="52">
        <f>(G615-D615)/D615</f>
        <v>1.7543859649122806E-2</v>
      </c>
      <c r="Y615" s="52"/>
      <c r="Z615" s="98"/>
      <c r="AK615" s="44"/>
      <c r="AL615" s="44"/>
      <c r="AM615" s="44"/>
      <c r="AN615" s="44"/>
      <c r="AO615" s="44"/>
      <c r="AP615" s="44"/>
    </row>
    <row r="616" spans="1:44" s="120" customFormat="1" hidden="1" x14ac:dyDescent="0.25">
      <c r="A616" s="119" t="s">
        <v>167</v>
      </c>
      <c r="C616" s="214">
        <f>C613</f>
        <v>406603312.8503738</v>
      </c>
      <c r="D616" s="128">
        <v>0</v>
      </c>
      <c r="E616" s="122"/>
      <c r="F616" s="123"/>
      <c r="G616" s="269">
        <v>0</v>
      </c>
      <c r="H616" s="256" t="s">
        <v>89</v>
      </c>
      <c r="I616" s="256">
        <f>I658+I696</f>
        <v>0</v>
      </c>
      <c r="J616" s="256"/>
      <c r="K616" s="269" t="s">
        <v>0</v>
      </c>
      <c r="L616" s="256" t="s">
        <v>0</v>
      </c>
      <c r="M616" s="223">
        <v>0</v>
      </c>
      <c r="N616" s="256"/>
      <c r="O616" s="269" t="s">
        <v>0</v>
      </c>
      <c r="P616" s="256" t="s">
        <v>0</v>
      </c>
      <c r="Q616" s="223">
        <v>0</v>
      </c>
      <c r="R616" s="256"/>
      <c r="S616" s="269">
        <v>0</v>
      </c>
      <c r="T616" s="256" t="s">
        <v>89</v>
      </c>
      <c r="U616" s="111">
        <v>0</v>
      </c>
      <c r="V616" s="126"/>
      <c r="W616" s="112"/>
      <c r="Z616" s="127"/>
      <c r="AA616" s="127"/>
      <c r="AF616" s="122"/>
      <c r="AG616" s="122"/>
      <c r="AH616" s="122"/>
      <c r="AI616" s="122"/>
      <c r="AJ616" s="122"/>
      <c r="AK616" s="122"/>
      <c r="AL616" s="122"/>
      <c r="AM616" s="122"/>
      <c r="AN616" s="122"/>
      <c r="AO616" s="122"/>
      <c r="AP616" s="122"/>
      <c r="AR616" s="126"/>
    </row>
    <row r="617" spans="1:44" s="120" customFormat="1" hidden="1" x14ac:dyDescent="0.25">
      <c r="A617" s="119" t="s">
        <v>168</v>
      </c>
      <c r="C617" s="214">
        <f>C614</f>
        <v>515912822.9645322</v>
      </c>
      <c r="D617" s="128">
        <v>0</v>
      </c>
      <c r="E617" s="122"/>
      <c r="F617" s="123"/>
      <c r="G617" s="269">
        <v>0</v>
      </c>
      <c r="H617" s="256" t="s">
        <v>89</v>
      </c>
      <c r="I617" s="256">
        <f>I659+I697</f>
        <v>0</v>
      </c>
      <c r="J617" s="256"/>
      <c r="K617" s="269" t="s">
        <v>0</v>
      </c>
      <c r="L617" s="256" t="s">
        <v>0</v>
      </c>
      <c r="M617" s="223">
        <v>0</v>
      </c>
      <c r="N617" s="256"/>
      <c r="O617" s="269" t="s">
        <v>0</v>
      </c>
      <c r="P617" s="256" t="s">
        <v>0</v>
      </c>
      <c r="Q617" s="223">
        <v>0</v>
      </c>
      <c r="R617" s="256"/>
      <c r="S617" s="269">
        <v>0</v>
      </c>
      <c r="T617" s="256" t="s">
        <v>89</v>
      </c>
      <c r="U617" s="111">
        <v>0</v>
      </c>
      <c r="V617" s="119" t="s">
        <v>0</v>
      </c>
      <c r="W617" s="112"/>
      <c r="Z617" s="127"/>
      <c r="AA617" s="127"/>
      <c r="AF617" s="122"/>
      <c r="AG617" s="122"/>
      <c r="AH617" s="122"/>
      <c r="AI617" s="122"/>
      <c r="AJ617" s="122"/>
      <c r="AK617" s="122"/>
      <c r="AL617" s="122"/>
      <c r="AM617" s="122"/>
      <c r="AN617" s="122"/>
      <c r="AO617" s="122"/>
      <c r="AP617" s="122"/>
      <c r="AR617" s="126"/>
    </row>
    <row r="618" spans="1:44" s="120" customFormat="1" hidden="1" x14ac:dyDescent="0.25">
      <c r="A618" s="182" t="s">
        <v>180</v>
      </c>
      <c r="B618" s="183"/>
      <c r="C618" s="216"/>
      <c r="D618" s="271">
        <v>5.7730000000000006</v>
      </c>
      <c r="E618" s="217" t="s">
        <v>89</v>
      </c>
      <c r="F618" s="187"/>
      <c r="G618" s="271">
        <f>G613+G616</f>
        <v>5.9119999999999999</v>
      </c>
      <c r="H618" s="217" t="s">
        <v>89</v>
      </c>
      <c r="I618" s="272"/>
      <c r="J618" s="272"/>
      <c r="K618" s="271">
        <f>K613+K616</f>
        <v>0</v>
      </c>
      <c r="L618" s="217" t="s">
        <v>0</v>
      </c>
      <c r="M618" s="272"/>
      <c r="N618" s="272"/>
      <c r="O618" s="271" t="e">
        <f>O613+O616</f>
        <v>#REF!</v>
      </c>
      <c r="P618" s="217" t="s">
        <v>89</v>
      </c>
      <c r="Q618" s="272"/>
      <c r="R618" s="272"/>
      <c r="S618" s="271" t="e">
        <f>S613+S616</f>
        <v>#REF!</v>
      </c>
      <c r="T618" s="217" t="s">
        <v>89</v>
      </c>
      <c r="U618" s="272"/>
      <c r="V618" s="119"/>
      <c r="W618" s="112"/>
      <c r="X618" s="52">
        <f>(G618-D618)/D618</f>
        <v>2.4077602632946359E-2</v>
      </c>
      <c r="Z618" s="127"/>
      <c r="AA618" s="127"/>
      <c r="AF618" s="122"/>
      <c r="AG618" s="122"/>
      <c r="AH618" s="122"/>
      <c r="AI618" s="122"/>
      <c r="AJ618" s="122"/>
      <c r="AK618" s="122"/>
      <c r="AL618" s="122"/>
      <c r="AM618" s="122"/>
      <c r="AN618" s="122"/>
      <c r="AO618" s="122"/>
      <c r="AP618" s="122"/>
      <c r="AR618" s="126"/>
    </row>
    <row r="619" spans="1:44" s="120" customFormat="1" hidden="1" x14ac:dyDescent="0.25">
      <c r="A619" s="182" t="s">
        <v>181</v>
      </c>
      <c r="B619" s="183"/>
      <c r="C619" s="216"/>
      <c r="D619" s="271">
        <v>5.2879999999999994</v>
      </c>
      <c r="E619" s="217" t="s">
        <v>89</v>
      </c>
      <c r="F619" s="187"/>
      <c r="G619" s="271">
        <f>G614+G617</f>
        <v>5.41</v>
      </c>
      <c r="H619" s="217" t="s">
        <v>89</v>
      </c>
      <c r="I619" s="272"/>
      <c r="J619" s="272"/>
      <c r="K619" s="271">
        <f>K614+K617</f>
        <v>0</v>
      </c>
      <c r="L619" s="217" t="s">
        <v>0</v>
      </c>
      <c r="M619" s="272"/>
      <c r="N619" s="272"/>
      <c r="O619" s="271" t="e">
        <f>O614+O617</f>
        <v>#REF!</v>
      </c>
      <c r="P619" s="217" t="s">
        <v>89</v>
      </c>
      <c r="Q619" s="272"/>
      <c r="R619" s="272"/>
      <c r="S619" s="271" t="e">
        <f>S614+S617</f>
        <v>#REF!</v>
      </c>
      <c r="T619" s="217" t="s">
        <v>89</v>
      </c>
      <c r="U619" s="272"/>
      <c r="V619" s="119"/>
      <c r="W619" s="112"/>
      <c r="X619" s="52">
        <f>(G619-D619)/D619</f>
        <v>2.3071104387292131E-2</v>
      </c>
      <c r="Z619" s="127"/>
      <c r="AA619" s="127"/>
      <c r="AF619" s="122"/>
      <c r="AG619" s="122"/>
      <c r="AH619" s="122"/>
      <c r="AI619" s="122"/>
      <c r="AJ619" s="122"/>
      <c r="AK619" s="122"/>
      <c r="AL619" s="122"/>
      <c r="AM619" s="122"/>
      <c r="AN619" s="122"/>
      <c r="AO619" s="122"/>
      <c r="AP619" s="122"/>
      <c r="AR619" s="126"/>
    </row>
    <row r="620" spans="1:44" x14ac:dyDescent="0.25">
      <c r="A620" s="257" t="s">
        <v>140</v>
      </c>
      <c r="B620" s="149"/>
      <c r="C620" s="204"/>
      <c r="D620" s="220">
        <v>-0.01</v>
      </c>
      <c r="E620" s="149"/>
      <c r="F620" s="223"/>
      <c r="G620" s="220">
        <v>-0.01</v>
      </c>
      <c r="H620" s="149"/>
      <c r="I620" s="223"/>
      <c r="J620" s="223"/>
      <c r="K620" s="220">
        <v>-0.01</v>
      </c>
      <c r="L620" s="149"/>
      <c r="M620" s="223"/>
      <c r="N620" s="223"/>
      <c r="O620" s="220">
        <v>-0.01</v>
      </c>
      <c r="P620" s="149"/>
      <c r="Q620" s="223"/>
      <c r="R620" s="223"/>
      <c r="S620" s="220">
        <v>-0.01</v>
      </c>
      <c r="T620" s="149"/>
      <c r="U620" s="223"/>
      <c r="AK620" s="44"/>
      <c r="AL620" s="44"/>
      <c r="AM620" s="44"/>
      <c r="AN620" s="44"/>
      <c r="AO620" s="44"/>
      <c r="AP620" s="44"/>
    </row>
    <row r="621" spans="1:44" x14ac:dyDescent="0.25">
      <c r="A621" s="206" t="s">
        <v>159</v>
      </c>
      <c r="B621" s="149"/>
      <c r="C621" s="204">
        <f t="shared" ref="C621:C632" si="127">C661+C699</f>
        <v>7</v>
      </c>
      <c r="D621" s="180">
        <v>264</v>
      </c>
      <c r="E621" s="168"/>
      <c r="F621" s="223">
        <f t="shared" ref="F621:F632" si="128">F661+F699</f>
        <v>-18</v>
      </c>
      <c r="G621" s="180">
        <f>G603</f>
        <v>268</v>
      </c>
      <c r="H621" s="168"/>
      <c r="I621" s="223">
        <f t="shared" ref="I621:I635" si="129">I661+I699</f>
        <v>-19</v>
      </c>
      <c r="J621" s="223"/>
      <c r="K621" s="180">
        <f>K603</f>
        <v>264</v>
      </c>
      <c r="L621" s="168"/>
      <c r="M621" s="223">
        <v>-18</v>
      </c>
      <c r="N621" s="223"/>
      <c r="O621" s="180" t="str">
        <f>O603</f>
        <v xml:space="preserve"> </v>
      </c>
      <c r="P621" s="168"/>
      <c r="Q621" s="223">
        <v>0</v>
      </c>
      <c r="R621" s="223"/>
      <c r="S621" s="180" t="str">
        <f>S603</f>
        <v xml:space="preserve"> </v>
      </c>
      <c r="T621" s="168"/>
      <c r="U621" s="111">
        <v>0</v>
      </c>
      <c r="W621" s="176" t="s">
        <v>0</v>
      </c>
      <c r="AK621" s="44"/>
      <c r="AL621" s="44"/>
      <c r="AM621" s="44"/>
      <c r="AN621" s="44"/>
      <c r="AO621" s="44"/>
      <c r="AP621" s="44"/>
    </row>
    <row r="622" spans="1:44" x14ac:dyDescent="0.25">
      <c r="A622" s="206" t="s">
        <v>160</v>
      </c>
      <c r="B622" s="149"/>
      <c r="C622" s="204">
        <f t="shared" si="127"/>
        <v>57.099999999999966</v>
      </c>
      <c r="D622" s="180">
        <v>98</v>
      </c>
      <c r="E622" s="168"/>
      <c r="F622" s="223">
        <f t="shared" si="128"/>
        <v>-56</v>
      </c>
      <c r="G622" s="180">
        <f>G604</f>
        <v>100</v>
      </c>
      <c r="H622" s="168"/>
      <c r="I622" s="223">
        <f t="shared" si="129"/>
        <v>-57</v>
      </c>
      <c r="J622" s="223"/>
      <c r="K622" s="180">
        <f>K604</f>
        <v>98</v>
      </c>
      <c r="L622" s="168"/>
      <c r="M622" s="223">
        <v>-56</v>
      </c>
      <c r="N622" s="223"/>
      <c r="O622" s="180" t="str">
        <f>O604</f>
        <v xml:space="preserve"> </v>
      </c>
      <c r="P622" s="168"/>
      <c r="Q622" s="223">
        <v>0</v>
      </c>
      <c r="R622" s="223"/>
      <c r="S622" s="180" t="str">
        <f>S604</f>
        <v xml:space="preserve"> </v>
      </c>
      <c r="T622" s="168"/>
      <c r="U622" s="111">
        <v>0</v>
      </c>
      <c r="W622" s="273"/>
      <c r="AJ622" s="44"/>
      <c r="AK622" s="44"/>
      <c r="AL622" s="44"/>
      <c r="AM622" s="44"/>
      <c r="AN622" s="44"/>
      <c r="AO622" s="44"/>
      <c r="AP622" s="44"/>
    </row>
    <row r="623" spans="1:44" x14ac:dyDescent="0.25">
      <c r="A623" s="206" t="s">
        <v>161</v>
      </c>
      <c r="B623" s="149"/>
      <c r="C623" s="204">
        <f t="shared" si="127"/>
        <v>71.866666666666703</v>
      </c>
      <c r="D623" s="180">
        <v>195</v>
      </c>
      <c r="E623" s="274"/>
      <c r="F623" s="223">
        <f t="shared" si="128"/>
        <v>-140</v>
      </c>
      <c r="G623" s="180">
        <f>G605</f>
        <v>200</v>
      </c>
      <c r="H623" s="274"/>
      <c r="I623" s="223">
        <f t="shared" si="129"/>
        <v>-144</v>
      </c>
      <c r="J623" s="223"/>
      <c r="K623" s="180">
        <f>K605</f>
        <v>195</v>
      </c>
      <c r="L623" s="274"/>
      <c r="M623" s="223">
        <v>-140</v>
      </c>
      <c r="N623" s="223"/>
      <c r="O623" s="180" t="str">
        <f>O605</f>
        <v xml:space="preserve"> </v>
      </c>
      <c r="P623" s="274"/>
      <c r="Q623" s="223">
        <v>0</v>
      </c>
      <c r="R623" s="223"/>
      <c r="S623" s="180" t="str">
        <f>S605</f>
        <v xml:space="preserve"> </v>
      </c>
      <c r="T623" s="274"/>
      <c r="U623" s="111">
        <v>0</v>
      </c>
      <c r="W623" s="275" t="s">
        <v>0</v>
      </c>
      <c r="AJ623" s="44"/>
      <c r="AK623" s="44"/>
      <c r="AL623" s="44"/>
      <c r="AM623" s="44"/>
      <c r="AN623" s="44"/>
      <c r="AO623" s="44"/>
      <c r="AP623" s="44"/>
    </row>
    <row r="624" spans="1:44" x14ac:dyDescent="0.25">
      <c r="A624" s="206" t="s">
        <v>160</v>
      </c>
      <c r="B624" s="149"/>
      <c r="C624" s="204">
        <f t="shared" si="127"/>
        <v>8475</v>
      </c>
      <c r="D624" s="180">
        <v>1.79</v>
      </c>
      <c r="E624" s="168"/>
      <c r="F624" s="223">
        <f t="shared" si="128"/>
        <v>-151</v>
      </c>
      <c r="G624" s="180">
        <f>G607</f>
        <v>1.83</v>
      </c>
      <c r="H624" s="168"/>
      <c r="I624" s="223">
        <f t="shared" si="129"/>
        <v>-155</v>
      </c>
      <c r="J624" s="223"/>
      <c r="K624" s="180">
        <f>K607</f>
        <v>1.79</v>
      </c>
      <c r="L624" s="168"/>
      <c r="M624" s="223">
        <v>-151</v>
      </c>
      <c r="N624" s="223"/>
      <c r="O624" s="180" t="str">
        <f>O607</f>
        <v xml:space="preserve"> </v>
      </c>
      <c r="P624" s="168"/>
      <c r="Q624" s="223">
        <v>0</v>
      </c>
      <c r="R624" s="223"/>
      <c r="S624" s="180" t="str">
        <f>S607</f>
        <v xml:space="preserve"> </v>
      </c>
      <c r="T624" s="168"/>
      <c r="U624" s="111">
        <v>0</v>
      </c>
      <c r="AJ624" s="44"/>
      <c r="AK624" s="44"/>
      <c r="AL624" s="44"/>
      <c r="AM624" s="44"/>
      <c r="AN624" s="44"/>
      <c r="AO624" s="44"/>
      <c r="AP624" s="44"/>
    </row>
    <row r="625" spans="1:44" x14ac:dyDescent="0.25">
      <c r="A625" s="206" t="s">
        <v>161</v>
      </c>
      <c r="B625" s="149"/>
      <c r="C625" s="204">
        <f t="shared" si="127"/>
        <v>44991</v>
      </c>
      <c r="D625" s="180">
        <v>1.46</v>
      </c>
      <c r="E625" s="168"/>
      <c r="F625" s="223">
        <f t="shared" si="128"/>
        <v>-657</v>
      </c>
      <c r="G625" s="180">
        <f>G608</f>
        <v>1.5</v>
      </c>
      <c r="H625" s="168"/>
      <c r="I625" s="223">
        <f t="shared" si="129"/>
        <v>-675</v>
      </c>
      <c r="J625" s="223"/>
      <c r="K625" s="180">
        <f>K608</f>
        <v>1.46</v>
      </c>
      <c r="L625" s="168"/>
      <c r="M625" s="223">
        <v>-657</v>
      </c>
      <c r="N625" s="223"/>
      <c r="O625" s="180" t="str">
        <f>O608</f>
        <v xml:space="preserve"> </v>
      </c>
      <c r="P625" s="168"/>
      <c r="Q625" s="223">
        <v>0</v>
      </c>
      <c r="R625" s="223"/>
      <c r="S625" s="180" t="str">
        <f>S608</f>
        <v xml:space="preserve"> </v>
      </c>
      <c r="T625" s="168"/>
      <c r="U625" s="111">
        <v>0</v>
      </c>
      <c r="W625" s="176" t="s">
        <v>0</v>
      </c>
      <c r="AJ625" s="44"/>
      <c r="AK625" s="44"/>
      <c r="AL625" s="44"/>
      <c r="AM625" s="44"/>
      <c r="AN625" s="44"/>
      <c r="AO625" s="44"/>
      <c r="AP625" s="44"/>
    </row>
    <row r="626" spans="1:44" x14ac:dyDescent="0.25">
      <c r="A626" s="134" t="s">
        <v>163</v>
      </c>
      <c r="B626" s="149"/>
      <c r="C626" s="204">
        <f t="shared" si="127"/>
        <v>35876</v>
      </c>
      <c r="D626" s="180">
        <v>5.47</v>
      </c>
      <c r="E626" s="168"/>
      <c r="F626" s="223">
        <f t="shared" si="128"/>
        <v>-1962</v>
      </c>
      <c r="G626" s="180">
        <f>G610</f>
        <v>5.6</v>
      </c>
      <c r="H626" s="168"/>
      <c r="I626" s="223">
        <f t="shared" si="129"/>
        <v>-2009</v>
      </c>
      <c r="J626" s="223"/>
      <c r="K626" s="180" t="e">
        <f>K610</f>
        <v>#REF!</v>
      </c>
      <c r="L626" s="168"/>
      <c r="M626" s="223" t="e">
        <v>#REF!</v>
      </c>
      <c r="N626" s="223"/>
      <c r="O626" s="180">
        <f>O610</f>
        <v>0</v>
      </c>
      <c r="P626" s="168"/>
      <c r="Q626" s="223">
        <v>0</v>
      </c>
      <c r="R626" s="223"/>
      <c r="S626" s="180">
        <f>S610</f>
        <v>0</v>
      </c>
      <c r="T626" s="168"/>
      <c r="U626" s="111">
        <v>0</v>
      </c>
      <c r="AJ626" s="44"/>
      <c r="AK626" s="44"/>
      <c r="AL626" s="44"/>
      <c r="AM626" s="44"/>
      <c r="AN626" s="44"/>
      <c r="AO626" s="44"/>
      <c r="AP626" s="44"/>
    </row>
    <row r="627" spans="1:44" x14ac:dyDescent="0.25">
      <c r="A627" s="134" t="s">
        <v>179</v>
      </c>
      <c r="B627" s="149"/>
      <c r="C627" s="204">
        <f t="shared" si="127"/>
        <v>307</v>
      </c>
      <c r="D627" s="180">
        <v>5.47</v>
      </c>
      <c r="E627" s="168"/>
      <c r="F627" s="223">
        <f t="shared" si="128"/>
        <v>-17</v>
      </c>
      <c r="G627" s="180">
        <f>G611</f>
        <v>5.6</v>
      </c>
      <c r="H627" s="168"/>
      <c r="I627" s="223">
        <f t="shared" si="129"/>
        <v>-17</v>
      </c>
      <c r="J627" s="223"/>
      <c r="K627" s="180" t="e">
        <f>K611</f>
        <v>#REF!</v>
      </c>
      <c r="L627" s="168"/>
      <c r="M627" s="223" t="e">
        <v>#REF!</v>
      </c>
      <c r="N627" s="223"/>
      <c r="O627" s="180">
        <f>O611</f>
        <v>0</v>
      </c>
      <c r="P627" s="168"/>
      <c r="Q627" s="223">
        <v>0</v>
      </c>
      <c r="R627" s="223"/>
      <c r="S627" s="180">
        <f>S611</f>
        <v>0</v>
      </c>
      <c r="T627" s="168"/>
      <c r="U627" s="111">
        <v>0</v>
      </c>
      <c r="AJ627" s="44"/>
      <c r="AK627" s="44"/>
      <c r="AL627" s="44"/>
      <c r="AM627" s="44"/>
      <c r="AN627" s="44"/>
      <c r="AO627" s="44"/>
      <c r="AP627" s="44"/>
    </row>
    <row r="628" spans="1:44" x14ac:dyDescent="0.25">
      <c r="A628" s="206" t="s">
        <v>165</v>
      </c>
      <c r="B628" s="149"/>
      <c r="C628" s="204">
        <f t="shared" si="127"/>
        <v>4639573.3333333302</v>
      </c>
      <c r="D628" s="260">
        <v>5.7730000000000006</v>
      </c>
      <c r="E628" s="206" t="s">
        <v>89</v>
      </c>
      <c r="F628" s="223">
        <f t="shared" si="128"/>
        <v>-2678</v>
      </c>
      <c r="G628" s="260">
        <f>G613</f>
        <v>5.9119999999999999</v>
      </c>
      <c r="H628" s="206" t="s">
        <v>89</v>
      </c>
      <c r="I628" s="223">
        <f t="shared" si="129"/>
        <v>-2743</v>
      </c>
      <c r="J628" s="223"/>
      <c r="K628" s="260" t="str">
        <f>K613</f>
        <v xml:space="preserve"> </v>
      </c>
      <c r="L628" s="206" t="s">
        <v>0</v>
      </c>
      <c r="M628" s="223">
        <v>0</v>
      </c>
      <c r="N628" s="223"/>
      <c r="O628" s="260" t="e">
        <f>O613</f>
        <v>#REF!</v>
      </c>
      <c r="P628" s="206" t="s">
        <v>89</v>
      </c>
      <c r="Q628" s="223" t="e">
        <v>#REF!</v>
      </c>
      <c r="R628" s="223"/>
      <c r="S628" s="260" t="e">
        <f>S613</f>
        <v>#REF!</v>
      </c>
      <c r="T628" s="206" t="s">
        <v>89</v>
      </c>
      <c r="U628" s="111" t="e">
        <v>#REF!</v>
      </c>
      <c r="AJ628" s="44"/>
      <c r="AK628" s="44"/>
      <c r="AL628" s="44"/>
      <c r="AM628" s="44"/>
      <c r="AN628" s="44"/>
      <c r="AO628" s="44"/>
      <c r="AP628" s="44"/>
    </row>
    <row r="629" spans="1:44" x14ac:dyDescent="0.25">
      <c r="A629" s="206" t="s">
        <v>132</v>
      </c>
      <c r="B629" s="149"/>
      <c r="C629" s="204">
        <f t="shared" si="127"/>
        <v>8425606.6666666716</v>
      </c>
      <c r="D629" s="260">
        <v>5.2879999999999994</v>
      </c>
      <c r="E629" s="206" t="s">
        <v>89</v>
      </c>
      <c r="F629" s="223">
        <f t="shared" si="128"/>
        <v>-4455</v>
      </c>
      <c r="G629" s="260">
        <f>G614</f>
        <v>5.41</v>
      </c>
      <c r="H629" s="206" t="s">
        <v>89</v>
      </c>
      <c r="I629" s="223">
        <f t="shared" si="129"/>
        <v>-4558</v>
      </c>
      <c r="J629" s="223"/>
      <c r="K629" s="260" t="str">
        <f>K614</f>
        <v xml:space="preserve"> </v>
      </c>
      <c r="L629" s="206" t="s">
        <v>0</v>
      </c>
      <c r="M629" s="223">
        <v>0</v>
      </c>
      <c r="N629" s="223"/>
      <c r="O629" s="260" t="e">
        <f>O614</f>
        <v>#REF!</v>
      </c>
      <c r="P629" s="206" t="s">
        <v>89</v>
      </c>
      <c r="Q629" s="223" t="e">
        <v>#REF!</v>
      </c>
      <c r="R629" s="223"/>
      <c r="S629" s="260" t="e">
        <f>S614</f>
        <v>#REF!</v>
      </c>
      <c r="T629" s="206" t="s">
        <v>89</v>
      </c>
      <c r="U629" s="111" t="e">
        <v>#REF!</v>
      </c>
      <c r="AJ629" s="44"/>
      <c r="AK629" s="44"/>
      <c r="AL629" s="44"/>
      <c r="AM629" s="44"/>
      <c r="AN629" s="44"/>
      <c r="AO629" s="44"/>
      <c r="AP629" s="44"/>
    </row>
    <row r="630" spans="1:44" x14ac:dyDescent="0.25">
      <c r="A630" s="206" t="s">
        <v>133</v>
      </c>
      <c r="B630" s="149"/>
      <c r="C630" s="204">
        <f t="shared" si="127"/>
        <v>8751.9666666666617</v>
      </c>
      <c r="D630" s="262">
        <v>57</v>
      </c>
      <c r="E630" s="206" t="s">
        <v>89</v>
      </c>
      <c r="F630" s="223">
        <f t="shared" si="128"/>
        <v>-49</v>
      </c>
      <c r="G630" s="262">
        <f>G615</f>
        <v>58</v>
      </c>
      <c r="H630" s="206" t="s">
        <v>89</v>
      </c>
      <c r="I630" s="223">
        <f t="shared" si="129"/>
        <v>-51</v>
      </c>
      <c r="J630" s="223"/>
      <c r="K630" s="262" t="str">
        <f>K615</f>
        <v xml:space="preserve"> </v>
      </c>
      <c r="L630" s="206" t="s">
        <v>0</v>
      </c>
      <c r="M630" s="223">
        <v>0</v>
      </c>
      <c r="N630" s="223"/>
      <c r="O630" s="262" t="e">
        <f>O615</f>
        <v>#DIV/0!</v>
      </c>
      <c r="P630" s="206" t="s">
        <v>89</v>
      </c>
      <c r="Q630" s="223" t="e">
        <v>#DIV/0!</v>
      </c>
      <c r="R630" s="223"/>
      <c r="S630" s="262" t="e">
        <f>S615</f>
        <v>#DIV/0!</v>
      </c>
      <c r="T630" s="206" t="s">
        <v>89</v>
      </c>
      <c r="U630" s="111" t="e">
        <v>#DIV/0!</v>
      </c>
      <c r="AJ630" s="44"/>
      <c r="AK630" s="44"/>
      <c r="AL630" s="44"/>
      <c r="AM630" s="44"/>
      <c r="AN630" s="44"/>
      <c r="AO630" s="44"/>
      <c r="AP630" s="44"/>
    </row>
    <row r="631" spans="1:44" x14ac:dyDescent="0.25">
      <c r="A631" s="206" t="s">
        <v>182</v>
      </c>
      <c r="B631" s="149"/>
      <c r="C631" s="204">
        <f t="shared" si="127"/>
        <v>135.96666666666667</v>
      </c>
      <c r="D631" s="173">
        <v>60</v>
      </c>
      <c r="E631" s="149"/>
      <c r="F631" s="223">
        <f t="shared" si="128"/>
        <v>8158</v>
      </c>
      <c r="G631" s="173">
        <v>60</v>
      </c>
      <c r="H631" s="149"/>
      <c r="I631" s="223">
        <f t="shared" si="129"/>
        <v>8158</v>
      </c>
      <c r="J631" s="223"/>
      <c r="K631" s="173" t="s">
        <v>0</v>
      </c>
      <c r="L631" s="149"/>
      <c r="M631" s="223">
        <v>0</v>
      </c>
      <c r="N631" s="223"/>
      <c r="O631" s="173" t="e">
        <v>#DIV/0!</v>
      </c>
      <c r="P631" s="149"/>
      <c r="Q631" s="223" t="e">
        <v>#DIV/0!</v>
      </c>
      <c r="R631" s="223"/>
      <c r="S631" s="173" t="e">
        <v>#DIV/0!</v>
      </c>
      <c r="T631" s="149"/>
      <c r="U631" s="111" t="e">
        <v>#DIV/0!</v>
      </c>
      <c r="AJ631" s="44"/>
      <c r="AK631" s="44"/>
      <c r="AL631" s="44"/>
      <c r="AM631" s="44"/>
      <c r="AN631" s="44"/>
      <c r="AO631" s="44"/>
      <c r="AP631" s="44"/>
    </row>
    <row r="632" spans="1:44" x14ac:dyDescent="0.25">
      <c r="A632" s="206" t="s">
        <v>183</v>
      </c>
      <c r="B632" s="149"/>
      <c r="C632" s="204">
        <f t="shared" si="127"/>
        <v>53526</v>
      </c>
      <c r="D632" s="227">
        <v>-30</v>
      </c>
      <c r="E632" s="223" t="s">
        <v>89</v>
      </c>
      <c r="F632" s="223">
        <f t="shared" si="128"/>
        <v>-16058</v>
      </c>
      <c r="G632" s="227">
        <v>-30</v>
      </c>
      <c r="H632" s="223" t="s">
        <v>89</v>
      </c>
      <c r="I632" s="223">
        <f t="shared" si="129"/>
        <v>-16058</v>
      </c>
      <c r="J632" s="223"/>
      <c r="K632" s="227">
        <v>-30</v>
      </c>
      <c r="L632" s="223" t="s">
        <v>89</v>
      </c>
      <c r="M632" s="223">
        <v>-16058</v>
      </c>
      <c r="N632" s="223"/>
      <c r="O632" s="227" t="s">
        <v>0</v>
      </c>
      <c r="P632" s="223" t="s">
        <v>0</v>
      </c>
      <c r="Q632" s="223">
        <v>0</v>
      </c>
      <c r="R632" s="223"/>
      <c r="S632" s="227">
        <v>0</v>
      </c>
      <c r="T632" s="223" t="s">
        <v>0</v>
      </c>
      <c r="U632" s="111">
        <v>0</v>
      </c>
      <c r="AJ632" s="44"/>
      <c r="AK632" s="44"/>
      <c r="AL632" s="44"/>
      <c r="AM632" s="44"/>
      <c r="AN632" s="44"/>
      <c r="AO632" s="44"/>
      <c r="AP632" s="44"/>
    </row>
    <row r="633" spans="1:44" s="120" customFormat="1" hidden="1" x14ac:dyDescent="0.25">
      <c r="A633" s="119" t="s">
        <v>167</v>
      </c>
      <c r="C633" s="214">
        <f>C628</f>
        <v>4639573.3333333302</v>
      </c>
      <c r="D633" s="128">
        <v>0</v>
      </c>
      <c r="E633" s="122"/>
      <c r="F633" s="123"/>
      <c r="G633" s="124">
        <f>G616</f>
        <v>0</v>
      </c>
      <c r="H633" s="256" t="s">
        <v>89</v>
      </c>
      <c r="I633" s="223">
        <f t="shared" si="129"/>
        <v>0</v>
      </c>
      <c r="J633" s="223"/>
      <c r="K633" s="124" t="str">
        <f>K616</f>
        <v xml:space="preserve"> </v>
      </c>
      <c r="L633" s="256" t="s">
        <v>0</v>
      </c>
      <c r="M633" s="223">
        <v>0</v>
      </c>
      <c r="N633" s="223"/>
      <c r="O633" s="124" t="str">
        <f>O616</f>
        <v xml:space="preserve"> </v>
      </c>
      <c r="P633" s="256" t="s">
        <v>0</v>
      </c>
      <c r="Q633" s="223">
        <v>0</v>
      </c>
      <c r="R633" s="223"/>
      <c r="S633" s="124">
        <f>S616</f>
        <v>0</v>
      </c>
      <c r="T633" s="256" t="s">
        <v>89</v>
      </c>
      <c r="U633" s="111">
        <v>0</v>
      </c>
      <c r="V633" s="120" t="s">
        <v>0</v>
      </c>
      <c r="W633" s="112"/>
      <c r="Z633" s="127"/>
      <c r="AA633" s="127"/>
      <c r="AF633" s="122"/>
      <c r="AG633" s="122"/>
      <c r="AH633" s="122"/>
      <c r="AI633" s="122"/>
      <c r="AJ633" s="122"/>
      <c r="AK633" s="122"/>
      <c r="AL633" s="122"/>
      <c r="AM633" s="122"/>
      <c r="AN633" s="122"/>
      <c r="AO633" s="122"/>
      <c r="AP633" s="122"/>
      <c r="AR633" s="126"/>
    </row>
    <row r="634" spans="1:44" s="120" customFormat="1" hidden="1" x14ac:dyDescent="0.25">
      <c r="A634" s="119" t="s">
        <v>168</v>
      </c>
      <c r="C634" s="214">
        <f>C629</f>
        <v>8425606.6666666716</v>
      </c>
      <c r="D634" s="128">
        <v>0</v>
      </c>
      <c r="E634" s="122"/>
      <c r="F634" s="123"/>
      <c r="G634" s="124">
        <f>G617</f>
        <v>0</v>
      </c>
      <c r="H634" s="256" t="s">
        <v>89</v>
      </c>
      <c r="I634" s="223">
        <f t="shared" si="129"/>
        <v>0</v>
      </c>
      <c r="J634" s="223"/>
      <c r="K634" s="124" t="str">
        <f>K617</f>
        <v xml:space="preserve"> </v>
      </c>
      <c r="L634" s="256" t="s">
        <v>0</v>
      </c>
      <c r="M634" s="223">
        <v>0</v>
      </c>
      <c r="N634" s="223"/>
      <c r="O634" s="124" t="str">
        <f>O617</f>
        <v xml:space="preserve"> </v>
      </c>
      <c r="P634" s="256" t="s">
        <v>0</v>
      </c>
      <c r="Q634" s="223">
        <v>0</v>
      </c>
      <c r="R634" s="223"/>
      <c r="S634" s="124">
        <f>S617</f>
        <v>0</v>
      </c>
      <c r="T634" s="256" t="s">
        <v>89</v>
      </c>
      <c r="U634" s="111">
        <v>0</v>
      </c>
      <c r="V634" s="120" t="s">
        <v>0</v>
      </c>
      <c r="W634" s="112"/>
      <c r="Z634" s="127"/>
      <c r="AA634" s="127"/>
      <c r="AF634" s="122"/>
      <c r="AG634" s="122"/>
      <c r="AH634" s="122"/>
      <c r="AI634" s="122"/>
      <c r="AJ634" s="122"/>
      <c r="AK634" s="122"/>
      <c r="AL634" s="122"/>
      <c r="AM634" s="122"/>
      <c r="AN634" s="122"/>
      <c r="AO634" s="122"/>
      <c r="AP634" s="122"/>
      <c r="AR634" s="126"/>
    </row>
    <row r="635" spans="1:44" x14ac:dyDescent="0.25">
      <c r="A635" s="149" t="s">
        <v>114</v>
      </c>
      <c r="B635" s="276"/>
      <c r="C635" s="204">
        <f>C675+C713</f>
        <v>922516135.814906</v>
      </c>
      <c r="D635" s="251"/>
      <c r="E635" s="149"/>
      <c r="F635" s="111">
        <f>F675+F713</f>
        <v>72786063</v>
      </c>
      <c r="G635" s="111"/>
      <c r="H635" s="149"/>
      <c r="I635" s="111">
        <f t="shared" si="129"/>
        <v>74506968</v>
      </c>
      <c r="J635" s="111"/>
      <c r="K635" s="111"/>
      <c r="L635" s="149"/>
      <c r="M635" s="111" t="e">
        <f>SUM(M603:M634)</f>
        <v>#REF!</v>
      </c>
      <c r="N635" s="111"/>
      <c r="O635" s="111"/>
      <c r="P635" s="149"/>
      <c r="Q635" s="111" t="e">
        <f>SUM(Q603:Q634)</f>
        <v>#REF!</v>
      </c>
      <c r="R635" s="111"/>
      <c r="S635" s="111"/>
      <c r="T635" s="149"/>
      <c r="U635" s="111" t="e">
        <f>SUM(U603:U634)</f>
        <v>#REF!</v>
      </c>
      <c r="X635" s="277"/>
      <c r="Y635" s="277"/>
      <c r="AJ635" s="44"/>
      <c r="AK635" s="44"/>
      <c r="AL635" s="44"/>
      <c r="AM635" s="44"/>
      <c r="AN635" s="44"/>
      <c r="AO635" s="44"/>
      <c r="AP635" s="44"/>
    </row>
    <row r="636" spans="1:44" x14ac:dyDescent="0.25">
      <c r="A636" s="149" t="s">
        <v>92</v>
      </c>
      <c r="B636" s="201"/>
      <c r="C636" s="229">
        <f>C676+C714</f>
        <v>6097942.0909218071</v>
      </c>
      <c r="D636" s="134"/>
      <c r="E636" s="134"/>
      <c r="F636" s="132">
        <f>F676+F714</f>
        <v>526986.3902728206</v>
      </c>
      <c r="G636" s="134"/>
      <c r="H636" s="134"/>
      <c r="I636" s="132">
        <f>F636</f>
        <v>526986.3902728206</v>
      </c>
      <c r="J636" s="133"/>
      <c r="K636" s="134"/>
      <c r="L636" s="134"/>
      <c r="M636" s="132" t="e">
        <f>$I$636*V640/($V$640+$W$640+$X$640)</f>
        <v>#DIV/0!</v>
      </c>
      <c r="N636" s="133"/>
      <c r="O636" s="134"/>
      <c r="P636" s="134"/>
      <c r="Q636" s="132" t="e">
        <f>$I$636*W640/($V$640+$W$640+$X$640)</f>
        <v>#DIV/0!</v>
      </c>
      <c r="R636" s="133"/>
      <c r="S636" s="134"/>
      <c r="T636" s="134"/>
      <c r="U636" s="132" t="e">
        <f>$I$636*X640/($V$640+$W$640+$X$640)</f>
        <v>#DIV/0!</v>
      </c>
      <c r="V636" s="278"/>
      <c r="W636" s="279"/>
      <c r="AJ636" s="44"/>
      <c r="AK636" s="44"/>
      <c r="AL636" s="44"/>
      <c r="AM636" s="44"/>
      <c r="AN636" s="44"/>
      <c r="AO636" s="44"/>
      <c r="AP636" s="44"/>
    </row>
    <row r="637" spans="1:44" ht="16.5" thickBot="1" x14ac:dyDescent="0.3">
      <c r="A637" s="149" t="s">
        <v>115</v>
      </c>
      <c r="B637" s="149"/>
      <c r="C637" s="265">
        <f>SUM(C635)+C636</f>
        <v>928614077.90582776</v>
      </c>
      <c r="D637" s="245"/>
      <c r="E637" s="232"/>
      <c r="F637" s="233">
        <f>F635+F636</f>
        <v>73313049.390272826</v>
      </c>
      <c r="G637" s="245"/>
      <c r="H637" s="232"/>
      <c r="I637" s="233">
        <f>I635+I636</f>
        <v>75033954.390272826</v>
      </c>
      <c r="J637" s="233"/>
      <c r="K637" s="245"/>
      <c r="L637" s="232"/>
      <c r="M637" s="233" t="e">
        <f>M635+M636</f>
        <v>#REF!</v>
      </c>
      <c r="N637" s="233"/>
      <c r="O637" s="245"/>
      <c r="P637" s="232"/>
      <c r="Q637" s="233" t="e">
        <f>Q635+Q636</f>
        <v>#REF!</v>
      </c>
      <c r="R637" s="233"/>
      <c r="S637" s="245"/>
      <c r="T637" s="232"/>
      <c r="U637" s="233" t="e">
        <f>U635+U636</f>
        <v>#REF!</v>
      </c>
      <c r="V637" s="139" t="s">
        <v>146</v>
      </c>
      <c r="W637" s="140">
        <v>75033970.194648847</v>
      </c>
      <c r="X637" s="141">
        <v>-7.4058551390443997E-2</v>
      </c>
      <c r="Y637" s="142"/>
      <c r="Z637" s="52" t="s">
        <v>0</v>
      </c>
      <c r="AJ637" s="44"/>
      <c r="AK637" s="44"/>
      <c r="AL637" s="44"/>
      <c r="AM637" s="44"/>
      <c r="AN637" s="44"/>
      <c r="AO637" s="44"/>
      <c r="AP637" s="44"/>
    </row>
    <row r="638" spans="1:44" ht="16.5" thickTop="1" x14ac:dyDescent="0.25">
      <c r="A638" s="149"/>
      <c r="B638" s="149"/>
      <c r="C638" s="280"/>
      <c r="D638" s="249"/>
      <c r="E638" s="238"/>
      <c r="F638" s="207"/>
      <c r="G638" s="249"/>
      <c r="H638" s="238"/>
      <c r="I638" s="207"/>
      <c r="J638" s="207"/>
      <c r="K638" s="249"/>
      <c r="L638" s="238"/>
      <c r="M638" s="207"/>
      <c r="N638" s="207"/>
      <c r="O638" s="249"/>
      <c r="P638" s="238"/>
      <c r="Q638" s="207"/>
      <c r="R638" s="207"/>
      <c r="S638" s="249"/>
      <c r="T638" s="238"/>
      <c r="U638" s="281" t="s">
        <v>0</v>
      </c>
      <c r="V638" s="150" t="s">
        <v>96</v>
      </c>
      <c r="W638" s="151">
        <f>W637-I637</f>
        <v>15.804376021027565</v>
      </c>
      <c r="X638" s="282" t="s">
        <v>0</v>
      </c>
      <c r="Y638" s="142"/>
      <c r="Z638" s="52"/>
      <c r="AJ638" s="44"/>
      <c r="AK638" s="44"/>
      <c r="AL638" s="44"/>
      <c r="AM638" s="44"/>
      <c r="AN638" s="44"/>
      <c r="AO638" s="44"/>
      <c r="AP638" s="44"/>
    </row>
    <row r="639" spans="1:44" hidden="1" x14ac:dyDescent="0.25">
      <c r="A639" s="149"/>
      <c r="B639" s="149"/>
      <c r="C639" s="280"/>
      <c r="D639" s="249"/>
      <c r="E639" s="238"/>
      <c r="F639" s="207"/>
      <c r="G639" s="249"/>
      <c r="H639" s="238"/>
      <c r="I639" s="207"/>
      <c r="J639" s="207"/>
      <c r="K639" s="249"/>
      <c r="L639" s="238"/>
      <c r="M639" s="207"/>
      <c r="N639" s="207"/>
      <c r="O639" s="249"/>
      <c r="P639" s="238"/>
      <c r="Q639" s="207"/>
      <c r="R639" s="207"/>
      <c r="S639" s="249"/>
      <c r="T639" s="238"/>
      <c r="U639" s="281" t="s">
        <v>0</v>
      </c>
      <c r="V639" s="193"/>
      <c r="W639" s="193"/>
      <c r="X639" s="153"/>
      <c r="Y639" s="142"/>
      <c r="Z639" s="52"/>
      <c r="AJ639" s="44"/>
      <c r="AK639" s="44"/>
      <c r="AL639" s="44"/>
      <c r="AM639" s="44"/>
      <c r="AN639" s="44"/>
      <c r="AO639" s="44"/>
      <c r="AP639" s="44"/>
    </row>
    <row r="640" spans="1:44" hidden="1" x14ac:dyDescent="0.25">
      <c r="A640" s="149"/>
      <c r="B640" s="149"/>
      <c r="C640" s="169"/>
      <c r="D640" s="226" t="s">
        <v>0</v>
      </c>
      <c r="E640" s="149"/>
      <c r="F640" s="111" t="s">
        <v>0</v>
      </c>
      <c r="G640" s="250" t="s">
        <v>0</v>
      </c>
      <c r="H640" s="149"/>
      <c r="I640" s="111" t="s">
        <v>0</v>
      </c>
      <c r="J640" s="111"/>
      <c r="K640" s="250" t="s">
        <v>0</v>
      </c>
      <c r="L640" s="149"/>
      <c r="M640" s="111" t="s">
        <v>0</v>
      </c>
      <c r="N640" s="111"/>
      <c r="O640" s="250" t="s">
        <v>0</v>
      </c>
      <c r="P640" s="149"/>
      <c r="Q640" s="111" t="s">
        <v>0</v>
      </c>
      <c r="R640" s="111"/>
      <c r="S640" s="250" t="s">
        <v>0</v>
      </c>
      <c r="T640" s="149"/>
      <c r="U640" s="111" t="s">
        <v>0</v>
      </c>
      <c r="V640" s="126"/>
      <c r="W640" s="126"/>
      <c r="X640" s="126"/>
      <c r="Y640" s="241"/>
      <c r="AJ640" s="44"/>
      <c r="AK640" s="44"/>
      <c r="AL640" s="44"/>
      <c r="AM640" s="44"/>
      <c r="AN640" s="44"/>
      <c r="AO640" s="44"/>
      <c r="AP640" s="44"/>
    </row>
    <row r="641" spans="1:42" hidden="1" x14ac:dyDescent="0.25">
      <c r="A641" s="168" t="s">
        <v>177</v>
      </c>
      <c r="B641" s="149"/>
      <c r="C641" s="149"/>
      <c r="D641" s="111"/>
      <c r="E641" s="149"/>
      <c r="F641" s="149"/>
      <c r="G641" s="111"/>
      <c r="H641" s="149"/>
      <c r="I641" s="149"/>
      <c r="J641" s="149"/>
      <c r="K641" s="111"/>
      <c r="L641" s="149"/>
      <c r="M641" s="149"/>
      <c r="N641" s="149"/>
      <c r="O641" s="111"/>
      <c r="P641" s="149"/>
      <c r="Q641" s="149"/>
      <c r="R641" s="149"/>
      <c r="S641" s="111"/>
      <c r="T641" s="149"/>
      <c r="U641" s="149"/>
      <c r="AJ641" s="44"/>
      <c r="AK641" s="44"/>
      <c r="AL641" s="44"/>
      <c r="AM641" s="44"/>
      <c r="AN641" s="44"/>
      <c r="AO641" s="44"/>
      <c r="AP641" s="44"/>
    </row>
    <row r="642" spans="1:42" hidden="1" x14ac:dyDescent="0.25">
      <c r="A642" s="134" t="s">
        <v>184</v>
      </c>
      <c r="B642" s="149"/>
      <c r="C642" s="149"/>
      <c r="D642" s="111"/>
      <c r="E642" s="149"/>
      <c r="F642" s="149"/>
      <c r="G642" s="111"/>
      <c r="H642" s="149"/>
      <c r="I642" s="149"/>
      <c r="J642" s="149"/>
      <c r="K642" s="111"/>
      <c r="L642" s="149"/>
      <c r="M642" s="149"/>
      <c r="N642" s="149"/>
      <c r="O642" s="111"/>
      <c r="P642" s="149"/>
      <c r="Q642" s="149"/>
      <c r="R642" s="149"/>
      <c r="S642" s="111"/>
      <c r="T642" s="149"/>
      <c r="U642" s="149"/>
      <c r="W642" s="154" t="s">
        <v>0</v>
      </c>
      <c r="AJ642" s="44"/>
      <c r="AK642" s="44"/>
      <c r="AL642" s="44"/>
      <c r="AM642" s="44"/>
      <c r="AN642" s="44"/>
      <c r="AO642" s="44"/>
      <c r="AP642" s="44"/>
    </row>
    <row r="643" spans="1:42" hidden="1" x14ac:dyDescent="0.25">
      <c r="A643" s="206"/>
      <c r="B643" s="149"/>
      <c r="C643" s="149"/>
      <c r="D643" s="111"/>
      <c r="E643" s="149"/>
      <c r="F643" s="149"/>
      <c r="G643" s="111"/>
      <c r="H643" s="149"/>
      <c r="I643" s="149"/>
      <c r="J643" s="149"/>
      <c r="K643" s="111"/>
      <c r="L643" s="149"/>
      <c r="M643" s="149"/>
      <c r="N643" s="149"/>
      <c r="O643" s="111"/>
      <c r="P643" s="149"/>
      <c r="Q643" s="149"/>
      <c r="R643" s="149"/>
      <c r="S643" s="111"/>
      <c r="T643" s="149"/>
      <c r="U643" s="149"/>
      <c r="V643" s="44"/>
      <c r="W643" s="91"/>
      <c r="X643" s="91"/>
      <c r="Y643" s="91"/>
      <c r="Z643" s="44"/>
      <c r="AA643" s="44"/>
      <c r="AB643" s="44"/>
      <c r="AC643" s="44"/>
      <c r="AD643" s="44"/>
      <c r="AE643" s="44"/>
      <c r="AF643" s="44"/>
      <c r="AG643" s="44"/>
      <c r="AH643" s="44"/>
      <c r="AI643" s="44"/>
      <c r="AJ643" s="44"/>
      <c r="AK643" s="44"/>
      <c r="AL643" s="44"/>
      <c r="AM643" s="44"/>
      <c r="AN643" s="44"/>
      <c r="AO643" s="44"/>
      <c r="AP643" s="44"/>
    </row>
    <row r="644" spans="1:42" hidden="1" x14ac:dyDescent="0.25">
      <c r="A644" s="206" t="s">
        <v>127</v>
      </c>
      <c r="B644" s="149"/>
      <c r="C644" s="204"/>
      <c r="D644" s="111"/>
      <c r="E644" s="149"/>
      <c r="F644" s="149"/>
      <c r="G644" s="111"/>
      <c r="H644" s="149"/>
      <c r="I644" s="149"/>
      <c r="J644" s="149"/>
      <c r="K644" s="111"/>
      <c r="L644" s="149"/>
      <c r="M644" s="149"/>
      <c r="N644" s="149"/>
      <c r="O644" s="111"/>
      <c r="P644" s="149"/>
      <c r="Q644" s="149"/>
      <c r="R644" s="149"/>
      <c r="S644" s="111"/>
      <c r="T644" s="149"/>
      <c r="U644" s="149"/>
      <c r="V644" s="44"/>
      <c r="W644" s="91"/>
      <c r="X644" s="91"/>
      <c r="Y644" s="91"/>
      <c r="Z644" s="44"/>
      <c r="AA644" s="44"/>
      <c r="AB644" s="44"/>
      <c r="AC644" s="44"/>
      <c r="AD644" s="44"/>
      <c r="AE644" s="44"/>
      <c r="AF644" s="44"/>
      <c r="AG644" s="44"/>
      <c r="AH644" s="44"/>
      <c r="AI644" s="44"/>
      <c r="AJ644" s="44"/>
      <c r="AK644" s="44"/>
      <c r="AL644" s="44"/>
      <c r="AM644" s="44"/>
      <c r="AN644" s="44"/>
      <c r="AO644" s="44"/>
      <c r="AP644" s="44"/>
    </row>
    <row r="645" spans="1:42" hidden="1" x14ac:dyDescent="0.25">
      <c r="A645" s="206" t="s">
        <v>159</v>
      </c>
      <c r="B645" s="149"/>
      <c r="C645" s="204">
        <v>389.06666666666672</v>
      </c>
      <c r="D645" s="173">
        <v>264</v>
      </c>
      <c r="E645" s="206"/>
      <c r="F645" s="223">
        <f>ROUND(D645*C645,0)</f>
        <v>102714</v>
      </c>
      <c r="G645" s="173">
        <f>$G$603</f>
        <v>268</v>
      </c>
      <c r="H645" s="206"/>
      <c r="I645" s="223">
        <f>ROUND(G645*$C645,0)</f>
        <v>104270</v>
      </c>
      <c r="J645" s="223"/>
      <c r="K645" s="173">
        <f>$K$603</f>
        <v>264</v>
      </c>
      <c r="L645" s="206"/>
      <c r="M645" s="223">
        <f>ROUND(K645*$C645,0)</f>
        <v>102714</v>
      </c>
      <c r="N645" s="223"/>
      <c r="O645" s="173" t="str">
        <f>$O$603</f>
        <v xml:space="preserve"> </v>
      </c>
      <c r="P645" s="206"/>
      <c r="Q645" s="223">
        <f>ROUND(O645*$C645,0)</f>
        <v>0</v>
      </c>
      <c r="R645" s="223"/>
      <c r="S645" s="173" t="str">
        <f>$S$603</f>
        <v xml:space="preserve"> </v>
      </c>
      <c r="T645" s="206"/>
      <c r="U645" s="223">
        <f>ROUND(S645*$C645,0)</f>
        <v>0</v>
      </c>
      <c r="X645" s="91"/>
      <c r="Y645" s="91"/>
      <c r="Z645" s="44"/>
      <c r="AA645" s="44"/>
      <c r="AB645" s="44"/>
      <c r="AC645" s="44"/>
      <c r="AD645" s="44"/>
      <c r="AE645" s="44"/>
      <c r="AF645" s="44"/>
      <c r="AG645" s="44"/>
      <c r="AH645" s="44"/>
      <c r="AI645" s="44"/>
      <c r="AJ645" s="44"/>
      <c r="AK645" s="44"/>
      <c r="AL645" s="44"/>
      <c r="AM645" s="44"/>
      <c r="AN645" s="44"/>
      <c r="AO645" s="44"/>
      <c r="AP645" s="44"/>
    </row>
    <row r="646" spans="1:42" hidden="1" x14ac:dyDescent="0.25">
      <c r="A646" s="206" t="s">
        <v>160</v>
      </c>
      <c r="B646" s="149"/>
      <c r="C646" s="204">
        <v>7908.9999999999536</v>
      </c>
      <c r="D646" s="173">
        <v>98</v>
      </c>
      <c r="E646" s="206"/>
      <c r="F646" s="223">
        <f>ROUND(D646*C646,0)</f>
        <v>775082</v>
      </c>
      <c r="G646" s="173">
        <f>$G$604</f>
        <v>100</v>
      </c>
      <c r="H646" s="206"/>
      <c r="I646" s="223">
        <f>ROUND(G646*$C646,0)</f>
        <v>790900</v>
      </c>
      <c r="J646" s="223"/>
      <c r="K646" s="173">
        <f>$K$604</f>
        <v>98</v>
      </c>
      <c r="L646" s="206"/>
      <c r="M646" s="223">
        <f>ROUND(K646*$C646,0)</f>
        <v>775082</v>
      </c>
      <c r="N646" s="223"/>
      <c r="O646" s="173" t="str">
        <f>$O$604</f>
        <v xml:space="preserve"> </v>
      </c>
      <c r="P646" s="206"/>
      <c r="Q646" s="223">
        <f>ROUND(O646*$C646,0)</f>
        <v>0</v>
      </c>
      <c r="R646" s="223"/>
      <c r="S646" s="173" t="str">
        <f>$S$604</f>
        <v xml:space="preserve"> </v>
      </c>
      <c r="T646" s="206"/>
      <c r="U646" s="223">
        <f>ROUND(S646*$C646,0)</f>
        <v>0</v>
      </c>
      <c r="X646" s="91"/>
      <c r="Y646" s="91"/>
      <c r="Z646" s="44"/>
      <c r="AA646" s="44"/>
      <c r="AB646" s="44"/>
      <c r="AC646" s="44"/>
      <c r="AD646" s="44"/>
      <c r="AE646" s="44"/>
      <c r="AF646" s="44"/>
      <c r="AG646" s="44"/>
      <c r="AH646" s="44"/>
      <c r="AI646" s="44"/>
      <c r="AJ646" s="44"/>
      <c r="AK646" s="44"/>
      <c r="AL646" s="44"/>
      <c r="AM646" s="44"/>
      <c r="AN646" s="44"/>
      <c r="AO646" s="44"/>
      <c r="AP646" s="44"/>
    </row>
    <row r="647" spans="1:42" hidden="1" x14ac:dyDescent="0.25">
      <c r="A647" s="206" t="s">
        <v>161</v>
      </c>
      <c r="B647" s="149"/>
      <c r="C647" s="204">
        <v>3359.0333333333369</v>
      </c>
      <c r="D647" s="173">
        <v>195</v>
      </c>
      <c r="E647" s="208"/>
      <c r="F647" s="223">
        <f>ROUND(D647*C647,0)</f>
        <v>655012</v>
      </c>
      <c r="G647" s="173">
        <f>$G$605</f>
        <v>200</v>
      </c>
      <c r="H647" s="208"/>
      <c r="I647" s="223">
        <f>ROUND(G647*$C647,0)</f>
        <v>671807</v>
      </c>
      <c r="J647" s="223"/>
      <c r="K647" s="173">
        <f>$K$605</f>
        <v>195</v>
      </c>
      <c r="L647" s="208"/>
      <c r="M647" s="223">
        <f>ROUND(K647*$C647,0)</f>
        <v>655012</v>
      </c>
      <c r="N647" s="223"/>
      <c r="O647" s="173" t="str">
        <f>$O$605</f>
        <v xml:space="preserve"> </v>
      </c>
      <c r="P647" s="208"/>
      <c r="Q647" s="223">
        <f>ROUND(O647*$C647,0)</f>
        <v>0</v>
      </c>
      <c r="R647" s="223"/>
      <c r="S647" s="173" t="str">
        <f>$S$605</f>
        <v xml:space="preserve"> </v>
      </c>
      <c r="T647" s="208"/>
      <c r="U647" s="223">
        <f>ROUND(S647*$C647,0)</f>
        <v>0</v>
      </c>
      <c r="X647" s="91"/>
      <c r="Y647" s="91"/>
      <c r="Z647" s="44"/>
      <c r="AA647" s="44"/>
      <c r="AB647" s="44"/>
      <c r="AC647" s="44"/>
      <c r="AD647" s="44"/>
      <c r="AE647" s="44"/>
      <c r="AF647" s="44"/>
      <c r="AG647" s="44"/>
      <c r="AH647" s="44"/>
      <c r="AI647" s="44"/>
      <c r="AJ647" s="44"/>
      <c r="AK647" s="44"/>
      <c r="AL647" s="44"/>
      <c r="AM647" s="44"/>
      <c r="AN647" s="44"/>
      <c r="AO647" s="44"/>
      <c r="AP647" s="44"/>
    </row>
    <row r="648" spans="1:42" hidden="1" x14ac:dyDescent="0.25">
      <c r="A648" s="206" t="s">
        <v>128</v>
      </c>
      <c r="B648" s="149"/>
      <c r="C648" s="204">
        <f>SUM(C645:C647)</f>
        <v>11657.099999999957</v>
      </c>
      <c r="D648" s="173"/>
      <c r="E648" s="206"/>
      <c r="F648" s="223"/>
      <c r="G648" s="173"/>
      <c r="H648" s="206"/>
      <c r="I648" s="223"/>
      <c r="J648" s="223"/>
      <c r="K648" s="173"/>
      <c r="L648" s="206"/>
      <c r="M648" s="223"/>
      <c r="N648" s="223"/>
      <c r="O648" s="173"/>
      <c r="P648" s="206"/>
      <c r="Q648" s="223"/>
      <c r="R648" s="223"/>
      <c r="S648" s="173"/>
      <c r="T648" s="206"/>
      <c r="U648" s="223"/>
      <c r="X648" s="91"/>
      <c r="Y648" s="91"/>
      <c r="Z648" s="44"/>
      <c r="AA648" s="44"/>
      <c r="AB648" s="44"/>
      <c r="AC648" s="44"/>
      <c r="AD648" s="44"/>
      <c r="AE648" s="44"/>
      <c r="AF648" s="44"/>
      <c r="AG648" s="44"/>
      <c r="AH648" s="44"/>
      <c r="AI648" s="44"/>
      <c r="AJ648" s="44"/>
      <c r="AK648" s="44"/>
      <c r="AL648" s="44"/>
      <c r="AM648" s="44"/>
      <c r="AN648" s="44"/>
      <c r="AO648" s="44"/>
      <c r="AP648" s="44"/>
    </row>
    <row r="649" spans="1:42" hidden="1" x14ac:dyDescent="0.25">
      <c r="A649" s="206" t="s">
        <v>160</v>
      </c>
      <c r="B649" s="149"/>
      <c r="C649" s="204">
        <v>1361738.5</v>
      </c>
      <c r="D649" s="173">
        <v>1.79</v>
      </c>
      <c r="E649" s="206" t="s">
        <v>0</v>
      </c>
      <c r="F649" s="223">
        <f>ROUND(D649*C649,0)</f>
        <v>2437512</v>
      </c>
      <c r="G649" s="173">
        <f>$G$607</f>
        <v>1.83</v>
      </c>
      <c r="H649" s="206" t="s">
        <v>0</v>
      </c>
      <c r="I649" s="223">
        <f>ROUND(G649*$C649,0)</f>
        <v>2491981</v>
      </c>
      <c r="J649" s="223"/>
      <c r="K649" s="173">
        <f>$K$607</f>
        <v>1.79</v>
      </c>
      <c r="L649" s="206" t="s">
        <v>0</v>
      </c>
      <c r="M649" s="223">
        <f>ROUND(K649*$C649,0)</f>
        <v>2437512</v>
      </c>
      <c r="N649" s="223"/>
      <c r="O649" s="173" t="str">
        <f>$O$607</f>
        <v xml:space="preserve"> </v>
      </c>
      <c r="P649" s="206" t="s">
        <v>0</v>
      </c>
      <c r="Q649" s="223">
        <f>ROUND(O649*$C649,0)</f>
        <v>0</v>
      </c>
      <c r="R649" s="223"/>
      <c r="S649" s="173" t="str">
        <f>$S$607</f>
        <v xml:space="preserve"> </v>
      </c>
      <c r="T649" s="206" t="s">
        <v>0</v>
      </c>
      <c r="U649" s="223">
        <f>ROUND(S649*$C649,0)</f>
        <v>0</v>
      </c>
      <c r="X649" s="91"/>
      <c r="Y649" s="91"/>
      <c r="Z649" s="44"/>
      <c r="AA649" s="44"/>
      <c r="AB649" s="44"/>
      <c r="AC649" s="44"/>
      <c r="AD649" s="44"/>
      <c r="AE649" s="44"/>
      <c r="AF649" s="44"/>
      <c r="AG649" s="44"/>
      <c r="AH649" s="44"/>
      <c r="AI649" s="44"/>
      <c r="AJ649" s="44"/>
      <c r="AK649" s="44"/>
      <c r="AL649" s="44"/>
      <c r="AM649" s="44"/>
      <c r="AN649" s="44"/>
      <c r="AO649" s="44"/>
      <c r="AP649" s="44"/>
    </row>
    <row r="650" spans="1:42" hidden="1" x14ac:dyDescent="0.25">
      <c r="A650" s="206" t="s">
        <v>161</v>
      </c>
      <c r="B650" s="149"/>
      <c r="C650" s="204">
        <v>1673144</v>
      </c>
      <c r="D650" s="173">
        <v>1.46</v>
      </c>
      <c r="E650" s="206" t="s">
        <v>0</v>
      </c>
      <c r="F650" s="223">
        <f>ROUND(D650*C650,0)</f>
        <v>2442790</v>
      </c>
      <c r="G650" s="173">
        <f>$G$608</f>
        <v>1.5</v>
      </c>
      <c r="H650" s="206" t="s">
        <v>0</v>
      </c>
      <c r="I650" s="223">
        <f>ROUND(G650*$C650,0)</f>
        <v>2509716</v>
      </c>
      <c r="J650" s="223"/>
      <c r="K650" s="173">
        <f>$K$608</f>
        <v>1.46</v>
      </c>
      <c r="L650" s="206" t="s">
        <v>0</v>
      </c>
      <c r="M650" s="223">
        <f>ROUND(K650*$C650,0)</f>
        <v>2442790</v>
      </c>
      <c r="N650" s="223"/>
      <c r="O650" s="173" t="str">
        <f>$O$608</f>
        <v xml:space="preserve"> </v>
      </c>
      <c r="P650" s="206" t="s">
        <v>0</v>
      </c>
      <c r="Q650" s="223">
        <f>ROUND(O650*$C650,0)</f>
        <v>0</v>
      </c>
      <c r="R650" s="223"/>
      <c r="S650" s="173" t="str">
        <f>$S$608</f>
        <v xml:space="preserve"> </v>
      </c>
      <c r="T650" s="206" t="s">
        <v>0</v>
      </c>
      <c r="U650" s="223">
        <f>ROUND(S650*$C650,0)</f>
        <v>0</v>
      </c>
      <c r="X650" s="91"/>
      <c r="Y650" s="91"/>
      <c r="Z650" s="44"/>
      <c r="AA650" s="44"/>
      <c r="AB650" s="44"/>
      <c r="AC650" s="44"/>
      <c r="AD650" s="44"/>
      <c r="AE650" s="44"/>
      <c r="AF650" s="44"/>
      <c r="AG650" s="44"/>
      <c r="AH650" s="44"/>
      <c r="AI650" s="44"/>
      <c r="AJ650" s="44"/>
      <c r="AK650" s="44"/>
      <c r="AL650" s="44"/>
      <c r="AM650" s="44"/>
      <c r="AN650" s="44"/>
      <c r="AO650" s="44"/>
      <c r="AP650" s="44"/>
    </row>
    <row r="651" spans="1:42" hidden="1" x14ac:dyDescent="0.25">
      <c r="A651" s="134" t="s">
        <v>162</v>
      </c>
      <c r="B651" s="149"/>
      <c r="C651" s="204"/>
      <c r="D651" s="180"/>
      <c r="E651" s="206"/>
      <c r="F651" s="223"/>
      <c r="G651" s="180"/>
      <c r="H651" s="206"/>
      <c r="I651" s="223"/>
      <c r="J651" s="223"/>
      <c r="K651" s="180"/>
      <c r="L651" s="206"/>
      <c r="M651" s="223"/>
      <c r="N651" s="223"/>
      <c r="O651" s="180"/>
      <c r="P651" s="206"/>
      <c r="Q651" s="223"/>
      <c r="R651" s="223"/>
      <c r="S651" s="180"/>
      <c r="T651" s="206"/>
      <c r="U651" s="223"/>
      <c r="X651" s="91"/>
      <c r="Y651" s="91"/>
      <c r="Z651" s="44"/>
      <c r="AA651" s="44"/>
      <c r="AB651" s="44"/>
      <c r="AC651" s="44"/>
      <c r="AD651" s="44"/>
      <c r="AE651" s="44"/>
      <c r="AF651" s="44"/>
      <c r="AG651" s="44"/>
      <c r="AH651" s="44"/>
      <c r="AI651" s="44"/>
      <c r="AJ651" s="44"/>
      <c r="AK651" s="44"/>
      <c r="AL651" s="44"/>
      <c r="AM651" s="44"/>
      <c r="AN651" s="44"/>
      <c r="AO651" s="44"/>
      <c r="AP651" s="44"/>
    </row>
    <row r="652" spans="1:42" hidden="1" x14ac:dyDescent="0.25">
      <c r="A652" s="134" t="s">
        <v>163</v>
      </c>
      <c r="B652" s="149"/>
      <c r="C652" s="204">
        <v>2302073.5</v>
      </c>
      <c r="D652" s="173">
        <v>5.47</v>
      </c>
      <c r="E652" s="206"/>
      <c r="F652" s="223">
        <f>ROUND(D652*C652,0)</f>
        <v>12592342</v>
      </c>
      <c r="G652" s="173">
        <f>$G$610</f>
        <v>5.6</v>
      </c>
      <c r="H652" s="206"/>
      <c r="I652" s="223">
        <f>ROUND(G652*$C652,0)</f>
        <v>12891612</v>
      </c>
      <c r="J652" s="223"/>
      <c r="K652" s="173" t="e">
        <f>$K$610</f>
        <v>#REF!</v>
      </c>
      <c r="L652" s="206"/>
      <c r="M652" s="223" t="e">
        <f>ROUND(K652*$C652,0)</f>
        <v>#REF!</v>
      </c>
      <c r="N652" s="223"/>
      <c r="O652" s="173">
        <f>$O$610</f>
        <v>0</v>
      </c>
      <c r="P652" s="206"/>
      <c r="Q652" s="223">
        <f>ROUND(O652*$C652,0)</f>
        <v>0</v>
      </c>
      <c r="R652" s="223"/>
      <c r="S652" s="173">
        <f>$S$610</f>
        <v>0</v>
      </c>
      <c r="T652" s="206"/>
      <c r="U652" s="223">
        <f>ROUND(S652*$C652,0)</f>
        <v>0</v>
      </c>
      <c r="X652" s="91"/>
      <c r="Y652" s="91"/>
      <c r="Z652" s="44"/>
      <c r="AA652" s="44"/>
      <c r="AB652" s="44"/>
      <c r="AC652" s="44"/>
      <c r="AD652" s="44"/>
      <c r="AE652" s="44"/>
      <c r="AF652" s="44"/>
      <c r="AG652" s="44"/>
      <c r="AH652" s="44"/>
      <c r="AI652" s="44"/>
      <c r="AJ652" s="44"/>
      <c r="AK652" s="44"/>
      <c r="AL652" s="44"/>
      <c r="AM652" s="44"/>
      <c r="AN652" s="44"/>
      <c r="AO652" s="44"/>
      <c r="AP652" s="44"/>
    </row>
    <row r="653" spans="1:42" hidden="1" x14ac:dyDescent="0.25">
      <c r="A653" s="134" t="s">
        <v>179</v>
      </c>
      <c r="B653" s="149"/>
      <c r="C653" s="204">
        <v>3562.6666666666692</v>
      </c>
      <c r="D653" s="268">
        <v>5.47</v>
      </c>
      <c r="E653" s="206"/>
      <c r="F653" s="223">
        <f>ROUND(D653*C653,0)</f>
        <v>19488</v>
      </c>
      <c r="G653" s="268">
        <f>G652</f>
        <v>5.6</v>
      </c>
      <c r="H653" s="206"/>
      <c r="I653" s="223">
        <f>ROUND(G653*$C653,0)</f>
        <v>19951</v>
      </c>
      <c r="J653" s="223"/>
      <c r="K653" s="268" t="e">
        <f>K652</f>
        <v>#REF!</v>
      </c>
      <c r="L653" s="206"/>
      <c r="M653" s="223" t="e">
        <f>ROUND(K653*$C653,0)</f>
        <v>#REF!</v>
      </c>
      <c r="N653" s="223"/>
      <c r="O653" s="268">
        <f>O652</f>
        <v>0</v>
      </c>
      <c r="P653" s="206"/>
      <c r="Q653" s="223">
        <f>ROUND(O653*$C653,0)</f>
        <v>0</v>
      </c>
      <c r="R653" s="223"/>
      <c r="S653" s="268">
        <f>S652</f>
        <v>0</v>
      </c>
      <c r="T653" s="206"/>
      <c r="U653" s="223">
        <f>ROUND(S653*$C653,0)</f>
        <v>0</v>
      </c>
      <c r="X653" s="91"/>
      <c r="Y653" s="91"/>
      <c r="Z653" s="44"/>
      <c r="AA653" s="44"/>
      <c r="AB653" s="44"/>
      <c r="AC653" s="44"/>
      <c r="AD653" s="44"/>
      <c r="AE653" s="44"/>
      <c r="AF653" s="44"/>
      <c r="AG653" s="44"/>
      <c r="AH653" s="44"/>
      <c r="AI653" s="44"/>
      <c r="AJ653" s="44"/>
      <c r="AK653" s="44"/>
      <c r="AL653" s="44"/>
      <c r="AM653" s="44"/>
      <c r="AN653" s="44"/>
      <c r="AO653" s="44"/>
      <c r="AP653" s="44"/>
    </row>
    <row r="654" spans="1:42" hidden="1" x14ac:dyDescent="0.25">
      <c r="A654" s="206" t="s">
        <v>164</v>
      </c>
      <c r="B654" s="149"/>
      <c r="C654" s="204"/>
      <c r="D654" s="173"/>
      <c r="E654" s="206"/>
      <c r="F654" s="223"/>
      <c r="G654" s="173"/>
      <c r="H654" s="206"/>
      <c r="I654" s="223"/>
      <c r="J654" s="223"/>
      <c r="K654" s="173"/>
      <c r="L654" s="206"/>
      <c r="M654" s="223"/>
      <c r="N654" s="223"/>
      <c r="O654" s="173"/>
      <c r="P654" s="206"/>
      <c r="Q654" s="223"/>
      <c r="R654" s="223"/>
      <c r="S654" s="173"/>
      <c r="T654" s="206"/>
      <c r="U654" s="223"/>
      <c r="X654" s="91"/>
      <c r="Y654" s="91"/>
      <c r="Z654" s="44"/>
      <c r="AA654" s="44"/>
      <c r="AB654" s="44"/>
      <c r="AC654" s="44"/>
      <c r="AD654" s="44"/>
      <c r="AE654" s="44"/>
      <c r="AF654" s="44"/>
      <c r="AG654" s="44"/>
      <c r="AH654" s="44"/>
      <c r="AI654" s="44"/>
      <c r="AJ654" s="44"/>
      <c r="AK654" s="44"/>
      <c r="AL654" s="44"/>
      <c r="AM654" s="44"/>
      <c r="AN654" s="44"/>
      <c r="AO654" s="44"/>
      <c r="AP654" s="44"/>
    </row>
    <row r="655" spans="1:42" hidden="1" x14ac:dyDescent="0.25">
      <c r="A655" s="206" t="s">
        <v>165</v>
      </c>
      <c r="B655" s="204"/>
      <c r="C655" s="204">
        <v>364977559.51704049</v>
      </c>
      <c r="D655" s="283">
        <v>5.7730000000000006</v>
      </c>
      <c r="E655" s="206" t="s">
        <v>89</v>
      </c>
      <c r="F655" s="223">
        <f>ROUND(D655*C655/100,0)</f>
        <v>21070155</v>
      </c>
      <c r="G655" s="269">
        <f>$G$613</f>
        <v>5.9119999999999999</v>
      </c>
      <c r="H655" s="206" t="s">
        <v>89</v>
      </c>
      <c r="I655" s="223">
        <f>ROUND(G655*$C655/100,0)</f>
        <v>21577473</v>
      </c>
      <c r="J655" s="223"/>
      <c r="K655" s="269" t="str">
        <f>$K$613</f>
        <v xml:space="preserve"> </v>
      </c>
      <c r="L655" s="206" t="s">
        <v>89</v>
      </c>
      <c r="M655" s="223">
        <f>ROUND(K655*$C655/100,0)</f>
        <v>0</v>
      </c>
      <c r="N655" s="223"/>
      <c r="O655" s="269" t="e">
        <f>$O$613</f>
        <v>#REF!</v>
      </c>
      <c r="P655" s="206" t="s">
        <v>89</v>
      </c>
      <c r="Q655" s="223" t="e">
        <f>ROUND(O655*$C655/100,0)</f>
        <v>#REF!</v>
      </c>
      <c r="R655" s="223"/>
      <c r="S655" s="269" t="e">
        <f>$S$613</f>
        <v>#REF!</v>
      </c>
      <c r="T655" s="206" t="s">
        <v>89</v>
      </c>
      <c r="U655" s="223" t="e">
        <f>ROUND(S655*$C655/100,0)</f>
        <v>#REF!</v>
      </c>
      <c r="X655" s="91"/>
      <c r="Y655" s="91"/>
      <c r="Z655" s="44"/>
      <c r="AA655" s="44"/>
      <c r="AB655" s="44"/>
      <c r="AC655" s="44"/>
      <c r="AD655" s="44"/>
      <c r="AE655" s="44"/>
      <c r="AF655" s="44"/>
      <c r="AG655" s="44"/>
      <c r="AH655" s="44"/>
      <c r="AI655" s="44"/>
      <c r="AJ655" s="44"/>
      <c r="AK655" s="44"/>
      <c r="AL655" s="44"/>
      <c r="AM655" s="44"/>
      <c r="AN655" s="44"/>
      <c r="AO655" s="44"/>
      <c r="AP655" s="44"/>
    </row>
    <row r="656" spans="1:42" hidden="1" x14ac:dyDescent="0.25">
      <c r="A656" s="206" t="s">
        <v>132</v>
      </c>
      <c r="B656" s="204"/>
      <c r="C656" s="204">
        <v>452336004.29786551</v>
      </c>
      <c r="D656" s="283">
        <v>5.2879999999999994</v>
      </c>
      <c r="E656" s="206" t="s">
        <v>89</v>
      </c>
      <c r="F656" s="223">
        <f>ROUND(D656*C656/100,0)</f>
        <v>23919528</v>
      </c>
      <c r="G656" s="269">
        <f>$G$614</f>
        <v>5.41</v>
      </c>
      <c r="H656" s="206" t="s">
        <v>89</v>
      </c>
      <c r="I656" s="223">
        <f>ROUND(G656*$C656/100,0)</f>
        <v>24471378</v>
      </c>
      <c r="J656" s="223"/>
      <c r="K656" s="269" t="str">
        <f>$K$614</f>
        <v xml:space="preserve"> </v>
      </c>
      <c r="L656" s="206" t="s">
        <v>89</v>
      </c>
      <c r="M656" s="223">
        <f>ROUND(K656*$C656/100,0)</f>
        <v>0</v>
      </c>
      <c r="N656" s="223"/>
      <c r="O656" s="269" t="e">
        <f>$O$614</f>
        <v>#REF!</v>
      </c>
      <c r="P656" s="206" t="s">
        <v>89</v>
      </c>
      <c r="Q656" s="223" t="e">
        <f>ROUND(O656*$C656/100,0)</f>
        <v>#REF!</v>
      </c>
      <c r="R656" s="223"/>
      <c r="S656" s="269" t="e">
        <f>$S$614</f>
        <v>#REF!</v>
      </c>
      <c r="T656" s="206" t="s">
        <v>89</v>
      </c>
      <c r="U656" s="223" t="e">
        <f>ROUND(S656*$C656/100,0)</f>
        <v>#REF!</v>
      </c>
      <c r="X656" s="91"/>
      <c r="Y656" s="91"/>
      <c r="Z656" s="44"/>
      <c r="AA656" s="44"/>
      <c r="AB656" s="44"/>
      <c r="AC656" s="44"/>
      <c r="AD656" s="44"/>
      <c r="AE656" s="44"/>
      <c r="AF656" s="44"/>
      <c r="AG656" s="44"/>
      <c r="AH656" s="44"/>
      <c r="AI656" s="44"/>
      <c r="AJ656" s="44"/>
      <c r="AK656" s="44"/>
      <c r="AL656" s="44"/>
      <c r="AM656" s="44"/>
      <c r="AN656" s="44"/>
      <c r="AO656" s="44"/>
      <c r="AP656" s="44"/>
    </row>
    <row r="657" spans="1:44" hidden="1" x14ac:dyDescent="0.25">
      <c r="A657" s="206" t="s">
        <v>133</v>
      </c>
      <c r="B657" s="149"/>
      <c r="C657" s="204">
        <v>391011.43333333306</v>
      </c>
      <c r="D657" s="284">
        <v>57</v>
      </c>
      <c r="E657" s="206" t="s">
        <v>89</v>
      </c>
      <c r="F657" s="223">
        <f>ROUND(D657*C657/100,0)</f>
        <v>222877</v>
      </c>
      <c r="G657" s="285">
        <f>$G$615</f>
        <v>58</v>
      </c>
      <c r="H657" s="206" t="s">
        <v>89</v>
      </c>
      <c r="I657" s="223">
        <f>ROUND(G657*$C657/100,0)</f>
        <v>226787</v>
      </c>
      <c r="J657" s="223"/>
      <c r="K657" s="285" t="str">
        <f>$K$615</f>
        <v xml:space="preserve"> </v>
      </c>
      <c r="L657" s="206" t="s">
        <v>89</v>
      </c>
      <c r="M657" s="223">
        <f>ROUND(K657*$C657/100,0)</f>
        <v>0</v>
      </c>
      <c r="N657" s="223"/>
      <c r="O657" s="285" t="e">
        <f>$O$615</f>
        <v>#DIV/0!</v>
      </c>
      <c r="P657" s="206" t="s">
        <v>89</v>
      </c>
      <c r="Q657" s="223" t="e">
        <f>ROUND(O657*$C657/100,0)</f>
        <v>#DIV/0!</v>
      </c>
      <c r="R657" s="223"/>
      <c r="S657" s="285" t="e">
        <f>$S$615</f>
        <v>#DIV/0!</v>
      </c>
      <c r="T657" s="206" t="s">
        <v>89</v>
      </c>
      <c r="U657" s="223" t="e">
        <f>ROUND(S657*$C657/100,0)</f>
        <v>#DIV/0!</v>
      </c>
      <c r="X657" s="91"/>
      <c r="Y657" s="91"/>
      <c r="Z657" s="199" t="s">
        <v>0</v>
      </c>
      <c r="AA657" s="44"/>
      <c r="AB657" s="44"/>
      <c r="AC657" s="44"/>
      <c r="AD657" s="44"/>
      <c r="AE657" s="44"/>
      <c r="AF657" s="44"/>
      <c r="AG657" s="44"/>
      <c r="AH657" s="44"/>
      <c r="AI657" s="44"/>
      <c r="AJ657" s="44"/>
      <c r="AK657" s="44"/>
      <c r="AL657" s="44"/>
      <c r="AM657" s="44"/>
      <c r="AN657" s="44"/>
      <c r="AO657" s="44"/>
      <c r="AP657" s="44"/>
    </row>
    <row r="658" spans="1:44" s="120" customFormat="1" hidden="1" x14ac:dyDescent="0.25">
      <c r="A658" s="119" t="s">
        <v>167</v>
      </c>
      <c r="C658" s="121">
        <f>C655</f>
        <v>364977559.51704049</v>
      </c>
      <c r="D658" s="128">
        <v>0</v>
      </c>
      <c r="E658" s="122"/>
      <c r="F658" s="123"/>
      <c r="G658" s="124">
        <f>G616</f>
        <v>0</v>
      </c>
      <c r="H658" s="256" t="s">
        <v>89</v>
      </c>
      <c r="I658" s="256">
        <f t="shared" ref="I658:I659" si="130">ROUND(G658*$C658/100,0)</f>
        <v>0</v>
      </c>
      <c r="J658" s="256"/>
      <c r="K658" s="124" t="str">
        <f>K616</f>
        <v xml:space="preserve"> </v>
      </c>
      <c r="L658" s="256" t="s">
        <v>89</v>
      </c>
      <c r="M658" s="256">
        <f t="shared" ref="M658:M659" si="131">ROUND(K658*$C658/100,0)</f>
        <v>0</v>
      </c>
      <c r="N658" s="256"/>
      <c r="O658" s="124" t="str">
        <f>O616</f>
        <v xml:space="preserve"> </v>
      </c>
      <c r="P658" s="256" t="s">
        <v>89</v>
      </c>
      <c r="Q658" s="256">
        <f t="shared" ref="Q658:Q659" si="132">ROUND(O658*$C658/100,0)</f>
        <v>0</v>
      </c>
      <c r="R658" s="256"/>
      <c r="S658" s="124">
        <f>S616</f>
        <v>0</v>
      </c>
      <c r="T658" s="256" t="s">
        <v>89</v>
      </c>
      <c r="U658" s="256">
        <f t="shared" ref="U658:U659" si="133">ROUND(S658*$C658/100,0)</f>
        <v>0</v>
      </c>
      <c r="W658" s="286"/>
      <c r="X658" s="287"/>
      <c r="Y658" s="288"/>
      <c r="Z658" s="127"/>
      <c r="AA658" s="127"/>
      <c r="AF658" s="122"/>
      <c r="AG658" s="122"/>
      <c r="AH658" s="122"/>
      <c r="AI658" s="122"/>
      <c r="AJ658" s="122"/>
      <c r="AK658" s="122"/>
      <c r="AL658" s="122"/>
      <c r="AM658" s="122"/>
      <c r="AN658" s="122"/>
      <c r="AO658" s="122"/>
      <c r="AP658" s="122"/>
      <c r="AR658" s="126"/>
    </row>
    <row r="659" spans="1:44" s="120" customFormat="1" hidden="1" x14ac:dyDescent="0.25">
      <c r="A659" s="119" t="s">
        <v>168</v>
      </c>
      <c r="C659" s="121">
        <f>C656</f>
        <v>452336004.29786551</v>
      </c>
      <c r="D659" s="128">
        <v>0</v>
      </c>
      <c r="E659" s="122"/>
      <c r="F659" s="123"/>
      <c r="G659" s="124">
        <f>G617</f>
        <v>0</v>
      </c>
      <c r="H659" s="256" t="s">
        <v>89</v>
      </c>
      <c r="I659" s="256">
        <f t="shared" si="130"/>
        <v>0</v>
      </c>
      <c r="J659" s="256"/>
      <c r="K659" s="124" t="str">
        <f>K617</f>
        <v xml:space="preserve"> </v>
      </c>
      <c r="L659" s="256" t="s">
        <v>89</v>
      </c>
      <c r="M659" s="256">
        <f t="shared" si="131"/>
        <v>0</v>
      </c>
      <c r="N659" s="256"/>
      <c r="O659" s="124" t="str">
        <f>O617</f>
        <v xml:space="preserve"> </v>
      </c>
      <c r="P659" s="256" t="s">
        <v>89</v>
      </c>
      <c r="Q659" s="256">
        <f t="shared" si="132"/>
        <v>0</v>
      </c>
      <c r="R659" s="256"/>
      <c r="S659" s="124">
        <f>S617</f>
        <v>0</v>
      </c>
      <c r="T659" s="256" t="s">
        <v>89</v>
      </c>
      <c r="U659" s="256">
        <f t="shared" si="133"/>
        <v>0</v>
      </c>
      <c r="W659" s="286"/>
      <c r="X659" s="287"/>
      <c r="Y659" s="288"/>
      <c r="Z659" s="127"/>
      <c r="AA659" s="127"/>
      <c r="AF659" s="122"/>
      <c r="AG659" s="122"/>
      <c r="AH659" s="122"/>
      <c r="AI659" s="122"/>
      <c r="AJ659" s="122"/>
      <c r="AK659" s="122"/>
      <c r="AL659" s="122"/>
      <c r="AM659" s="122"/>
      <c r="AN659" s="122"/>
      <c r="AO659" s="122"/>
      <c r="AP659" s="122"/>
      <c r="AR659" s="126"/>
    </row>
    <row r="660" spans="1:44" hidden="1" x14ac:dyDescent="0.25">
      <c r="A660" s="257" t="s">
        <v>140</v>
      </c>
      <c r="B660" s="149"/>
      <c r="C660" s="204"/>
      <c r="D660" s="220">
        <v>-0.01</v>
      </c>
      <c r="E660" s="149"/>
      <c r="F660" s="223"/>
      <c r="G660" s="220">
        <v>-0.01</v>
      </c>
      <c r="H660" s="149"/>
      <c r="I660" s="223"/>
      <c r="J660" s="223"/>
      <c r="K660" s="220">
        <v>-0.01</v>
      </c>
      <c r="L660" s="149"/>
      <c r="M660" s="223"/>
      <c r="N660" s="223"/>
      <c r="O660" s="220">
        <v>-0.01</v>
      </c>
      <c r="P660" s="149"/>
      <c r="Q660" s="223"/>
      <c r="R660" s="223"/>
      <c r="S660" s="220">
        <v>-0.01</v>
      </c>
      <c r="T660" s="149"/>
      <c r="U660" s="223"/>
      <c r="X660" s="146"/>
      <c r="Y660" s="91"/>
      <c r="Z660" s="44"/>
      <c r="AA660" s="44"/>
      <c r="AB660" s="44"/>
      <c r="AC660" s="44"/>
      <c r="AD660" s="44"/>
      <c r="AE660" s="44"/>
      <c r="AF660" s="44"/>
      <c r="AG660" s="44"/>
      <c r="AH660" s="44"/>
      <c r="AI660" s="44"/>
      <c r="AJ660" s="44"/>
      <c r="AK660" s="44"/>
      <c r="AL660" s="44"/>
      <c r="AM660" s="44"/>
      <c r="AN660" s="44"/>
      <c r="AO660" s="44"/>
      <c r="AP660" s="44"/>
    </row>
    <row r="661" spans="1:44" hidden="1" x14ac:dyDescent="0.25">
      <c r="A661" s="206" t="s">
        <v>159</v>
      </c>
      <c r="B661" s="169"/>
      <c r="C661" s="204">
        <v>7</v>
      </c>
      <c r="D661" s="180">
        <v>264</v>
      </c>
      <c r="E661" s="168"/>
      <c r="F661" s="223">
        <f t="shared" ref="F661:F667" si="134">ROUND(D661*C661*$D$660,0)</f>
        <v>-18</v>
      </c>
      <c r="G661" s="180">
        <f>G645</f>
        <v>268</v>
      </c>
      <c r="H661" s="168"/>
      <c r="I661" s="223">
        <f>ROUND(G661*$C661*G660,0)</f>
        <v>-19</v>
      </c>
      <c r="J661" s="223"/>
      <c r="K661" s="180">
        <f>K645</f>
        <v>264</v>
      </c>
      <c r="L661" s="168"/>
      <c r="M661" s="223">
        <f>ROUND(K661*$C661*K660,0)</f>
        <v>-18</v>
      </c>
      <c r="N661" s="223"/>
      <c r="O661" s="180" t="str">
        <f>O645</f>
        <v xml:space="preserve"> </v>
      </c>
      <c r="P661" s="168"/>
      <c r="Q661" s="223">
        <f>ROUND(O661*$C661*O660,0)</f>
        <v>0</v>
      </c>
      <c r="R661" s="223"/>
      <c r="S661" s="180" t="str">
        <f>S645</f>
        <v xml:space="preserve"> </v>
      </c>
      <c r="T661" s="168"/>
      <c r="U661" s="223">
        <f>ROUND(S661*$C661*S660,0)</f>
        <v>0</v>
      </c>
      <c r="X661" s="146"/>
      <c r="Y661" s="91"/>
      <c r="Z661" s="44"/>
      <c r="AA661" s="44"/>
      <c r="AB661" s="44"/>
      <c r="AC661" s="44"/>
      <c r="AD661" s="44"/>
      <c r="AE661" s="44"/>
      <c r="AF661" s="44"/>
      <c r="AG661" s="44"/>
      <c r="AH661" s="44"/>
      <c r="AI661" s="44"/>
      <c r="AJ661" s="44"/>
      <c r="AK661" s="44"/>
      <c r="AL661" s="44"/>
      <c r="AM661" s="44"/>
      <c r="AN661" s="44"/>
      <c r="AO661" s="44"/>
      <c r="AP661" s="44"/>
    </row>
    <row r="662" spans="1:44" hidden="1" x14ac:dyDescent="0.25">
      <c r="A662" s="206" t="s">
        <v>160</v>
      </c>
      <c r="B662" s="149"/>
      <c r="C662" s="204">
        <v>40.89999999999997</v>
      </c>
      <c r="D662" s="180">
        <v>98</v>
      </c>
      <c r="E662" s="168"/>
      <c r="F662" s="223">
        <f t="shared" si="134"/>
        <v>-40</v>
      </c>
      <c r="G662" s="180">
        <f>G646</f>
        <v>100</v>
      </c>
      <c r="H662" s="168"/>
      <c r="I662" s="223">
        <f>ROUND(G662*$C662*G660,0)</f>
        <v>-41</v>
      </c>
      <c r="J662" s="223"/>
      <c r="K662" s="180">
        <f>K646</f>
        <v>98</v>
      </c>
      <c r="L662" s="168"/>
      <c r="M662" s="223">
        <f>ROUND(K662*$C662*K660,0)</f>
        <v>-40</v>
      </c>
      <c r="N662" s="223"/>
      <c r="O662" s="180" t="str">
        <f>O646</f>
        <v xml:space="preserve"> </v>
      </c>
      <c r="P662" s="168"/>
      <c r="Q662" s="223">
        <f>ROUND(O662*$C662*O660,0)</f>
        <v>0</v>
      </c>
      <c r="R662" s="223"/>
      <c r="S662" s="180" t="str">
        <f>S646</f>
        <v xml:space="preserve"> </v>
      </c>
      <c r="T662" s="168"/>
      <c r="U662" s="223">
        <f>ROUND(S662*$C662*S660,0)</f>
        <v>0</v>
      </c>
      <c r="X662" s="146"/>
      <c r="Y662" s="91"/>
      <c r="Z662" s="44"/>
      <c r="AA662" s="44"/>
      <c r="AB662" s="44"/>
      <c r="AC662" s="44"/>
      <c r="AD662" s="44"/>
      <c r="AE662" s="44"/>
      <c r="AF662" s="44"/>
      <c r="AG662" s="44"/>
      <c r="AH662" s="44"/>
      <c r="AI662" s="44"/>
      <c r="AJ662" s="44"/>
      <c r="AK662" s="44"/>
      <c r="AL662" s="44"/>
      <c r="AM662" s="44"/>
      <c r="AN662" s="44"/>
      <c r="AO662" s="44"/>
      <c r="AP662" s="44"/>
    </row>
    <row r="663" spans="1:44" hidden="1" x14ac:dyDescent="0.25">
      <c r="A663" s="206" t="s">
        <v>161</v>
      </c>
      <c r="B663" s="149"/>
      <c r="C663" s="204">
        <v>71.866666666666703</v>
      </c>
      <c r="D663" s="180">
        <v>195</v>
      </c>
      <c r="E663" s="274"/>
      <c r="F663" s="223">
        <f t="shared" si="134"/>
        <v>-140</v>
      </c>
      <c r="G663" s="180">
        <f>G647</f>
        <v>200</v>
      </c>
      <c r="H663" s="274"/>
      <c r="I663" s="223">
        <f>ROUND(G663*$C663*G660,0)</f>
        <v>-144</v>
      </c>
      <c r="J663" s="223"/>
      <c r="K663" s="180">
        <f>K647</f>
        <v>195</v>
      </c>
      <c r="L663" s="274"/>
      <c r="M663" s="223">
        <f>ROUND(K663*$C663*K660,0)</f>
        <v>-140</v>
      </c>
      <c r="N663" s="223"/>
      <c r="O663" s="180" t="str">
        <f>O647</f>
        <v xml:space="preserve"> </v>
      </c>
      <c r="P663" s="274"/>
      <c r="Q663" s="223">
        <f>ROUND(O663*$C663*O660,0)</f>
        <v>0</v>
      </c>
      <c r="R663" s="223"/>
      <c r="S663" s="180" t="str">
        <f>S647</f>
        <v xml:space="preserve"> </v>
      </c>
      <c r="T663" s="274"/>
      <c r="U663" s="223">
        <f>ROUND(S663*$C663*S660,0)</f>
        <v>0</v>
      </c>
      <c r="X663" s="146"/>
      <c r="Y663" s="91"/>
      <c r="Z663" s="44"/>
      <c r="AA663" s="44"/>
      <c r="AB663" s="44"/>
      <c r="AC663" s="44"/>
      <c r="AD663" s="44"/>
      <c r="AE663" s="44"/>
      <c r="AF663" s="44"/>
      <c r="AG663" s="44"/>
      <c r="AH663" s="44"/>
      <c r="AI663" s="44"/>
      <c r="AJ663" s="44"/>
      <c r="AK663" s="44"/>
      <c r="AL663" s="44"/>
      <c r="AM663" s="44"/>
      <c r="AN663" s="44"/>
      <c r="AO663" s="44"/>
      <c r="AP663" s="44"/>
    </row>
    <row r="664" spans="1:44" hidden="1" x14ac:dyDescent="0.25">
      <c r="A664" s="206" t="s">
        <v>160</v>
      </c>
      <c r="B664" s="149"/>
      <c r="C664" s="204">
        <v>6443</v>
      </c>
      <c r="D664" s="180">
        <v>1.79</v>
      </c>
      <c r="E664" s="168"/>
      <c r="F664" s="223">
        <f t="shared" si="134"/>
        <v>-115</v>
      </c>
      <c r="G664" s="180">
        <f>G649</f>
        <v>1.83</v>
      </c>
      <c r="H664" s="168"/>
      <c r="I664" s="223">
        <f>ROUND(G664*$C664*G660,0)</f>
        <v>-118</v>
      </c>
      <c r="J664" s="223"/>
      <c r="K664" s="180">
        <f>K649</f>
        <v>1.79</v>
      </c>
      <c r="L664" s="168"/>
      <c r="M664" s="223">
        <f>ROUND(K664*$C664*K660,0)</f>
        <v>-115</v>
      </c>
      <c r="N664" s="223"/>
      <c r="O664" s="180" t="str">
        <f>O649</f>
        <v xml:space="preserve"> </v>
      </c>
      <c r="P664" s="168"/>
      <c r="Q664" s="223">
        <f>ROUND(O664*$C664*O660,0)</f>
        <v>0</v>
      </c>
      <c r="R664" s="223"/>
      <c r="S664" s="180" t="str">
        <f>S649</f>
        <v xml:space="preserve"> </v>
      </c>
      <c r="T664" s="168"/>
      <c r="U664" s="223">
        <f>ROUND(S664*$C664*S660,0)</f>
        <v>0</v>
      </c>
      <c r="X664" s="146"/>
      <c r="Y664" s="91"/>
      <c r="Z664" s="44"/>
      <c r="AA664" s="44"/>
      <c r="AB664" s="44"/>
      <c r="AC664" s="44"/>
      <c r="AD664" s="44"/>
      <c r="AE664" s="44"/>
      <c r="AF664" s="44"/>
      <c r="AG664" s="44"/>
      <c r="AH664" s="44"/>
      <c r="AI664" s="44"/>
      <c r="AJ664" s="44"/>
      <c r="AK664" s="44"/>
      <c r="AL664" s="44"/>
      <c r="AM664" s="44"/>
      <c r="AN664" s="44"/>
      <c r="AO664" s="44"/>
      <c r="AP664" s="44"/>
    </row>
    <row r="665" spans="1:44" hidden="1" x14ac:dyDescent="0.25">
      <c r="A665" s="206" t="s">
        <v>161</v>
      </c>
      <c r="B665" s="149"/>
      <c r="C665" s="204">
        <v>44991</v>
      </c>
      <c r="D665" s="180">
        <v>1.46</v>
      </c>
      <c r="E665" s="168"/>
      <c r="F665" s="223">
        <f t="shared" si="134"/>
        <v>-657</v>
      </c>
      <c r="G665" s="180">
        <f>G650</f>
        <v>1.5</v>
      </c>
      <c r="H665" s="168"/>
      <c r="I665" s="223">
        <f>ROUND(G665*$C665*G660,0)</f>
        <v>-675</v>
      </c>
      <c r="J665" s="223"/>
      <c r="K665" s="180">
        <f>K650</f>
        <v>1.46</v>
      </c>
      <c r="L665" s="168"/>
      <c r="M665" s="223">
        <f>ROUND(K665*$C665*K660,0)</f>
        <v>-657</v>
      </c>
      <c r="N665" s="223"/>
      <c r="O665" s="180" t="str">
        <f>O650</f>
        <v xml:space="preserve"> </v>
      </c>
      <c r="P665" s="168"/>
      <c r="Q665" s="223">
        <f>ROUND(O665*$C665*O660,0)</f>
        <v>0</v>
      </c>
      <c r="R665" s="223"/>
      <c r="S665" s="180" t="str">
        <f>S650</f>
        <v xml:space="preserve"> </v>
      </c>
      <c r="T665" s="168"/>
      <c r="U665" s="223">
        <f>ROUND(S665*$C665*S660,0)</f>
        <v>0</v>
      </c>
      <c r="X665" s="146"/>
      <c r="Y665" s="91"/>
      <c r="Z665" s="44"/>
      <c r="AA665" s="44"/>
      <c r="AB665" s="44"/>
      <c r="AC665" s="44"/>
      <c r="AD665" s="44"/>
      <c r="AE665" s="44"/>
      <c r="AF665" s="44"/>
      <c r="AG665" s="44"/>
      <c r="AH665" s="44"/>
      <c r="AI665" s="44"/>
      <c r="AJ665" s="44"/>
      <c r="AK665" s="44"/>
      <c r="AL665" s="44"/>
      <c r="AM665" s="44"/>
      <c r="AN665" s="44"/>
      <c r="AO665" s="44"/>
      <c r="AP665" s="44"/>
    </row>
    <row r="666" spans="1:44" hidden="1" x14ac:dyDescent="0.25">
      <c r="A666" s="134" t="s">
        <v>163</v>
      </c>
      <c r="B666" s="149"/>
      <c r="C666" s="204">
        <v>34590</v>
      </c>
      <c r="D666" s="180">
        <v>5.47</v>
      </c>
      <c r="E666" s="168"/>
      <c r="F666" s="223">
        <f t="shared" si="134"/>
        <v>-1892</v>
      </c>
      <c r="G666" s="180">
        <f>G652</f>
        <v>5.6</v>
      </c>
      <c r="H666" s="168"/>
      <c r="I666" s="223">
        <f>ROUND(G666*$C666*G660,0)</f>
        <v>-1937</v>
      </c>
      <c r="J666" s="223"/>
      <c r="K666" s="180" t="e">
        <f>K652</f>
        <v>#REF!</v>
      </c>
      <c r="L666" s="168"/>
      <c r="M666" s="223" t="e">
        <f>ROUND(K666*$C666*K660,0)</f>
        <v>#REF!</v>
      </c>
      <c r="N666" s="223"/>
      <c r="O666" s="180">
        <f>O652</f>
        <v>0</v>
      </c>
      <c r="P666" s="168"/>
      <c r="Q666" s="223">
        <f>ROUND(O666*$C666*O660,0)</f>
        <v>0</v>
      </c>
      <c r="R666" s="223"/>
      <c r="S666" s="180">
        <f>S652</f>
        <v>0</v>
      </c>
      <c r="T666" s="168"/>
      <c r="U666" s="223">
        <f>ROUND(S666*$C666*S660,0)</f>
        <v>0</v>
      </c>
      <c r="X666" s="146"/>
      <c r="Y666" s="91"/>
      <c r="Z666" s="44"/>
      <c r="AA666" s="44"/>
      <c r="AB666" s="44"/>
      <c r="AC666" s="44"/>
      <c r="AD666" s="44"/>
      <c r="AE666" s="44"/>
      <c r="AF666" s="44"/>
      <c r="AG666" s="44"/>
      <c r="AH666" s="44"/>
      <c r="AI666" s="44"/>
      <c r="AJ666" s="44"/>
      <c r="AK666" s="44"/>
      <c r="AL666" s="44"/>
      <c r="AM666" s="44"/>
      <c r="AN666" s="44"/>
      <c r="AO666" s="44"/>
      <c r="AP666" s="44"/>
    </row>
    <row r="667" spans="1:44" hidden="1" x14ac:dyDescent="0.25">
      <c r="A667" s="134" t="s">
        <v>179</v>
      </c>
      <c r="B667" s="149"/>
      <c r="C667" s="204">
        <v>307</v>
      </c>
      <c r="D667" s="180">
        <v>5.47</v>
      </c>
      <c r="E667" s="168"/>
      <c r="F667" s="223">
        <f t="shared" si="134"/>
        <v>-17</v>
      </c>
      <c r="G667" s="180">
        <f>G653</f>
        <v>5.6</v>
      </c>
      <c r="H667" s="168"/>
      <c r="I667" s="223">
        <f>ROUND(G667*$C667*G660,0)</f>
        <v>-17</v>
      </c>
      <c r="J667" s="223"/>
      <c r="K667" s="180" t="e">
        <f>K653</f>
        <v>#REF!</v>
      </c>
      <c r="L667" s="168"/>
      <c r="M667" s="223" t="e">
        <f>ROUND(K667*$C667*K660,0)</f>
        <v>#REF!</v>
      </c>
      <c r="N667" s="223"/>
      <c r="O667" s="180">
        <f>O653</f>
        <v>0</v>
      </c>
      <c r="P667" s="168"/>
      <c r="Q667" s="223">
        <f>ROUND(O667*$C667*O660,0)</f>
        <v>0</v>
      </c>
      <c r="R667" s="223"/>
      <c r="S667" s="180">
        <f>S653</f>
        <v>0</v>
      </c>
      <c r="T667" s="168"/>
      <c r="U667" s="223">
        <f>ROUND(S667*$C667*S660,0)</f>
        <v>0</v>
      </c>
      <c r="X667" s="146"/>
      <c r="Y667" s="91"/>
      <c r="Z667" s="44"/>
      <c r="AA667" s="44"/>
      <c r="AB667" s="44"/>
      <c r="AC667" s="44"/>
      <c r="AD667" s="44"/>
      <c r="AE667" s="44"/>
      <c r="AF667" s="44"/>
      <c r="AG667" s="44"/>
      <c r="AH667" s="44"/>
      <c r="AI667" s="44"/>
      <c r="AJ667" s="44"/>
      <c r="AK667" s="44"/>
      <c r="AL667" s="44"/>
      <c r="AM667" s="44"/>
      <c r="AN667" s="44"/>
      <c r="AO667" s="44"/>
      <c r="AP667" s="44"/>
    </row>
    <row r="668" spans="1:44" hidden="1" x14ac:dyDescent="0.25">
      <c r="A668" s="206" t="s">
        <v>165</v>
      </c>
      <c r="B668" s="149"/>
      <c r="C668" s="204">
        <v>4148839.9999999972</v>
      </c>
      <c r="D668" s="260">
        <v>5.7730000000000006</v>
      </c>
      <c r="E668" s="206" t="s">
        <v>89</v>
      </c>
      <c r="F668" s="223">
        <f>ROUND(D668*C668/100*$D$660,0)</f>
        <v>-2395</v>
      </c>
      <c r="G668" s="260">
        <f>G655</f>
        <v>5.9119999999999999</v>
      </c>
      <c r="H668" s="206" t="s">
        <v>89</v>
      </c>
      <c r="I668" s="223">
        <f>ROUND(G668*$C668/100*G660,0)</f>
        <v>-2453</v>
      </c>
      <c r="J668" s="223"/>
      <c r="K668" s="260" t="str">
        <f>K655</f>
        <v xml:space="preserve"> </v>
      </c>
      <c r="L668" s="206" t="s">
        <v>89</v>
      </c>
      <c r="M668" s="223">
        <f>ROUND(K668*$C668/100*K660,0)</f>
        <v>0</v>
      </c>
      <c r="N668" s="223"/>
      <c r="O668" s="260" t="e">
        <f>O655</f>
        <v>#REF!</v>
      </c>
      <c r="P668" s="206" t="s">
        <v>89</v>
      </c>
      <c r="Q668" s="223" t="e">
        <f>ROUND(O668*$C668/100*O660,0)</f>
        <v>#REF!</v>
      </c>
      <c r="R668" s="223"/>
      <c r="S668" s="260" t="e">
        <f>S655</f>
        <v>#REF!</v>
      </c>
      <c r="T668" s="206" t="s">
        <v>89</v>
      </c>
      <c r="U668" s="223" t="e">
        <f>ROUND(S668*$C668/100*S660,0)</f>
        <v>#REF!</v>
      </c>
      <c r="X668" s="146"/>
      <c r="Y668" s="91"/>
      <c r="Z668" s="44"/>
      <c r="AA668" s="44"/>
      <c r="AB668" s="44"/>
      <c r="AC668" s="44"/>
      <c r="AD668" s="44"/>
      <c r="AE668" s="44"/>
      <c r="AF668" s="44"/>
      <c r="AG668" s="44"/>
      <c r="AH668" s="44"/>
      <c r="AI668" s="44"/>
      <c r="AJ668" s="44"/>
      <c r="AK668" s="44"/>
      <c r="AL668" s="44"/>
      <c r="AM668" s="44"/>
      <c r="AN668" s="44"/>
      <c r="AO668" s="44"/>
      <c r="AP668" s="44"/>
    </row>
    <row r="669" spans="1:44" hidden="1" x14ac:dyDescent="0.25">
      <c r="A669" s="206" t="s">
        <v>132</v>
      </c>
      <c r="B669" s="149"/>
      <c r="C669" s="204">
        <v>8404540.0000000037</v>
      </c>
      <c r="D669" s="260">
        <v>5.2879999999999994</v>
      </c>
      <c r="E669" s="206" t="s">
        <v>89</v>
      </c>
      <c r="F669" s="223">
        <f>ROUND(D669*C669/100*$D$660,0)</f>
        <v>-4444</v>
      </c>
      <c r="G669" s="260">
        <f>G656</f>
        <v>5.41</v>
      </c>
      <c r="H669" s="206" t="s">
        <v>89</v>
      </c>
      <c r="I669" s="223">
        <f>ROUND(G669*$C669/100*G660,0)</f>
        <v>-4547</v>
      </c>
      <c r="J669" s="223"/>
      <c r="K669" s="260" t="str">
        <f>K656</f>
        <v xml:space="preserve"> </v>
      </c>
      <c r="L669" s="206" t="s">
        <v>89</v>
      </c>
      <c r="M669" s="223">
        <f>ROUND(K669*$C669/100*K660,0)</f>
        <v>0</v>
      </c>
      <c r="N669" s="223"/>
      <c r="O669" s="260" t="e">
        <f>O656</f>
        <v>#REF!</v>
      </c>
      <c r="P669" s="206" t="s">
        <v>89</v>
      </c>
      <c r="Q669" s="223" t="e">
        <f>ROUND(O669*$C669/100*O660,0)</f>
        <v>#REF!</v>
      </c>
      <c r="R669" s="223"/>
      <c r="S669" s="260" t="e">
        <f>S656</f>
        <v>#REF!</v>
      </c>
      <c r="T669" s="206" t="s">
        <v>89</v>
      </c>
      <c r="U669" s="223" t="e">
        <f>ROUND(S669*$C669/100*S660,0)</f>
        <v>#REF!</v>
      </c>
      <c r="X669" s="146"/>
      <c r="Y669" s="91"/>
      <c r="Z669" s="44"/>
      <c r="AA669" s="44"/>
      <c r="AB669" s="44"/>
      <c r="AC669" s="44"/>
      <c r="AD669" s="44"/>
      <c r="AE669" s="44"/>
      <c r="AF669" s="44"/>
      <c r="AG669" s="44"/>
      <c r="AH669" s="44"/>
      <c r="AI669" s="44"/>
      <c r="AJ669" s="44"/>
      <c r="AK669" s="44"/>
      <c r="AL669" s="44"/>
      <c r="AM669" s="44"/>
      <c r="AN669" s="44"/>
      <c r="AO669" s="44"/>
      <c r="AP669" s="44"/>
    </row>
    <row r="670" spans="1:44" hidden="1" x14ac:dyDescent="0.25">
      <c r="A670" s="206" t="s">
        <v>133</v>
      </c>
      <c r="B670" s="149"/>
      <c r="C670" s="204">
        <v>7796.8333333333294</v>
      </c>
      <c r="D670" s="262">
        <v>57</v>
      </c>
      <c r="E670" s="206" t="s">
        <v>89</v>
      </c>
      <c r="F670" s="223">
        <f>ROUND(D670*C670/100*$D$660,0)</f>
        <v>-44</v>
      </c>
      <c r="G670" s="262">
        <f>G657</f>
        <v>58</v>
      </c>
      <c r="H670" s="206" t="s">
        <v>89</v>
      </c>
      <c r="I670" s="223">
        <f>ROUND(G670*$C670/100*G660,0)</f>
        <v>-45</v>
      </c>
      <c r="J670" s="223"/>
      <c r="K670" s="262" t="str">
        <f>K657</f>
        <v xml:space="preserve"> </v>
      </c>
      <c r="L670" s="206" t="s">
        <v>89</v>
      </c>
      <c r="M670" s="223">
        <f>ROUND(K670*$C670/100*K660,0)</f>
        <v>0</v>
      </c>
      <c r="N670" s="223"/>
      <c r="O670" s="262" t="e">
        <f>O657</f>
        <v>#DIV/0!</v>
      </c>
      <c r="P670" s="206" t="s">
        <v>89</v>
      </c>
      <c r="Q670" s="223" t="e">
        <f>ROUND(O670*$C670/100*O660,0)</f>
        <v>#DIV/0!</v>
      </c>
      <c r="R670" s="223"/>
      <c r="S670" s="262" t="e">
        <f>S657</f>
        <v>#DIV/0!</v>
      </c>
      <c r="T670" s="206" t="s">
        <v>89</v>
      </c>
      <c r="U670" s="223" t="e">
        <f>ROUND(S670*$C670/100*S660,0)</f>
        <v>#DIV/0!</v>
      </c>
      <c r="X670" s="146"/>
      <c r="Y670" s="91"/>
      <c r="Z670" s="44"/>
      <c r="AA670" s="44"/>
      <c r="AB670" s="44"/>
      <c r="AC670" s="44"/>
      <c r="AD670" s="44"/>
      <c r="AE670" s="44"/>
      <c r="AF670" s="44"/>
      <c r="AG670" s="44"/>
      <c r="AH670" s="44"/>
      <c r="AI670" s="44"/>
      <c r="AJ670" s="44"/>
      <c r="AK670" s="44"/>
      <c r="AL670" s="44"/>
      <c r="AM670" s="44"/>
      <c r="AN670" s="44"/>
      <c r="AO670" s="44"/>
      <c r="AP670" s="44"/>
    </row>
    <row r="671" spans="1:44" hidden="1" x14ac:dyDescent="0.25">
      <c r="A671" s="206" t="s">
        <v>182</v>
      </c>
      <c r="B671" s="149"/>
      <c r="C671" s="204">
        <v>119.76666666666668</v>
      </c>
      <c r="D671" s="173">
        <v>60</v>
      </c>
      <c r="E671" s="149"/>
      <c r="F671" s="223">
        <f>ROUND(D671*C671,0)</f>
        <v>7186</v>
      </c>
      <c r="G671" s="173">
        <f>$G$631</f>
        <v>60</v>
      </c>
      <c r="H671" s="149"/>
      <c r="I671" s="223">
        <f>ROUND(G671*$C671,0)</f>
        <v>7186</v>
      </c>
      <c r="J671" s="223"/>
      <c r="K671" s="173" t="str">
        <f>$K$631</f>
        <v xml:space="preserve"> </v>
      </c>
      <c r="L671" s="149"/>
      <c r="M671" s="223">
        <f>ROUND(K671*$C671,0)</f>
        <v>0</v>
      </c>
      <c r="N671" s="223"/>
      <c r="O671" s="173" t="e">
        <f>$O$631</f>
        <v>#DIV/0!</v>
      </c>
      <c r="P671" s="149"/>
      <c r="Q671" s="223" t="e">
        <f>ROUND(O671*$C671,0)</f>
        <v>#DIV/0!</v>
      </c>
      <c r="R671" s="223"/>
      <c r="S671" s="173" t="e">
        <f>$S$631</f>
        <v>#DIV/0!</v>
      </c>
      <c r="T671" s="149"/>
      <c r="U671" s="223" t="e">
        <f>ROUND(S671*$C671,0)</f>
        <v>#DIV/0!</v>
      </c>
      <c r="X671" s="92"/>
      <c r="Y671" s="112"/>
      <c r="Z671" s="44"/>
      <c r="AA671" s="44"/>
      <c r="AB671" s="44"/>
      <c r="AC671" s="44"/>
      <c r="AD671" s="44"/>
      <c r="AE671" s="44"/>
      <c r="AF671" s="44"/>
      <c r="AG671" s="44"/>
      <c r="AH671" s="44"/>
      <c r="AI671" s="44"/>
      <c r="AJ671" s="44"/>
      <c r="AK671" s="44"/>
      <c r="AL671" s="44"/>
      <c r="AM671" s="44"/>
      <c r="AN671" s="44"/>
      <c r="AO671" s="44"/>
      <c r="AP671" s="44"/>
    </row>
    <row r="672" spans="1:44" hidden="1" x14ac:dyDescent="0.25">
      <c r="A672" s="206" t="s">
        <v>183</v>
      </c>
      <c r="B672" s="188"/>
      <c r="C672" s="204">
        <v>51494</v>
      </c>
      <c r="D672" s="227">
        <v>-30</v>
      </c>
      <c r="E672" s="223" t="s">
        <v>89</v>
      </c>
      <c r="F672" s="223">
        <f>-ROUND(D672*C672*$D$660,0)</f>
        <v>-15448</v>
      </c>
      <c r="G672" s="227">
        <f>$G$632</f>
        <v>-30</v>
      </c>
      <c r="H672" s="223" t="s">
        <v>89</v>
      </c>
      <c r="I672" s="223">
        <f>ROUND(G672*$C672/100,0)</f>
        <v>-15448</v>
      </c>
      <c r="J672" s="223"/>
      <c r="K672" s="227">
        <f>$K$632</f>
        <v>-30</v>
      </c>
      <c r="L672" s="223" t="s">
        <v>89</v>
      </c>
      <c r="M672" s="223">
        <f>ROUND(K672*$C672/100,0)</f>
        <v>-15448</v>
      </c>
      <c r="N672" s="223"/>
      <c r="O672" s="227" t="str">
        <f>$O$632</f>
        <v xml:space="preserve"> </v>
      </c>
      <c r="P672" s="223" t="s">
        <v>89</v>
      </c>
      <c r="Q672" s="223">
        <f>ROUND(O672*$C672/100,0)</f>
        <v>0</v>
      </c>
      <c r="R672" s="223"/>
      <c r="S672" s="227">
        <f>$S$632</f>
        <v>0</v>
      </c>
      <c r="T672" s="223" t="s">
        <v>89</v>
      </c>
      <c r="U672" s="223">
        <f>ROUND(S672*$C672/100,0)</f>
        <v>0</v>
      </c>
      <c r="X672" s="92"/>
      <c r="Y672" s="112"/>
      <c r="Z672" s="199" t="s">
        <v>0</v>
      </c>
      <c r="AA672" s="44"/>
      <c r="AB672" s="44"/>
      <c r="AC672" s="44"/>
      <c r="AD672" s="44"/>
      <c r="AE672" s="44"/>
      <c r="AF672" s="44"/>
      <c r="AG672" s="44"/>
      <c r="AH672" s="44"/>
      <c r="AI672" s="44"/>
      <c r="AJ672" s="44"/>
      <c r="AK672" s="44"/>
      <c r="AL672" s="44"/>
      <c r="AM672" s="44"/>
      <c r="AN672" s="44"/>
      <c r="AO672" s="44"/>
      <c r="AP672" s="44"/>
    </row>
    <row r="673" spans="1:44" s="120" customFormat="1" hidden="1" x14ac:dyDescent="0.25">
      <c r="A673" s="119" t="s">
        <v>167</v>
      </c>
      <c r="C673" s="121">
        <f>C668</f>
        <v>4148839.9999999972</v>
      </c>
      <c r="D673" s="128">
        <v>0</v>
      </c>
      <c r="E673" s="122"/>
      <c r="F673" s="123"/>
      <c r="G673" s="124">
        <f>G658</f>
        <v>0</v>
      </c>
      <c r="H673" s="256" t="s">
        <v>89</v>
      </c>
      <c r="I673" s="256">
        <f>ROUND(G673*$C673/100*G660,0)</f>
        <v>0</v>
      </c>
      <c r="J673" s="256"/>
      <c r="K673" s="124" t="str">
        <f>K658</f>
        <v xml:space="preserve"> </v>
      </c>
      <c r="L673" s="256" t="s">
        <v>89</v>
      </c>
      <c r="M673" s="256">
        <f>ROUND(K673*$C673/100*K660,0)</f>
        <v>0</v>
      </c>
      <c r="N673" s="256"/>
      <c r="O673" s="124" t="str">
        <f>O658</f>
        <v xml:space="preserve"> </v>
      </c>
      <c r="P673" s="256" t="s">
        <v>89</v>
      </c>
      <c r="Q673" s="256">
        <f>ROUND(O673*$C673/100*O660,0)</f>
        <v>0</v>
      </c>
      <c r="R673" s="256"/>
      <c r="S673" s="124">
        <f>S658</f>
        <v>0</v>
      </c>
      <c r="T673" s="256" t="s">
        <v>89</v>
      </c>
      <c r="U673" s="256">
        <f>ROUND(S673*$C673/100*S660,0)</f>
        <v>0</v>
      </c>
      <c r="W673" s="286"/>
      <c r="X673" s="287"/>
      <c r="Y673" s="288"/>
      <c r="Z673" s="127"/>
      <c r="AA673" s="127"/>
      <c r="AF673" s="122"/>
      <c r="AG673" s="122"/>
      <c r="AH673" s="122"/>
      <c r="AI673" s="122"/>
      <c r="AJ673" s="122"/>
      <c r="AK673" s="122"/>
      <c r="AL673" s="122"/>
      <c r="AM673" s="122"/>
      <c r="AN673" s="122"/>
      <c r="AO673" s="122"/>
      <c r="AP673" s="122"/>
      <c r="AR673" s="126"/>
    </row>
    <row r="674" spans="1:44" s="120" customFormat="1" hidden="1" x14ac:dyDescent="0.25">
      <c r="A674" s="119" t="s">
        <v>168</v>
      </c>
      <c r="C674" s="121">
        <f>C669</f>
        <v>8404540.0000000037</v>
      </c>
      <c r="D674" s="128">
        <v>0</v>
      </c>
      <c r="E674" s="122"/>
      <c r="F674" s="123"/>
      <c r="G674" s="124">
        <f>G659</f>
        <v>0</v>
      </c>
      <c r="H674" s="256" t="s">
        <v>89</v>
      </c>
      <c r="I674" s="256">
        <f>ROUND(G674*$C674/100*G660,0)</f>
        <v>0</v>
      </c>
      <c r="J674" s="256"/>
      <c r="K674" s="124" t="str">
        <f>K659</f>
        <v xml:space="preserve"> </v>
      </c>
      <c r="L674" s="256" t="s">
        <v>89</v>
      </c>
      <c r="M674" s="256">
        <f>ROUND(K674*$C674/100*K660,0)</f>
        <v>0</v>
      </c>
      <c r="N674" s="256"/>
      <c r="O674" s="124" t="str">
        <f>O659</f>
        <v xml:space="preserve"> </v>
      </c>
      <c r="P674" s="256" t="s">
        <v>89</v>
      </c>
      <c r="Q674" s="256">
        <f>ROUND(O674*$C674/100*O660,0)</f>
        <v>0</v>
      </c>
      <c r="R674" s="256"/>
      <c r="S674" s="124">
        <f>S659</f>
        <v>0</v>
      </c>
      <c r="T674" s="256" t="s">
        <v>89</v>
      </c>
      <c r="U674" s="256">
        <f>ROUND(S674*$C674/100*S660,0)</f>
        <v>0</v>
      </c>
      <c r="W674" s="286"/>
      <c r="X674" s="287"/>
      <c r="Y674" s="288"/>
      <c r="Z674" s="127"/>
      <c r="AA674" s="127"/>
      <c r="AF674" s="122"/>
      <c r="AG674" s="122"/>
      <c r="AH674" s="122"/>
      <c r="AI674" s="122"/>
      <c r="AJ674" s="122"/>
      <c r="AK674" s="122"/>
      <c r="AL674" s="122"/>
      <c r="AM674" s="122"/>
      <c r="AN674" s="122"/>
      <c r="AO674" s="122"/>
      <c r="AP674" s="122"/>
      <c r="AR674" s="126"/>
    </row>
    <row r="675" spans="1:44" hidden="1" x14ac:dyDescent="0.25">
      <c r="A675" s="149" t="s">
        <v>114</v>
      </c>
      <c r="B675" s="190"/>
      <c r="C675" s="204">
        <f>SUM(C655:C656)</f>
        <v>817313563.814906</v>
      </c>
      <c r="D675" s="212"/>
      <c r="E675" s="149"/>
      <c r="F675" s="111">
        <f>SUM(F645:F672)</f>
        <v>64219476</v>
      </c>
      <c r="G675" s="212"/>
      <c r="H675" s="149"/>
      <c r="I675" s="111">
        <f>SUM(I645:I674)</f>
        <v>65737617</v>
      </c>
      <c r="J675" s="111"/>
      <c r="K675" s="212"/>
      <c r="L675" s="149"/>
      <c r="M675" s="111" t="e">
        <f>SUM(M645:M674)</f>
        <v>#REF!</v>
      </c>
      <c r="N675" s="111"/>
      <c r="O675" s="212"/>
      <c r="P675" s="149"/>
      <c r="Q675" s="111" t="e">
        <f>SUM(Q645:Q674)</f>
        <v>#REF!</v>
      </c>
      <c r="R675" s="111"/>
      <c r="S675" s="212"/>
      <c r="T675" s="149"/>
      <c r="U675" s="111" t="e">
        <f>SUM(U645:U674)</f>
        <v>#REF!</v>
      </c>
      <c r="X675" s="146"/>
      <c r="Y675" s="91"/>
      <c r="Z675" s="44"/>
      <c r="AA675" s="44"/>
      <c r="AB675" s="44"/>
      <c r="AC675" s="44"/>
      <c r="AD675" s="44"/>
      <c r="AE675" s="44"/>
      <c r="AF675" s="44"/>
      <c r="AG675" s="44"/>
      <c r="AH675" s="44"/>
      <c r="AI675" s="44"/>
      <c r="AJ675" s="44"/>
      <c r="AK675" s="44"/>
      <c r="AL675" s="44"/>
      <c r="AM675" s="44"/>
      <c r="AN675" s="44"/>
      <c r="AO675" s="44"/>
      <c r="AP675" s="44"/>
    </row>
    <row r="676" spans="1:44" hidden="1" x14ac:dyDescent="0.25">
      <c r="A676" s="149" t="s">
        <v>92</v>
      </c>
      <c r="B676" s="149"/>
      <c r="C676" s="248">
        <v>5770845.7835495584</v>
      </c>
      <c r="D676" s="134"/>
      <c r="E676" s="134"/>
      <c r="F676" s="132">
        <v>500452.88870847702</v>
      </c>
      <c r="G676" s="134"/>
      <c r="H676" s="134"/>
      <c r="I676" s="132">
        <f>F676</f>
        <v>500452.88870847702</v>
      </c>
      <c r="J676" s="133"/>
      <c r="K676" s="134"/>
      <c r="L676" s="134"/>
      <c r="M676" s="132" t="e">
        <f>M636/I636*I676</f>
        <v>#DIV/0!</v>
      </c>
      <c r="N676" s="133"/>
      <c r="O676" s="134"/>
      <c r="P676" s="134"/>
      <c r="Q676" s="132" t="e">
        <f>Q636/I636*I676</f>
        <v>#DIV/0!</v>
      </c>
      <c r="R676" s="133"/>
      <c r="S676" s="134"/>
      <c r="T676" s="134"/>
      <c r="U676" s="132" t="e">
        <f>U636/I636*I676</f>
        <v>#DIV/0!</v>
      </c>
      <c r="V676" s="165"/>
      <c r="W676" s="163"/>
      <c r="X676" s="146"/>
      <c r="Y676" s="91"/>
      <c r="Z676" s="44"/>
      <c r="AA676" s="44"/>
      <c r="AB676" s="44"/>
      <c r="AC676" s="44"/>
      <c r="AD676" s="44"/>
      <c r="AE676" s="44"/>
      <c r="AF676" s="44"/>
      <c r="AG676" s="44"/>
      <c r="AH676" s="44"/>
      <c r="AI676" s="44"/>
      <c r="AJ676" s="44"/>
      <c r="AK676" s="44"/>
      <c r="AL676" s="44"/>
      <c r="AM676" s="44"/>
      <c r="AN676" s="44"/>
      <c r="AO676" s="44"/>
      <c r="AP676" s="44"/>
    </row>
    <row r="677" spans="1:44" ht="16.5" hidden="1" thickBot="1" x14ac:dyDescent="0.3">
      <c r="A677" s="149" t="s">
        <v>115</v>
      </c>
      <c r="B677" s="149"/>
      <c r="C677" s="265">
        <f>SUM(C675)+C676</f>
        <v>823084409.59845555</v>
      </c>
      <c r="D677" s="245"/>
      <c r="E677" s="232"/>
      <c r="F677" s="233">
        <f>F675+F676</f>
        <v>64719928.88870848</v>
      </c>
      <c r="G677" s="245"/>
      <c r="H677" s="232"/>
      <c r="I677" s="233">
        <f>I675+I676</f>
        <v>66238069.88870848</v>
      </c>
      <c r="J677" s="207"/>
      <c r="K677" s="245"/>
      <c r="L677" s="232"/>
      <c r="M677" s="233" t="e">
        <f>M675+M676</f>
        <v>#REF!</v>
      </c>
      <c r="N677" s="233"/>
      <c r="O677" s="245"/>
      <c r="P677" s="232"/>
      <c r="Q677" s="233" t="e">
        <f>Q675+Q676</f>
        <v>#REF!</v>
      </c>
      <c r="R677" s="233"/>
      <c r="S677" s="245"/>
      <c r="T677" s="232"/>
      <c r="U677" s="233" t="e">
        <f>U675+U676</f>
        <v>#REF!</v>
      </c>
      <c r="V677" s="166"/>
      <c r="W677" s="167"/>
      <c r="X677" s="146"/>
      <c r="Y677" s="91"/>
      <c r="Z677" s="44"/>
      <c r="AA677" s="44"/>
      <c r="AB677" s="44"/>
      <c r="AC677" s="44"/>
      <c r="AD677" s="44"/>
      <c r="AE677" s="44"/>
      <c r="AF677" s="44"/>
      <c r="AG677" s="44"/>
      <c r="AH677" s="44"/>
      <c r="AI677" s="44"/>
      <c r="AJ677" s="44"/>
      <c r="AK677" s="44"/>
      <c r="AL677" s="44"/>
      <c r="AM677" s="44"/>
      <c r="AN677" s="44"/>
      <c r="AO677" s="44"/>
      <c r="AP677" s="44"/>
    </row>
    <row r="678" spans="1:44" hidden="1" x14ac:dyDescent="0.25">
      <c r="A678" s="149"/>
      <c r="B678" s="149"/>
      <c r="C678" s="169"/>
      <c r="D678" s="226" t="s">
        <v>0</v>
      </c>
      <c r="E678" s="149"/>
      <c r="F678" s="111"/>
      <c r="G678" s="250" t="s">
        <v>0</v>
      </c>
      <c r="H678" s="149"/>
      <c r="I678" s="111" t="s">
        <v>0</v>
      </c>
      <c r="J678" s="111"/>
      <c r="K678" s="250" t="s">
        <v>0</v>
      </c>
      <c r="L678" s="149"/>
      <c r="M678" s="111" t="s">
        <v>0</v>
      </c>
      <c r="N678" s="111"/>
      <c r="O678" s="250" t="s">
        <v>0</v>
      </c>
      <c r="P678" s="149"/>
      <c r="Q678" s="111" t="s">
        <v>0</v>
      </c>
      <c r="R678" s="111"/>
      <c r="S678" s="250" t="s">
        <v>0</v>
      </c>
      <c r="T678" s="149"/>
      <c r="U678" s="111" t="s">
        <v>0</v>
      </c>
      <c r="V678" s="44"/>
      <c r="W678" s="91"/>
      <c r="X678" s="146"/>
      <c r="Y678" s="91"/>
      <c r="Z678" s="44"/>
      <c r="AA678" s="44"/>
      <c r="AB678" s="44"/>
      <c r="AC678" s="44"/>
      <c r="AD678" s="44"/>
      <c r="AE678" s="44"/>
      <c r="AF678" s="44"/>
      <c r="AG678" s="44"/>
      <c r="AH678" s="44"/>
      <c r="AI678" s="44"/>
      <c r="AJ678" s="44"/>
      <c r="AK678" s="44"/>
      <c r="AL678" s="44"/>
      <c r="AM678" s="44"/>
      <c r="AN678" s="44"/>
      <c r="AO678" s="44"/>
      <c r="AP678" s="44"/>
    </row>
    <row r="679" spans="1:44" hidden="1" x14ac:dyDescent="0.25">
      <c r="A679" s="168" t="s">
        <v>177</v>
      </c>
      <c r="B679" s="149"/>
      <c r="C679" s="149"/>
      <c r="D679" s="111"/>
      <c r="E679" s="149"/>
      <c r="F679" s="149"/>
      <c r="G679" s="111"/>
      <c r="H679" s="149"/>
      <c r="I679" s="149"/>
      <c r="J679" s="149"/>
      <c r="K679" s="111"/>
      <c r="L679" s="149"/>
      <c r="M679" s="149"/>
      <c r="N679" s="149"/>
      <c r="O679" s="111"/>
      <c r="P679" s="149"/>
      <c r="Q679" s="149"/>
      <c r="R679" s="149"/>
      <c r="S679" s="111"/>
      <c r="T679" s="149"/>
      <c r="U679" s="149"/>
      <c r="V679" s="44"/>
      <c r="W679" s="91"/>
      <c r="X679" s="146"/>
      <c r="Y679" s="91"/>
      <c r="Z679" s="44"/>
      <c r="AA679" s="44"/>
      <c r="AB679" s="44"/>
      <c r="AC679" s="44"/>
      <c r="AD679" s="44"/>
      <c r="AE679" s="44"/>
      <c r="AF679" s="44"/>
      <c r="AG679" s="44"/>
      <c r="AH679" s="44"/>
      <c r="AI679" s="44"/>
      <c r="AJ679" s="44"/>
      <c r="AK679" s="44"/>
      <c r="AL679" s="44"/>
      <c r="AM679" s="44"/>
      <c r="AN679" s="44"/>
      <c r="AO679" s="44"/>
      <c r="AP679" s="44"/>
    </row>
    <row r="680" spans="1:44" hidden="1" x14ac:dyDescent="0.25">
      <c r="A680" s="134" t="s">
        <v>185</v>
      </c>
      <c r="B680" s="149"/>
      <c r="C680" s="149"/>
      <c r="D680" s="111"/>
      <c r="E680" s="149"/>
      <c r="F680" s="149"/>
      <c r="G680" s="111"/>
      <c r="H680" s="149"/>
      <c r="I680" s="149"/>
      <c r="J680" s="149"/>
      <c r="K680" s="111"/>
      <c r="L680" s="149"/>
      <c r="M680" s="149"/>
      <c r="N680" s="149"/>
      <c r="O680" s="111"/>
      <c r="P680" s="149"/>
      <c r="Q680" s="149"/>
      <c r="R680" s="149"/>
      <c r="S680" s="111"/>
      <c r="T680" s="149"/>
      <c r="U680" s="149"/>
      <c r="V680" s="44"/>
      <c r="W680" s="91"/>
      <c r="X680" s="146"/>
      <c r="Y680" s="91"/>
      <c r="Z680" s="44"/>
      <c r="AA680" s="44"/>
      <c r="AB680" s="44"/>
      <c r="AC680" s="44"/>
      <c r="AD680" s="44"/>
      <c r="AE680" s="44"/>
      <c r="AF680" s="44"/>
      <c r="AG680" s="44"/>
      <c r="AH680" s="44"/>
      <c r="AI680" s="44"/>
      <c r="AJ680" s="44"/>
      <c r="AK680" s="44"/>
      <c r="AL680" s="44"/>
      <c r="AM680" s="44"/>
      <c r="AN680" s="44"/>
      <c r="AO680" s="44"/>
      <c r="AP680" s="44"/>
    </row>
    <row r="681" spans="1:44" hidden="1" x14ac:dyDescent="0.25">
      <c r="A681" s="206"/>
      <c r="B681" s="149"/>
      <c r="C681" s="149"/>
      <c r="D681" s="111"/>
      <c r="E681" s="149"/>
      <c r="F681" s="149"/>
      <c r="G681" s="111"/>
      <c r="H681" s="149"/>
      <c r="I681" s="149"/>
      <c r="J681" s="149"/>
      <c r="K681" s="111"/>
      <c r="L681" s="149"/>
      <c r="M681" s="149"/>
      <c r="N681" s="149"/>
      <c r="O681" s="111"/>
      <c r="P681" s="149"/>
      <c r="Q681" s="149"/>
      <c r="R681" s="149"/>
      <c r="S681" s="111"/>
      <c r="T681" s="149"/>
      <c r="U681" s="149"/>
      <c r="V681" s="44"/>
      <c r="W681" s="91"/>
      <c r="X681" s="146"/>
      <c r="Y681" s="91"/>
      <c r="Z681" s="44"/>
      <c r="AA681" s="44"/>
      <c r="AB681" s="44"/>
      <c r="AC681" s="44"/>
      <c r="AD681" s="44"/>
      <c r="AE681" s="44"/>
      <c r="AF681" s="44"/>
      <c r="AG681" s="44"/>
      <c r="AH681" s="44"/>
      <c r="AI681" s="44"/>
      <c r="AJ681" s="44"/>
      <c r="AK681" s="44"/>
      <c r="AL681" s="44"/>
      <c r="AM681" s="44"/>
      <c r="AN681" s="44"/>
      <c r="AO681" s="44"/>
      <c r="AP681" s="44"/>
    </row>
    <row r="682" spans="1:44" hidden="1" x14ac:dyDescent="0.25">
      <c r="A682" s="206" t="s">
        <v>127</v>
      </c>
      <c r="B682" s="169"/>
      <c r="C682" s="204"/>
      <c r="D682" s="111"/>
      <c r="E682" s="149"/>
      <c r="F682" s="149"/>
      <c r="G682" s="111"/>
      <c r="H682" s="149"/>
      <c r="I682" s="149"/>
      <c r="J682" s="149"/>
      <c r="K682" s="111"/>
      <c r="L682" s="149"/>
      <c r="M682" s="149"/>
      <c r="N682" s="149"/>
      <c r="O682" s="111"/>
      <c r="P682" s="149"/>
      <c r="Q682" s="149"/>
      <c r="R682" s="149"/>
      <c r="S682" s="111"/>
      <c r="T682" s="149"/>
      <c r="U682" s="149"/>
      <c r="V682" s="44"/>
      <c r="W682" s="91"/>
      <c r="X682" s="146"/>
      <c r="Y682" s="91"/>
      <c r="Z682" s="44"/>
      <c r="AA682" s="44"/>
      <c r="AB682" s="44"/>
      <c r="AC682" s="44"/>
      <c r="AD682" s="44"/>
      <c r="AE682" s="44"/>
      <c r="AF682" s="44"/>
      <c r="AG682" s="44"/>
      <c r="AH682" s="44"/>
      <c r="AI682" s="44"/>
      <c r="AJ682" s="44"/>
      <c r="AK682" s="44"/>
      <c r="AL682" s="44"/>
      <c r="AM682" s="44"/>
      <c r="AN682" s="44"/>
      <c r="AO682" s="44"/>
      <c r="AP682" s="44"/>
    </row>
    <row r="683" spans="1:44" hidden="1" x14ac:dyDescent="0.25">
      <c r="A683" s="206" t="s">
        <v>159</v>
      </c>
      <c r="B683" s="149"/>
      <c r="C683" s="204">
        <v>24.6</v>
      </c>
      <c r="D683" s="173">
        <v>264</v>
      </c>
      <c r="E683" s="206"/>
      <c r="F683" s="223">
        <f>ROUND(D683*C683,0)</f>
        <v>6494</v>
      </c>
      <c r="G683" s="173">
        <f>$G$603</f>
        <v>268</v>
      </c>
      <c r="H683" s="206"/>
      <c r="I683" s="223">
        <f>ROUND(G683*$C683,0)</f>
        <v>6593</v>
      </c>
      <c r="J683" s="223"/>
      <c r="K683" s="173">
        <f>$K$603</f>
        <v>264</v>
      </c>
      <c r="L683" s="206"/>
      <c r="M683" s="223">
        <f>ROUND(K683*$C683,0)</f>
        <v>6494</v>
      </c>
      <c r="N683" s="223"/>
      <c r="O683" s="173" t="str">
        <f>$O$603</f>
        <v xml:space="preserve"> </v>
      </c>
      <c r="P683" s="206"/>
      <c r="Q683" s="223">
        <f>ROUND(O683*$C683,0)</f>
        <v>0</v>
      </c>
      <c r="R683" s="223"/>
      <c r="S683" s="173" t="str">
        <f>$S$603</f>
        <v xml:space="preserve"> </v>
      </c>
      <c r="T683" s="206"/>
      <c r="U683" s="223">
        <f>ROUND(S683*$C683,0)</f>
        <v>0</v>
      </c>
      <c r="V683" s="44"/>
      <c r="W683" s="91"/>
      <c r="X683" s="146"/>
      <c r="Y683" s="91"/>
      <c r="Z683" s="44"/>
      <c r="AA683" s="44"/>
      <c r="AB683" s="44"/>
      <c r="AC683" s="44"/>
      <c r="AD683" s="44"/>
      <c r="AE683" s="44"/>
      <c r="AF683" s="44"/>
      <c r="AG683" s="44"/>
      <c r="AH683" s="44"/>
      <c r="AI683" s="44"/>
      <c r="AJ683" s="44"/>
      <c r="AK683" s="44"/>
      <c r="AL683" s="44"/>
      <c r="AM683" s="44"/>
      <c r="AN683" s="44"/>
      <c r="AO683" s="44"/>
      <c r="AP683" s="44"/>
    </row>
    <row r="684" spans="1:44" hidden="1" x14ac:dyDescent="0.25">
      <c r="A684" s="206" t="s">
        <v>160</v>
      </c>
      <c r="B684" s="149"/>
      <c r="C684" s="204">
        <v>807.26666666666597</v>
      </c>
      <c r="D684" s="173">
        <v>98</v>
      </c>
      <c r="E684" s="206"/>
      <c r="F684" s="223">
        <f>ROUND(D684*C684,0)</f>
        <v>79112</v>
      </c>
      <c r="G684" s="173">
        <f>$G$604</f>
        <v>100</v>
      </c>
      <c r="H684" s="206"/>
      <c r="I684" s="223">
        <f>ROUND(G684*$C684,0)</f>
        <v>80727</v>
      </c>
      <c r="J684" s="223"/>
      <c r="K684" s="173">
        <f>$K$604</f>
        <v>98</v>
      </c>
      <c r="L684" s="206"/>
      <c r="M684" s="223">
        <f>ROUND(K684*$C684,0)</f>
        <v>79112</v>
      </c>
      <c r="N684" s="223"/>
      <c r="O684" s="173" t="str">
        <f>$O$604</f>
        <v xml:space="preserve"> </v>
      </c>
      <c r="P684" s="206"/>
      <c r="Q684" s="223">
        <f>ROUND(O684*$C684,0)</f>
        <v>0</v>
      </c>
      <c r="R684" s="223"/>
      <c r="S684" s="173" t="str">
        <f>$S$604</f>
        <v xml:space="preserve"> </v>
      </c>
      <c r="T684" s="206"/>
      <c r="U684" s="223">
        <f>ROUND(S684*$C684,0)</f>
        <v>0</v>
      </c>
      <c r="V684" s="44"/>
      <c r="W684" s="91"/>
      <c r="X684" s="146"/>
      <c r="Y684" s="91"/>
      <c r="Z684" s="44"/>
      <c r="AA684" s="44"/>
      <c r="AB684" s="44"/>
      <c r="AC684" s="44"/>
      <c r="AD684" s="44"/>
      <c r="AE684" s="44"/>
      <c r="AF684" s="44"/>
      <c r="AG684" s="44"/>
      <c r="AH684" s="44"/>
      <c r="AI684" s="44"/>
      <c r="AJ684" s="44"/>
      <c r="AK684" s="44"/>
      <c r="AL684" s="44"/>
      <c r="AM684" s="44"/>
      <c r="AN684" s="44"/>
      <c r="AO684" s="44"/>
      <c r="AP684" s="44"/>
    </row>
    <row r="685" spans="1:44" hidden="1" x14ac:dyDescent="0.25">
      <c r="A685" s="206" t="s">
        <v>161</v>
      </c>
      <c r="B685" s="149"/>
      <c r="C685" s="204">
        <v>541.26666666666597</v>
      </c>
      <c r="D685" s="173">
        <v>195</v>
      </c>
      <c r="E685" s="208"/>
      <c r="F685" s="223">
        <f>ROUND(D685*C685,0)</f>
        <v>105547</v>
      </c>
      <c r="G685" s="173">
        <f>$G$605</f>
        <v>200</v>
      </c>
      <c r="H685" s="208"/>
      <c r="I685" s="223">
        <f>ROUND(G685*$C685,0)</f>
        <v>108253</v>
      </c>
      <c r="J685" s="223"/>
      <c r="K685" s="173">
        <f>$K$605</f>
        <v>195</v>
      </c>
      <c r="L685" s="208"/>
      <c r="M685" s="223">
        <f>ROUND(K685*$C685,0)</f>
        <v>105547</v>
      </c>
      <c r="N685" s="223"/>
      <c r="O685" s="173" t="str">
        <f>$O$605</f>
        <v xml:space="preserve"> </v>
      </c>
      <c r="P685" s="208"/>
      <c r="Q685" s="223">
        <f>ROUND(O685*$C685,0)</f>
        <v>0</v>
      </c>
      <c r="R685" s="223"/>
      <c r="S685" s="173" t="str">
        <f>$S$605</f>
        <v xml:space="preserve"> </v>
      </c>
      <c r="T685" s="208"/>
      <c r="U685" s="223">
        <f>ROUND(S685*$C685,0)</f>
        <v>0</v>
      </c>
      <c r="V685" s="44"/>
      <c r="W685" s="91"/>
      <c r="X685" s="146"/>
      <c r="Y685" s="91"/>
      <c r="Z685" s="44"/>
      <c r="AA685" s="44"/>
      <c r="AB685" s="44"/>
      <c r="AC685" s="44"/>
      <c r="AD685" s="44"/>
      <c r="AE685" s="44"/>
      <c r="AF685" s="44"/>
      <c r="AG685" s="44"/>
      <c r="AH685" s="44"/>
      <c r="AI685" s="44"/>
      <c r="AJ685" s="44"/>
      <c r="AK685" s="44"/>
      <c r="AL685" s="44"/>
      <c r="AM685" s="44"/>
      <c r="AN685" s="44"/>
      <c r="AO685" s="44"/>
      <c r="AP685" s="44"/>
    </row>
    <row r="686" spans="1:44" hidden="1" x14ac:dyDescent="0.25">
      <c r="A686" s="206" t="s">
        <v>128</v>
      </c>
      <c r="B686" s="149"/>
      <c r="C686" s="204">
        <f>SUM(C683:C685)</f>
        <v>1373.1333333333318</v>
      </c>
      <c r="D686" s="173"/>
      <c r="E686" s="206"/>
      <c r="F686" s="223"/>
      <c r="G686" s="173"/>
      <c r="H686" s="206"/>
      <c r="I686" s="223"/>
      <c r="J686" s="223"/>
      <c r="K686" s="173"/>
      <c r="L686" s="206"/>
      <c r="M686" s="223"/>
      <c r="N686" s="223"/>
      <c r="O686" s="173"/>
      <c r="P686" s="206"/>
      <c r="Q686" s="223"/>
      <c r="R686" s="223"/>
      <c r="S686" s="173"/>
      <c r="T686" s="206"/>
      <c r="U686" s="223"/>
      <c r="V686" s="44"/>
      <c r="W686" s="91"/>
      <c r="X686" s="92"/>
      <c r="Y686" s="112"/>
      <c r="Z686" s="44"/>
      <c r="AA686" s="44"/>
      <c r="AB686" s="44"/>
      <c r="AC686" s="44"/>
      <c r="AD686" s="44"/>
      <c r="AE686" s="44"/>
      <c r="AF686" s="44"/>
      <c r="AG686" s="44"/>
      <c r="AH686" s="44"/>
      <c r="AI686" s="44"/>
      <c r="AJ686" s="44"/>
      <c r="AK686" s="44"/>
      <c r="AL686" s="44"/>
      <c r="AM686" s="44"/>
      <c r="AN686" s="44"/>
      <c r="AO686" s="44"/>
      <c r="AP686" s="44"/>
    </row>
    <row r="687" spans="1:44" hidden="1" x14ac:dyDescent="0.25">
      <c r="A687" s="206" t="s">
        <v>160</v>
      </c>
      <c r="B687" s="149"/>
      <c r="C687" s="204">
        <v>137328.5</v>
      </c>
      <c r="D687" s="173">
        <v>1.79</v>
      </c>
      <c r="E687" s="206" t="s">
        <v>0</v>
      </c>
      <c r="F687" s="223">
        <f>ROUND(D687*C687,0)</f>
        <v>245818</v>
      </c>
      <c r="G687" s="173">
        <f>$G$607</f>
        <v>1.83</v>
      </c>
      <c r="H687" s="206" t="s">
        <v>0</v>
      </c>
      <c r="I687" s="223">
        <f>ROUND(G687*$C687,0)</f>
        <v>251311</v>
      </c>
      <c r="J687" s="223"/>
      <c r="K687" s="173">
        <f>$K$607</f>
        <v>1.79</v>
      </c>
      <c r="L687" s="206" t="s">
        <v>0</v>
      </c>
      <c r="M687" s="223">
        <f>ROUND(K687*$C687,0)</f>
        <v>245818</v>
      </c>
      <c r="N687" s="223"/>
      <c r="O687" s="173" t="str">
        <f>$O$607</f>
        <v xml:space="preserve"> </v>
      </c>
      <c r="P687" s="206" t="s">
        <v>0</v>
      </c>
      <c r="Q687" s="223">
        <f>ROUND(O687*$C687,0)</f>
        <v>0</v>
      </c>
      <c r="R687" s="223"/>
      <c r="S687" s="173" t="str">
        <f>$S$607</f>
        <v xml:space="preserve"> </v>
      </c>
      <c r="T687" s="206" t="s">
        <v>0</v>
      </c>
      <c r="U687" s="223">
        <f>ROUND(S687*$C687,0)</f>
        <v>0</v>
      </c>
      <c r="V687" s="44"/>
      <c r="W687" s="91"/>
      <c r="X687" s="92"/>
      <c r="Y687" s="112"/>
      <c r="Z687" s="44"/>
      <c r="AA687" s="44"/>
      <c r="AB687" s="44"/>
      <c r="AC687" s="44"/>
      <c r="AD687" s="44"/>
      <c r="AE687" s="44"/>
      <c r="AF687" s="44"/>
      <c r="AG687" s="44"/>
      <c r="AH687" s="44"/>
      <c r="AI687" s="44"/>
      <c r="AJ687" s="44"/>
      <c r="AK687" s="44"/>
      <c r="AL687" s="44"/>
      <c r="AM687" s="44"/>
      <c r="AN687" s="44"/>
      <c r="AO687" s="44"/>
      <c r="AP687" s="44"/>
    </row>
    <row r="688" spans="1:44" hidden="1" x14ac:dyDescent="0.25">
      <c r="A688" s="206" t="s">
        <v>161</v>
      </c>
      <c r="B688" s="149"/>
      <c r="C688" s="204">
        <v>302902</v>
      </c>
      <c r="D688" s="173">
        <v>1.46</v>
      </c>
      <c r="E688" s="206" t="s">
        <v>0</v>
      </c>
      <c r="F688" s="223">
        <f>ROUND(D688*C688,0)</f>
        <v>442237</v>
      </c>
      <c r="G688" s="173">
        <f>$G$608</f>
        <v>1.5</v>
      </c>
      <c r="H688" s="206" t="s">
        <v>0</v>
      </c>
      <c r="I688" s="223">
        <f>ROUND(G688*$C688,0)</f>
        <v>454353</v>
      </c>
      <c r="J688" s="223"/>
      <c r="K688" s="173">
        <f>$K$608</f>
        <v>1.46</v>
      </c>
      <c r="L688" s="206" t="s">
        <v>0</v>
      </c>
      <c r="M688" s="223">
        <f>ROUND(K688*$C688,0)</f>
        <v>442237</v>
      </c>
      <c r="N688" s="223"/>
      <c r="O688" s="173" t="str">
        <f>$O$608</f>
        <v xml:space="preserve"> </v>
      </c>
      <c r="P688" s="206" t="s">
        <v>0</v>
      </c>
      <c r="Q688" s="223">
        <f>ROUND(O688*$C688,0)</f>
        <v>0</v>
      </c>
      <c r="R688" s="223"/>
      <c r="S688" s="173" t="str">
        <f>$S$608</f>
        <v xml:space="preserve"> </v>
      </c>
      <c r="T688" s="206" t="s">
        <v>0</v>
      </c>
      <c r="U688" s="223">
        <f>ROUND(S688*$C688,0)</f>
        <v>0</v>
      </c>
      <c r="V688" s="44"/>
      <c r="W688" s="91"/>
      <c r="X688" s="146"/>
      <c r="Y688" s="91"/>
      <c r="Z688" s="44"/>
      <c r="AA688" s="44"/>
      <c r="AB688" s="44"/>
      <c r="AC688" s="44"/>
      <c r="AD688" s="44"/>
      <c r="AE688" s="44"/>
      <c r="AF688" s="44"/>
      <c r="AG688" s="44"/>
      <c r="AH688" s="44"/>
      <c r="AI688" s="44"/>
      <c r="AJ688" s="44"/>
      <c r="AK688" s="44"/>
      <c r="AL688" s="44"/>
      <c r="AM688" s="44"/>
      <c r="AN688" s="44"/>
      <c r="AO688" s="44"/>
      <c r="AP688" s="44"/>
    </row>
    <row r="689" spans="1:44" hidden="1" x14ac:dyDescent="0.25">
      <c r="A689" s="134" t="s">
        <v>162</v>
      </c>
      <c r="B689" s="149"/>
      <c r="C689" s="204"/>
      <c r="D689" s="180"/>
      <c r="E689" s="206"/>
      <c r="F689" s="223"/>
      <c r="G689" s="180"/>
      <c r="H689" s="206"/>
      <c r="I689" s="223"/>
      <c r="J689" s="223"/>
      <c r="K689" s="180"/>
      <c r="L689" s="206"/>
      <c r="M689" s="223"/>
      <c r="N689" s="223"/>
      <c r="O689" s="180"/>
      <c r="P689" s="206"/>
      <c r="Q689" s="223"/>
      <c r="R689" s="223"/>
      <c r="S689" s="180"/>
      <c r="T689" s="206"/>
      <c r="U689" s="223"/>
      <c r="V689" s="44"/>
      <c r="W689" s="91"/>
      <c r="X689" s="91"/>
      <c r="Y689" s="91"/>
      <c r="Z689" s="44"/>
      <c r="AA689" s="44"/>
      <c r="AB689" s="44"/>
      <c r="AC689" s="44"/>
      <c r="AD689" s="44"/>
      <c r="AE689" s="44"/>
      <c r="AF689" s="44"/>
      <c r="AG689" s="44"/>
      <c r="AH689" s="44"/>
      <c r="AI689" s="44"/>
      <c r="AJ689" s="44"/>
      <c r="AK689" s="44"/>
      <c r="AL689" s="44"/>
      <c r="AM689" s="44"/>
      <c r="AN689" s="44"/>
      <c r="AO689" s="44"/>
      <c r="AP689" s="44"/>
    </row>
    <row r="690" spans="1:44" hidden="1" x14ac:dyDescent="0.25">
      <c r="A690" s="134" t="s">
        <v>163</v>
      </c>
      <c r="B690" s="149"/>
      <c r="C690" s="204">
        <v>340651</v>
      </c>
      <c r="D690" s="173">
        <v>5.47</v>
      </c>
      <c r="E690" s="206"/>
      <c r="F690" s="223">
        <f>ROUND(D690*C690,0)</f>
        <v>1863361</v>
      </c>
      <c r="G690" s="173">
        <f>$G$610</f>
        <v>5.6</v>
      </c>
      <c r="H690" s="206"/>
      <c r="I690" s="223">
        <f>ROUND(G690*$C690,0)</f>
        <v>1907646</v>
      </c>
      <c r="J690" s="223"/>
      <c r="K690" s="173" t="e">
        <f>$K$610</f>
        <v>#REF!</v>
      </c>
      <c r="L690" s="206"/>
      <c r="M690" s="223" t="e">
        <f>ROUND(K690*$C690,0)</f>
        <v>#REF!</v>
      </c>
      <c r="N690" s="223"/>
      <c r="O690" s="173">
        <f>$O$610</f>
        <v>0</v>
      </c>
      <c r="P690" s="206"/>
      <c r="Q690" s="223">
        <f>ROUND(O690*$C690,0)</f>
        <v>0</v>
      </c>
      <c r="R690" s="223"/>
      <c r="S690" s="173">
        <f>$S$610</f>
        <v>0</v>
      </c>
      <c r="T690" s="206"/>
      <c r="U690" s="223">
        <f>ROUND(S690*$C690,0)</f>
        <v>0</v>
      </c>
      <c r="V690" s="44"/>
      <c r="W690" s="91"/>
      <c r="X690" s="91"/>
      <c r="Y690" s="91"/>
      <c r="Z690" s="44"/>
      <c r="AA690" s="44"/>
      <c r="AB690" s="44"/>
      <c r="AC690" s="44"/>
      <c r="AD690" s="44"/>
      <c r="AE690" s="44"/>
      <c r="AF690" s="44"/>
      <c r="AG690" s="44"/>
      <c r="AH690" s="44"/>
      <c r="AI690" s="44"/>
      <c r="AJ690" s="44"/>
      <c r="AK690" s="44"/>
      <c r="AL690" s="44"/>
      <c r="AM690" s="44"/>
      <c r="AN690" s="44"/>
      <c r="AO690" s="44"/>
      <c r="AP690" s="44"/>
    </row>
    <row r="691" spans="1:44" hidden="1" x14ac:dyDescent="0.25">
      <c r="A691" s="134" t="s">
        <v>179</v>
      </c>
      <c r="B691" s="149"/>
      <c r="C691" s="204">
        <v>17.5</v>
      </c>
      <c r="D691" s="268">
        <v>5.47</v>
      </c>
      <c r="E691" s="206"/>
      <c r="F691" s="223">
        <f>ROUND(D691*C691,0)</f>
        <v>96</v>
      </c>
      <c r="G691" s="268">
        <f>G690</f>
        <v>5.6</v>
      </c>
      <c r="H691" s="206"/>
      <c r="I691" s="223">
        <f>ROUND(G691*$C691,0)</f>
        <v>98</v>
      </c>
      <c r="J691" s="223"/>
      <c r="K691" s="268" t="e">
        <f>K690</f>
        <v>#REF!</v>
      </c>
      <c r="L691" s="206"/>
      <c r="M691" s="223" t="e">
        <f>ROUND(K691*$C691,0)</f>
        <v>#REF!</v>
      </c>
      <c r="N691" s="223"/>
      <c r="O691" s="268">
        <f>O690</f>
        <v>0</v>
      </c>
      <c r="P691" s="206"/>
      <c r="Q691" s="223">
        <f>ROUND(O691*$C691,0)</f>
        <v>0</v>
      </c>
      <c r="R691" s="223"/>
      <c r="S691" s="268">
        <f>S690</f>
        <v>0</v>
      </c>
      <c r="T691" s="206"/>
      <c r="U691" s="223">
        <f>ROUND(S691*$C691,0)</f>
        <v>0</v>
      </c>
      <c r="V691" s="44"/>
      <c r="W691" s="91"/>
      <c r="X691" s="91"/>
      <c r="Y691" s="91"/>
      <c r="Z691" s="44"/>
      <c r="AA691" s="44"/>
      <c r="AB691" s="44"/>
      <c r="AC691" s="44"/>
      <c r="AD691" s="44"/>
      <c r="AE691" s="44"/>
      <c r="AF691" s="44"/>
      <c r="AG691" s="44"/>
      <c r="AH691" s="44"/>
      <c r="AI691" s="44"/>
      <c r="AJ691" s="44"/>
      <c r="AK691" s="44"/>
      <c r="AL691" s="44"/>
      <c r="AM691" s="44"/>
      <c r="AN691" s="44"/>
      <c r="AO691" s="44"/>
      <c r="AP691" s="44"/>
    </row>
    <row r="692" spans="1:44" hidden="1" x14ac:dyDescent="0.25">
      <c r="A692" s="206" t="s">
        <v>164</v>
      </c>
      <c r="B692" s="149"/>
      <c r="C692" s="204"/>
      <c r="D692" s="173"/>
      <c r="E692" s="206"/>
      <c r="F692" s="223"/>
      <c r="G692" s="173"/>
      <c r="H692" s="206"/>
      <c r="I692" s="223"/>
      <c r="J692" s="223"/>
      <c r="K692" s="173"/>
      <c r="L692" s="206"/>
      <c r="M692" s="223"/>
      <c r="N692" s="223"/>
      <c r="O692" s="173"/>
      <c r="P692" s="206"/>
      <c r="Q692" s="223"/>
      <c r="R692" s="223"/>
      <c r="S692" s="173"/>
      <c r="T692" s="206"/>
      <c r="U692" s="223"/>
      <c r="V692" s="44"/>
      <c r="W692" s="91"/>
      <c r="X692" s="91"/>
      <c r="Y692" s="91"/>
      <c r="Z692" s="44"/>
      <c r="AA692" s="44"/>
      <c r="AB692" s="44"/>
      <c r="AC692" s="44"/>
      <c r="AD692" s="44"/>
      <c r="AE692" s="44"/>
      <c r="AF692" s="44"/>
      <c r="AG692" s="44"/>
      <c r="AH692" s="44"/>
      <c r="AI692" s="44"/>
      <c r="AJ692" s="44"/>
      <c r="AK692" s="44"/>
      <c r="AL692" s="44"/>
      <c r="AM692" s="44"/>
      <c r="AN692" s="44"/>
      <c r="AO692" s="44"/>
      <c r="AP692" s="44"/>
    </row>
    <row r="693" spans="1:44" hidden="1" x14ac:dyDescent="0.25">
      <c r="A693" s="206" t="s">
        <v>165</v>
      </c>
      <c r="B693" s="149"/>
      <c r="C693" s="204">
        <v>41625753.333333328</v>
      </c>
      <c r="D693" s="283">
        <v>5.7730000000000006</v>
      </c>
      <c r="E693" s="206" t="s">
        <v>89</v>
      </c>
      <c r="F693" s="223">
        <f>ROUND(D693*C693/100,0)</f>
        <v>2403055</v>
      </c>
      <c r="G693" s="269">
        <f>$G$613</f>
        <v>5.9119999999999999</v>
      </c>
      <c r="H693" s="206" t="s">
        <v>89</v>
      </c>
      <c r="I693" s="223">
        <f>ROUND(G693*$C693/100,0)</f>
        <v>2460915</v>
      </c>
      <c r="J693" s="223"/>
      <c r="K693" s="269" t="str">
        <f>$K$613</f>
        <v xml:space="preserve"> </v>
      </c>
      <c r="L693" s="206" t="s">
        <v>89</v>
      </c>
      <c r="M693" s="223">
        <f>ROUND(K693*$C693/100,0)</f>
        <v>0</v>
      </c>
      <c r="N693" s="223"/>
      <c r="O693" s="269" t="e">
        <f>$O$613</f>
        <v>#REF!</v>
      </c>
      <c r="P693" s="206" t="s">
        <v>89</v>
      </c>
      <c r="Q693" s="223" t="e">
        <f>ROUND(O693*$C693/100,0)</f>
        <v>#REF!</v>
      </c>
      <c r="R693" s="223"/>
      <c r="S693" s="269" t="e">
        <f>$S$613</f>
        <v>#REF!</v>
      </c>
      <c r="T693" s="206" t="s">
        <v>89</v>
      </c>
      <c r="U693" s="223" t="e">
        <f>ROUND(S693*$C693/100,0)</f>
        <v>#REF!</v>
      </c>
      <c r="V693" s="44"/>
      <c r="W693" s="91"/>
      <c r="X693" s="91"/>
      <c r="Y693" s="91"/>
      <c r="Z693" s="44"/>
      <c r="AA693" s="44"/>
      <c r="AB693" s="44"/>
      <c r="AC693" s="44"/>
      <c r="AD693" s="44"/>
      <c r="AE693" s="44"/>
      <c r="AF693" s="44"/>
      <c r="AG693" s="44"/>
      <c r="AH693" s="44"/>
      <c r="AI693" s="44"/>
      <c r="AJ693" s="44"/>
      <c r="AK693" s="44"/>
      <c r="AL693" s="44"/>
      <c r="AM693" s="44"/>
      <c r="AN693" s="44"/>
      <c r="AO693" s="44"/>
      <c r="AP693" s="44"/>
    </row>
    <row r="694" spans="1:44" hidden="1" x14ac:dyDescent="0.25">
      <c r="A694" s="206" t="s">
        <v>132</v>
      </c>
      <c r="B694" s="149"/>
      <c r="C694" s="204">
        <v>63576818.666666672</v>
      </c>
      <c r="D694" s="283">
        <v>5.2879999999999994</v>
      </c>
      <c r="E694" s="206" t="s">
        <v>89</v>
      </c>
      <c r="F694" s="223">
        <f>ROUND(D694*C694/100,0)</f>
        <v>3361942</v>
      </c>
      <c r="G694" s="269">
        <f>$G$614</f>
        <v>5.41</v>
      </c>
      <c r="H694" s="206" t="s">
        <v>89</v>
      </c>
      <c r="I694" s="223">
        <f>ROUND(G694*$C694/100,0)</f>
        <v>3439506</v>
      </c>
      <c r="J694" s="223"/>
      <c r="K694" s="269" t="str">
        <f>$K$614</f>
        <v xml:space="preserve"> </v>
      </c>
      <c r="L694" s="206" t="s">
        <v>89</v>
      </c>
      <c r="M694" s="223">
        <f>ROUND(K694*$C694/100,0)</f>
        <v>0</v>
      </c>
      <c r="N694" s="223"/>
      <c r="O694" s="269" t="e">
        <f>$O$614</f>
        <v>#REF!</v>
      </c>
      <c r="P694" s="206" t="s">
        <v>89</v>
      </c>
      <c r="Q694" s="223" t="e">
        <f>ROUND(O694*$C694/100,0)</f>
        <v>#REF!</v>
      </c>
      <c r="R694" s="223"/>
      <c r="S694" s="269" t="e">
        <f>$S$614</f>
        <v>#REF!</v>
      </c>
      <c r="T694" s="206" t="s">
        <v>89</v>
      </c>
      <c r="U694" s="223" t="e">
        <f>ROUND(S694*$C694/100,0)</f>
        <v>#REF!</v>
      </c>
      <c r="V694" s="44"/>
      <c r="W694" s="91"/>
      <c r="X694" s="91"/>
      <c r="Y694" s="91"/>
      <c r="Z694" s="44"/>
      <c r="AA694" s="44"/>
      <c r="AB694" s="44"/>
      <c r="AC694" s="44"/>
      <c r="AD694" s="44"/>
      <c r="AE694" s="44"/>
      <c r="AF694" s="44"/>
      <c r="AG694" s="44"/>
      <c r="AH694" s="44"/>
      <c r="AI694" s="44"/>
      <c r="AJ694" s="44"/>
      <c r="AK694" s="44"/>
      <c r="AL694" s="44"/>
      <c r="AM694" s="44"/>
      <c r="AN694" s="44"/>
      <c r="AO694" s="44"/>
      <c r="AP694" s="44"/>
    </row>
    <row r="695" spans="1:44" hidden="1" x14ac:dyDescent="0.25">
      <c r="A695" s="206" t="s">
        <v>133</v>
      </c>
      <c r="B695" s="149"/>
      <c r="C695" s="204">
        <v>103480.49999999997</v>
      </c>
      <c r="D695" s="284">
        <v>57</v>
      </c>
      <c r="E695" s="206" t="s">
        <v>89</v>
      </c>
      <c r="F695" s="223">
        <f>ROUND(D695*C695/100,0)</f>
        <v>58984</v>
      </c>
      <c r="G695" s="285">
        <f>$G$615</f>
        <v>58</v>
      </c>
      <c r="H695" s="206" t="s">
        <v>89</v>
      </c>
      <c r="I695" s="223">
        <f>ROUND(G695*$C695/100,0)</f>
        <v>60019</v>
      </c>
      <c r="J695" s="223"/>
      <c r="K695" s="285" t="str">
        <f>$K$615</f>
        <v xml:space="preserve"> </v>
      </c>
      <c r="L695" s="206" t="s">
        <v>89</v>
      </c>
      <c r="M695" s="223">
        <f>ROUND(K695*$C695/100,0)</f>
        <v>0</v>
      </c>
      <c r="N695" s="223"/>
      <c r="O695" s="285" t="e">
        <f>$O$615</f>
        <v>#DIV/0!</v>
      </c>
      <c r="P695" s="206" t="s">
        <v>89</v>
      </c>
      <c r="Q695" s="223" t="e">
        <f>ROUND(O695*$C695/100,0)</f>
        <v>#DIV/0!</v>
      </c>
      <c r="R695" s="223"/>
      <c r="S695" s="285" t="e">
        <f>$S$615</f>
        <v>#DIV/0!</v>
      </c>
      <c r="T695" s="206" t="s">
        <v>89</v>
      </c>
      <c r="U695" s="223" t="e">
        <f>ROUND(S695*$C695/100,0)</f>
        <v>#DIV/0!</v>
      </c>
      <c r="V695" s="44"/>
      <c r="W695" s="91"/>
      <c r="X695" s="91"/>
      <c r="Y695" s="91"/>
      <c r="Z695" s="44"/>
      <c r="AA695" s="44"/>
      <c r="AB695" s="44"/>
      <c r="AC695" s="44"/>
      <c r="AD695" s="44"/>
      <c r="AE695" s="44"/>
      <c r="AF695" s="44"/>
      <c r="AG695" s="44"/>
      <c r="AH695" s="44"/>
      <c r="AI695" s="44"/>
      <c r="AJ695" s="44"/>
      <c r="AK695" s="44"/>
      <c r="AL695" s="44"/>
      <c r="AM695" s="44"/>
      <c r="AN695" s="44"/>
      <c r="AO695" s="44"/>
      <c r="AP695" s="44"/>
    </row>
    <row r="696" spans="1:44" s="120" customFormat="1" hidden="1" x14ac:dyDescent="0.25">
      <c r="A696" s="119" t="s">
        <v>167</v>
      </c>
      <c r="C696" s="121">
        <f>C693</f>
        <v>41625753.333333328</v>
      </c>
      <c r="D696" s="128">
        <v>0</v>
      </c>
      <c r="E696" s="122"/>
      <c r="F696" s="123"/>
      <c r="G696" s="124">
        <f>G616</f>
        <v>0</v>
      </c>
      <c r="H696" s="256" t="s">
        <v>89</v>
      </c>
      <c r="I696" s="256">
        <f t="shared" ref="I696:I697" si="135">ROUND(G696*$C696/100,0)</f>
        <v>0</v>
      </c>
      <c r="J696" s="256"/>
      <c r="K696" s="124" t="str">
        <f>K616</f>
        <v xml:space="preserve"> </v>
      </c>
      <c r="L696" s="256" t="s">
        <v>89</v>
      </c>
      <c r="M696" s="256">
        <f t="shared" ref="M696:M697" si="136">ROUND(K696*$C696/100,0)</f>
        <v>0</v>
      </c>
      <c r="N696" s="256"/>
      <c r="O696" s="124" t="str">
        <f>O616</f>
        <v xml:space="preserve"> </v>
      </c>
      <c r="P696" s="256" t="s">
        <v>89</v>
      </c>
      <c r="Q696" s="256">
        <f t="shared" ref="Q696:Q697" si="137">ROUND(O696*$C696/100,0)</f>
        <v>0</v>
      </c>
      <c r="R696" s="256"/>
      <c r="S696" s="124">
        <f>S616</f>
        <v>0</v>
      </c>
      <c r="T696" s="256" t="s">
        <v>89</v>
      </c>
      <c r="U696" s="256">
        <f t="shared" ref="U696:U697" si="138">ROUND(S696*$C696/100,0)</f>
        <v>0</v>
      </c>
      <c r="W696" s="112"/>
      <c r="Z696" s="127"/>
      <c r="AA696" s="127"/>
      <c r="AF696" s="122"/>
      <c r="AG696" s="122"/>
      <c r="AH696" s="122"/>
      <c r="AI696" s="122"/>
      <c r="AJ696" s="122"/>
      <c r="AK696" s="122"/>
      <c r="AL696" s="122"/>
      <c r="AM696" s="122"/>
      <c r="AN696" s="122"/>
      <c r="AO696" s="122"/>
      <c r="AP696" s="122"/>
      <c r="AR696" s="126"/>
    </row>
    <row r="697" spans="1:44" s="120" customFormat="1" hidden="1" x14ac:dyDescent="0.25">
      <c r="A697" s="119" t="s">
        <v>168</v>
      </c>
      <c r="C697" s="121">
        <f>C694</f>
        <v>63576818.666666672</v>
      </c>
      <c r="D697" s="128">
        <v>0</v>
      </c>
      <c r="E697" s="122"/>
      <c r="F697" s="123"/>
      <c r="G697" s="124">
        <f>G617</f>
        <v>0</v>
      </c>
      <c r="H697" s="256" t="s">
        <v>89</v>
      </c>
      <c r="I697" s="256">
        <f t="shared" si="135"/>
        <v>0</v>
      </c>
      <c r="J697" s="256"/>
      <c r="K697" s="124" t="str">
        <f>K617</f>
        <v xml:space="preserve"> </v>
      </c>
      <c r="L697" s="256" t="s">
        <v>89</v>
      </c>
      <c r="M697" s="256">
        <f t="shared" si="136"/>
        <v>0</v>
      </c>
      <c r="N697" s="256"/>
      <c r="O697" s="124" t="str">
        <f>O617</f>
        <v xml:space="preserve"> </v>
      </c>
      <c r="P697" s="256" t="s">
        <v>89</v>
      </c>
      <c r="Q697" s="256">
        <f t="shared" si="137"/>
        <v>0</v>
      </c>
      <c r="R697" s="256"/>
      <c r="S697" s="124">
        <f>S617</f>
        <v>0</v>
      </c>
      <c r="T697" s="256" t="s">
        <v>89</v>
      </c>
      <c r="U697" s="256">
        <f t="shared" si="138"/>
        <v>0</v>
      </c>
      <c r="W697" s="112"/>
      <c r="Z697" s="127"/>
      <c r="AA697" s="127"/>
      <c r="AF697" s="122"/>
      <c r="AG697" s="122"/>
      <c r="AH697" s="122"/>
      <c r="AI697" s="122"/>
      <c r="AJ697" s="122"/>
      <c r="AK697" s="122"/>
      <c r="AL697" s="122"/>
      <c r="AM697" s="122"/>
      <c r="AN697" s="122"/>
      <c r="AO697" s="122"/>
      <c r="AP697" s="122"/>
      <c r="AR697" s="126"/>
    </row>
    <row r="698" spans="1:44" hidden="1" x14ac:dyDescent="0.25">
      <c r="A698" s="257" t="s">
        <v>140</v>
      </c>
      <c r="B698" s="149"/>
      <c r="C698" s="204"/>
      <c r="D698" s="220">
        <v>-0.01</v>
      </c>
      <c r="E698" s="149"/>
      <c r="F698" s="223"/>
      <c r="G698" s="220">
        <v>-0.01</v>
      </c>
      <c r="H698" s="149"/>
      <c r="I698" s="223"/>
      <c r="J698" s="223"/>
      <c r="K698" s="220">
        <v>-0.01</v>
      </c>
      <c r="L698" s="149"/>
      <c r="M698" s="223"/>
      <c r="N698" s="223"/>
      <c r="O698" s="220">
        <v>-0.01</v>
      </c>
      <c r="P698" s="149"/>
      <c r="Q698" s="223"/>
      <c r="R698" s="223"/>
      <c r="S698" s="220">
        <v>-0.01</v>
      </c>
      <c r="T698" s="149"/>
      <c r="U698" s="223"/>
      <c r="V698" s="44"/>
      <c r="W698" s="91"/>
      <c r="X698" s="91"/>
      <c r="Y698" s="91"/>
      <c r="Z698" s="44"/>
      <c r="AA698" s="44"/>
      <c r="AB698" s="44"/>
      <c r="AC698" s="44"/>
      <c r="AD698" s="44"/>
      <c r="AE698" s="44"/>
      <c r="AF698" s="44"/>
      <c r="AG698" s="44"/>
      <c r="AH698" s="44"/>
      <c r="AI698" s="44"/>
      <c r="AJ698" s="44"/>
      <c r="AK698" s="44"/>
      <c r="AL698" s="44"/>
      <c r="AM698" s="44"/>
      <c r="AN698" s="44"/>
      <c r="AO698" s="44"/>
      <c r="AP698" s="44"/>
    </row>
    <row r="699" spans="1:44" hidden="1" x14ac:dyDescent="0.25">
      <c r="A699" s="206" t="s">
        <v>159</v>
      </c>
      <c r="B699" s="149"/>
      <c r="C699" s="204">
        <v>0</v>
      </c>
      <c r="D699" s="180">
        <v>264</v>
      </c>
      <c r="E699" s="168"/>
      <c r="F699" s="223">
        <f t="shared" ref="F699:F705" si="139">ROUND(D699*C699*$D$660,0)</f>
        <v>0</v>
      </c>
      <c r="G699" s="180">
        <f>G683</f>
        <v>268</v>
      </c>
      <c r="H699" s="168"/>
      <c r="I699" s="223">
        <f>ROUND(G699*$C699*G698,0)</f>
        <v>0</v>
      </c>
      <c r="J699" s="223"/>
      <c r="K699" s="180">
        <f>K683</f>
        <v>264</v>
      </c>
      <c r="L699" s="168"/>
      <c r="M699" s="223">
        <f>ROUND(K699*$C699*K698,0)</f>
        <v>0</v>
      </c>
      <c r="N699" s="223"/>
      <c r="O699" s="180" t="str">
        <f>O683</f>
        <v xml:space="preserve"> </v>
      </c>
      <c r="P699" s="168"/>
      <c r="Q699" s="223">
        <f>ROUND(O699*$C699*O698,0)</f>
        <v>0</v>
      </c>
      <c r="R699" s="223"/>
      <c r="S699" s="180" t="str">
        <f>S683</f>
        <v xml:space="preserve"> </v>
      </c>
      <c r="T699" s="168"/>
      <c r="U699" s="223">
        <f>ROUND(S699*$C699*S698,0)</f>
        <v>0</v>
      </c>
      <c r="V699" s="44"/>
      <c r="W699" s="91"/>
      <c r="X699" s="91"/>
      <c r="Y699" s="91"/>
      <c r="Z699" s="44"/>
      <c r="AA699" s="44"/>
      <c r="AB699" s="44"/>
      <c r="AC699" s="44"/>
      <c r="AD699" s="44"/>
      <c r="AE699" s="44"/>
      <c r="AF699" s="44"/>
      <c r="AG699" s="44"/>
      <c r="AH699" s="44"/>
      <c r="AI699" s="44"/>
      <c r="AJ699" s="44"/>
      <c r="AK699" s="44"/>
      <c r="AL699" s="44"/>
      <c r="AM699" s="44"/>
      <c r="AN699" s="44"/>
      <c r="AO699" s="44"/>
      <c r="AP699" s="44"/>
    </row>
    <row r="700" spans="1:44" hidden="1" x14ac:dyDescent="0.25">
      <c r="A700" s="206" t="s">
        <v>160</v>
      </c>
      <c r="B700" s="149"/>
      <c r="C700" s="204">
        <v>16.2</v>
      </c>
      <c r="D700" s="180">
        <v>98</v>
      </c>
      <c r="E700" s="168"/>
      <c r="F700" s="223">
        <f t="shared" si="139"/>
        <v>-16</v>
      </c>
      <c r="G700" s="180">
        <f>G684</f>
        <v>100</v>
      </c>
      <c r="H700" s="168"/>
      <c r="I700" s="223">
        <f>ROUND(G700*$C700*G698,0)</f>
        <v>-16</v>
      </c>
      <c r="J700" s="223"/>
      <c r="K700" s="180">
        <f>K684</f>
        <v>98</v>
      </c>
      <c r="L700" s="168"/>
      <c r="M700" s="223">
        <f>ROUND(K700*$C700*K698,0)</f>
        <v>-16</v>
      </c>
      <c r="N700" s="223"/>
      <c r="O700" s="180" t="str">
        <f>O684</f>
        <v xml:space="preserve"> </v>
      </c>
      <c r="P700" s="168"/>
      <c r="Q700" s="223">
        <f>ROUND(O700*$C700*O698,0)</f>
        <v>0</v>
      </c>
      <c r="R700" s="223"/>
      <c r="S700" s="180" t="str">
        <f>S684</f>
        <v xml:space="preserve"> </v>
      </c>
      <c r="T700" s="168"/>
      <c r="U700" s="223">
        <f>ROUND(S700*$C700*S698,0)</f>
        <v>0</v>
      </c>
      <c r="V700" s="44"/>
      <c r="W700" s="91"/>
      <c r="X700" s="91"/>
      <c r="Y700" s="91"/>
      <c r="Z700" s="44"/>
      <c r="AA700" s="44"/>
      <c r="AB700" s="44"/>
      <c r="AC700" s="44"/>
      <c r="AD700" s="44"/>
      <c r="AE700" s="44"/>
      <c r="AF700" s="44"/>
      <c r="AG700" s="44"/>
      <c r="AH700" s="44"/>
      <c r="AI700" s="44"/>
      <c r="AJ700" s="44"/>
      <c r="AK700" s="44"/>
      <c r="AL700" s="44"/>
      <c r="AM700" s="44"/>
      <c r="AN700" s="44"/>
      <c r="AO700" s="44"/>
      <c r="AP700" s="44"/>
    </row>
    <row r="701" spans="1:44" hidden="1" x14ac:dyDescent="0.25">
      <c r="A701" s="206" t="s">
        <v>161</v>
      </c>
      <c r="B701" s="149"/>
      <c r="C701" s="204">
        <v>0</v>
      </c>
      <c r="D701" s="180">
        <v>195</v>
      </c>
      <c r="E701" s="274"/>
      <c r="F701" s="223">
        <f t="shared" si="139"/>
        <v>0</v>
      </c>
      <c r="G701" s="180">
        <f>G685</f>
        <v>200</v>
      </c>
      <c r="H701" s="274"/>
      <c r="I701" s="223">
        <f>ROUND(G701*$C701*G698,0)</f>
        <v>0</v>
      </c>
      <c r="J701" s="223"/>
      <c r="K701" s="180">
        <f>K685</f>
        <v>195</v>
      </c>
      <c r="L701" s="274"/>
      <c r="M701" s="223">
        <f>ROUND(K701*$C701*K698,0)</f>
        <v>0</v>
      </c>
      <c r="N701" s="223"/>
      <c r="O701" s="180" t="str">
        <f>O685</f>
        <v xml:space="preserve"> </v>
      </c>
      <c r="P701" s="274"/>
      <c r="Q701" s="223">
        <f>ROUND(O701*$C701*O698,0)</f>
        <v>0</v>
      </c>
      <c r="R701" s="223"/>
      <c r="S701" s="180" t="str">
        <f>S685</f>
        <v xml:space="preserve"> </v>
      </c>
      <c r="T701" s="274"/>
      <c r="U701" s="223">
        <f>ROUND(S701*$C701*S698,0)</f>
        <v>0</v>
      </c>
      <c r="V701" s="44"/>
      <c r="W701" s="91"/>
      <c r="X701" s="91"/>
      <c r="Y701" s="91"/>
      <c r="Z701" s="44"/>
      <c r="AA701" s="44"/>
      <c r="AB701" s="44"/>
      <c r="AC701" s="44"/>
      <c r="AD701" s="44"/>
      <c r="AE701" s="44"/>
      <c r="AF701" s="44"/>
      <c r="AG701" s="44"/>
      <c r="AH701" s="44"/>
      <c r="AI701" s="44"/>
      <c r="AJ701" s="44"/>
      <c r="AK701" s="44"/>
      <c r="AL701" s="44"/>
      <c r="AM701" s="44"/>
      <c r="AN701" s="44"/>
      <c r="AO701" s="44"/>
      <c r="AP701" s="44"/>
    </row>
    <row r="702" spans="1:44" hidden="1" x14ac:dyDescent="0.25">
      <c r="A702" s="206" t="s">
        <v>160</v>
      </c>
      <c r="B702" s="149"/>
      <c r="C702" s="204">
        <v>2032</v>
      </c>
      <c r="D702" s="180">
        <v>1.79</v>
      </c>
      <c r="E702" s="168"/>
      <c r="F702" s="223">
        <f t="shared" si="139"/>
        <v>-36</v>
      </c>
      <c r="G702" s="180">
        <f>G687</f>
        <v>1.83</v>
      </c>
      <c r="H702" s="168"/>
      <c r="I702" s="223">
        <f>ROUND(G702*$C702*G698,0)</f>
        <v>-37</v>
      </c>
      <c r="J702" s="223"/>
      <c r="K702" s="180">
        <f>K687</f>
        <v>1.79</v>
      </c>
      <c r="L702" s="168"/>
      <c r="M702" s="223">
        <f>ROUND(K702*$C702*K698,0)</f>
        <v>-36</v>
      </c>
      <c r="N702" s="223"/>
      <c r="O702" s="180" t="str">
        <f>O687</f>
        <v xml:space="preserve"> </v>
      </c>
      <c r="P702" s="168"/>
      <c r="Q702" s="223">
        <f>ROUND(O702*$C702*O698,0)</f>
        <v>0</v>
      </c>
      <c r="R702" s="223"/>
      <c r="S702" s="180" t="str">
        <f>S687</f>
        <v xml:space="preserve"> </v>
      </c>
      <c r="T702" s="168"/>
      <c r="U702" s="223">
        <f>ROUND(S702*$C702*S698,0)</f>
        <v>0</v>
      </c>
      <c r="V702" s="44"/>
      <c r="W702" s="91"/>
      <c r="X702" s="91"/>
      <c r="Y702" s="91"/>
      <c r="Z702" s="44"/>
      <c r="AA702" s="44"/>
      <c r="AB702" s="44"/>
      <c r="AC702" s="44"/>
      <c r="AD702" s="44"/>
      <c r="AE702" s="44"/>
      <c r="AF702" s="44"/>
      <c r="AG702" s="44"/>
      <c r="AH702" s="44"/>
      <c r="AI702" s="44"/>
      <c r="AJ702" s="44"/>
      <c r="AK702" s="44"/>
      <c r="AL702" s="44"/>
      <c r="AM702" s="44"/>
      <c r="AN702" s="44"/>
      <c r="AO702" s="44"/>
      <c r="AP702" s="44"/>
    </row>
    <row r="703" spans="1:44" hidden="1" x14ac:dyDescent="0.25">
      <c r="A703" s="206" t="s">
        <v>161</v>
      </c>
      <c r="B703" s="149"/>
      <c r="C703" s="204">
        <v>0</v>
      </c>
      <c r="D703" s="180">
        <v>1.46</v>
      </c>
      <c r="E703" s="168"/>
      <c r="F703" s="223">
        <f t="shared" si="139"/>
        <v>0</v>
      </c>
      <c r="G703" s="180">
        <f>G688</f>
        <v>1.5</v>
      </c>
      <c r="H703" s="168"/>
      <c r="I703" s="223">
        <f>ROUND(G703*$C703*G698,0)</f>
        <v>0</v>
      </c>
      <c r="J703" s="223"/>
      <c r="K703" s="180">
        <f>K688</f>
        <v>1.46</v>
      </c>
      <c r="L703" s="168"/>
      <c r="M703" s="223">
        <f>ROUND(K703*$C703*K698,0)</f>
        <v>0</v>
      </c>
      <c r="N703" s="223"/>
      <c r="O703" s="180" t="str">
        <f>O688</f>
        <v xml:space="preserve"> </v>
      </c>
      <c r="P703" s="168"/>
      <c r="Q703" s="223">
        <f>ROUND(O703*$C703*O698,0)</f>
        <v>0</v>
      </c>
      <c r="R703" s="223"/>
      <c r="S703" s="180" t="str">
        <f>S688</f>
        <v xml:space="preserve"> </v>
      </c>
      <c r="T703" s="168"/>
      <c r="U703" s="223">
        <f>ROUND(S703*$C703*S698,0)</f>
        <v>0</v>
      </c>
      <c r="V703" s="44"/>
      <c r="W703" s="91"/>
      <c r="X703" s="91"/>
      <c r="Y703" s="91"/>
      <c r="Z703" s="44"/>
      <c r="AA703" s="44"/>
      <c r="AB703" s="44"/>
      <c r="AC703" s="44"/>
      <c r="AD703" s="44"/>
      <c r="AE703" s="44"/>
      <c r="AF703" s="44"/>
      <c r="AG703" s="44"/>
      <c r="AH703" s="44"/>
      <c r="AI703" s="44"/>
      <c r="AJ703" s="44"/>
      <c r="AK703" s="44"/>
      <c r="AL703" s="44"/>
      <c r="AM703" s="44"/>
      <c r="AN703" s="44"/>
      <c r="AO703" s="44"/>
      <c r="AP703" s="44"/>
    </row>
    <row r="704" spans="1:44" hidden="1" x14ac:dyDescent="0.25">
      <c r="A704" s="134" t="s">
        <v>163</v>
      </c>
      <c r="B704" s="149"/>
      <c r="C704" s="204">
        <v>1286</v>
      </c>
      <c r="D704" s="180">
        <v>5.47</v>
      </c>
      <c r="E704" s="168"/>
      <c r="F704" s="223">
        <f t="shared" si="139"/>
        <v>-70</v>
      </c>
      <c r="G704" s="180">
        <f>G690</f>
        <v>5.6</v>
      </c>
      <c r="H704" s="168"/>
      <c r="I704" s="223">
        <f>ROUND(G704*$C704*G698,0)</f>
        <v>-72</v>
      </c>
      <c r="J704" s="223"/>
      <c r="K704" s="180" t="e">
        <f>K690</f>
        <v>#REF!</v>
      </c>
      <c r="L704" s="168"/>
      <c r="M704" s="223" t="e">
        <f>ROUND(K704*$C704*K698,0)</f>
        <v>#REF!</v>
      </c>
      <c r="N704" s="223"/>
      <c r="O704" s="180">
        <f>O690</f>
        <v>0</v>
      </c>
      <c r="P704" s="168"/>
      <c r="Q704" s="223">
        <f>ROUND(O704*$C704*O698,0)</f>
        <v>0</v>
      </c>
      <c r="R704" s="223"/>
      <c r="S704" s="180">
        <f>S690</f>
        <v>0</v>
      </c>
      <c r="T704" s="168"/>
      <c r="U704" s="223">
        <f>ROUND(S704*$C704*S698,0)</f>
        <v>0</v>
      </c>
      <c r="V704" s="44"/>
      <c r="W704" s="91"/>
      <c r="X704" s="91"/>
      <c r="Y704" s="91"/>
      <c r="Z704" s="44"/>
      <c r="AA704" s="44"/>
      <c r="AB704" s="44"/>
      <c r="AC704" s="44"/>
      <c r="AD704" s="44"/>
      <c r="AE704" s="44"/>
      <c r="AF704" s="44"/>
      <c r="AG704" s="44"/>
      <c r="AH704" s="44"/>
      <c r="AI704" s="44"/>
      <c r="AJ704" s="44"/>
      <c r="AK704" s="44"/>
      <c r="AL704" s="44"/>
      <c r="AM704" s="44"/>
      <c r="AN704" s="44"/>
      <c r="AO704" s="44"/>
      <c r="AP704" s="44"/>
    </row>
    <row r="705" spans="1:44" hidden="1" x14ac:dyDescent="0.25">
      <c r="A705" s="134" t="s">
        <v>179</v>
      </c>
      <c r="B705" s="149"/>
      <c r="C705" s="204">
        <v>0</v>
      </c>
      <c r="D705" s="180">
        <v>5.47</v>
      </c>
      <c r="E705" s="168"/>
      <c r="F705" s="223">
        <f t="shared" si="139"/>
        <v>0</v>
      </c>
      <c r="G705" s="180">
        <f>G691</f>
        <v>5.6</v>
      </c>
      <c r="H705" s="168"/>
      <c r="I705" s="223">
        <f>ROUND(G705*$C705*G698,0)</f>
        <v>0</v>
      </c>
      <c r="J705" s="223"/>
      <c r="K705" s="180" t="e">
        <f>K691</f>
        <v>#REF!</v>
      </c>
      <c r="L705" s="168"/>
      <c r="M705" s="223" t="e">
        <f>ROUND(K705*$C705*K698,0)</f>
        <v>#REF!</v>
      </c>
      <c r="N705" s="223"/>
      <c r="O705" s="180">
        <f>O691</f>
        <v>0</v>
      </c>
      <c r="P705" s="168"/>
      <c r="Q705" s="223">
        <f>ROUND(O705*$C705*O698,0)</f>
        <v>0</v>
      </c>
      <c r="R705" s="223"/>
      <c r="S705" s="180">
        <f>S691</f>
        <v>0</v>
      </c>
      <c r="T705" s="168"/>
      <c r="U705" s="223">
        <f>ROUND(S705*$C705*S698,0)</f>
        <v>0</v>
      </c>
      <c r="V705" s="44"/>
      <c r="W705" s="91"/>
      <c r="X705" s="91"/>
      <c r="Y705" s="91"/>
      <c r="Z705" s="44"/>
      <c r="AA705" s="44"/>
      <c r="AB705" s="44"/>
      <c r="AC705" s="44"/>
      <c r="AD705" s="44"/>
      <c r="AE705" s="44"/>
      <c r="AF705" s="44"/>
      <c r="AG705" s="44"/>
      <c r="AH705" s="44"/>
      <c r="AI705" s="44"/>
      <c r="AJ705" s="44"/>
      <c r="AK705" s="44"/>
      <c r="AL705" s="44"/>
      <c r="AM705" s="44"/>
      <c r="AN705" s="44"/>
      <c r="AO705" s="44"/>
      <c r="AP705" s="44"/>
    </row>
    <row r="706" spans="1:44" hidden="1" x14ac:dyDescent="0.25">
      <c r="A706" s="206" t="s">
        <v>165</v>
      </c>
      <c r="B706" s="149"/>
      <c r="C706" s="204">
        <v>490733.33333333302</v>
      </c>
      <c r="D706" s="260">
        <v>5.7730000000000006</v>
      </c>
      <c r="E706" s="206" t="s">
        <v>89</v>
      </c>
      <c r="F706" s="223">
        <f>ROUND(D706*C706/100*$D$660,0)</f>
        <v>-283</v>
      </c>
      <c r="G706" s="260">
        <f>G693</f>
        <v>5.9119999999999999</v>
      </c>
      <c r="H706" s="206" t="s">
        <v>89</v>
      </c>
      <c r="I706" s="223">
        <f>ROUND(G706*$C706/100*G698,0)</f>
        <v>-290</v>
      </c>
      <c r="J706" s="223"/>
      <c r="K706" s="260" t="str">
        <f>K693</f>
        <v xml:space="preserve"> </v>
      </c>
      <c r="L706" s="206" t="s">
        <v>89</v>
      </c>
      <c r="M706" s="223">
        <f>ROUND(K706*$C706/100*K698,0)</f>
        <v>0</v>
      </c>
      <c r="N706" s="223"/>
      <c r="O706" s="260" t="e">
        <f>O693</f>
        <v>#REF!</v>
      </c>
      <c r="P706" s="206" t="s">
        <v>89</v>
      </c>
      <c r="Q706" s="223" t="e">
        <f>ROUND(O706*$C706/100*O698,0)</f>
        <v>#REF!</v>
      </c>
      <c r="R706" s="223"/>
      <c r="S706" s="260" t="e">
        <f>S693</f>
        <v>#REF!</v>
      </c>
      <c r="T706" s="206" t="s">
        <v>89</v>
      </c>
      <c r="U706" s="223" t="e">
        <f>ROUND(S706*$C706/100*S698,0)</f>
        <v>#REF!</v>
      </c>
      <c r="V706" s="44"/>
      <c r="W706" s="91"/>
      <c r="X706" s="91"/>
      <c r="Y706" s="91"/>
      <c r="Z706" s="44"/>
      <c r="AA706" s="44"/>
      <c r="AB706" s="44"/>
      <c r="AC706" s="44"/>
      <c r="AD706" s="44"/>
      <c r="AE706" s="44"/>
      <c r="AF706" s="44"/>
      <c r="AG706" s="44"/>
      <c r="AH706" s="44"/>
      <c r="AI706" s="44"/>
      <c r="AJ706" s="44"/>
      <c r="AK706" s="44"/>
      <c r="AL706" s="44"/>
      <c r="AM706" s="44"/>
      <c r="AN706" s="44"/>
      <c r="AO706" s="44"/>
      <c r="AP706" s="44"/>
    </row>
    <row r="707" spans="1:44" hidden="1" x14ac:dyDescent="0.25">
      <c r="A707" s="206" t="s">
        <v>132</v>
      </c>
      <c r="B707" s="149"/>
      <c r="C707" s="204">
        <v>21066.666666666977</v>
      </c>
      <c r="D707" s="260">
        <v>5.2879999999999994</v>
      </c>
      <c r="E707" s="206" t="s">
        <v>89</v>
      </c>
      <c r="F707" s="223">
        <f>ROUND(D707*C707/100*$D$660,0)</f>
        <v>-11</v>
      </c>
      <c r="G707" s="260">
        <f>G694</f>
        <v>5.41</v>
      </c>
      <c r="H707" s="206" t="s">
        <v>89</v>
      </c>
      <c r="I707" s="223">
        <f>ROUND(G707*$C707/100*G698,0)</f>
        <v>-11</v>
      </c>
      <c r="J707" s="223"/>
      <c r="K707" s="260" t="str">
        <f>K694</f>
        <v xml:space="preserve"> </v>
      </c>
      <c r="L707" s="206" t="s">
        <v>89</v>
      </c>
      <c r="M707" s="223">
        <f>ROUND(K707*$C707/100*K698,0)</f>
        <v>0</v>
      </c>
      <c r="N707" s="223"/>
      <c r="O707" s="260" t="e">
        <f>O694</f>
        <v>#REF!</v>
      </c>
      <c r="P707" s="206" t="s">
        <v>89</v>
      </c>
      <c r="Q707" s="223" t="e">
        <f>ROUND(O707*$C707/100*O698,0)</f>
        <v>#REF!</v>
      </c>
      <c r="R707" s="223"/>
      <c r="S707" s="260" t="e">
        <f>S694</f>
        <v>#REF!</v>
      </c>
      <c r="T707" s="206" t="s">
        <v>89</v>
      </c>
      <c r="U707" s="223" t="e">
        <f>ROUND(S707*$C707/100*S698,0)</f>
        <v>#REF!</v>
      </c>
      <c r="V707" s="44"/>
      <c r="W707" s="91"/>
      <c r="X707" s="91"/>
      <c r="Y707" s="91"/>
      <c r="Z707" s="44"/>
      <c r="AA707" s="44"/>
      <c r="AB707" s="44"/>
      <c r="AC707" s="44"/>
      <c r="AD707" s="44"/>
      <c r="AE707" s="44"/>
      <c r="AF707" s="44"/>
      <c r="AG707" s="44"/>
      <c r="AH707" s="44"/>
      <c r="AI707" s="44"/>
      <c r="AJ707" s="44"/>
      <c r="AK707" s="44"/>
      <c r="AL707" s="44"/>
      <c r="AM707" s="44"/>
      <c r="AN707" s="44"/>
      <c r="AO707" s="44"/>
      <c r="AP707" s="44"/>
    </row>
    <row r="708" spans="1:44" hidden="1" x14ac:dyDescent="0.25">
      <c r="A708" s="206" t="s">
        <v>133</v>
      </c>
      <c r="B708" s="149"/>
      <c r="C708" s="204">
        <v>955.13333333333298</v>
      </c>
      <c r="D708" s="262">
        <v>57</v>
      </c>
      <c r="E708" s="206" t="s">
        <v>89</v>
      </c>
      <c r="F708" s="223">
        <f>ROUND(D708*C708/100*$D$660,0)</f>
        <v>-5</v>
      </c>
      <c r="G708" s="262">
        <f>G695</f>
        <v>58</v>
      </c>
      <c r="H708" s="206" t="s">
        <v>89</v>
      </c>
      <c r="I708" s="223">
        <f>ROUND(G708*$C708/100*G698,0)</f>
        <v>-6</v>
      </c>
      <c r="J708" s="223"/>
      <c r="K708" s="262" t="str">
        <f>K695</f>
        <v xml:space="preserve"> </v>
      </c>
      <c r="L708" s="206" t="s">
        <v>89</v>
      </c>
      <c r="M708" s="223">
        <f>ROUND(K708*$C708/100*K698,0)</f>
        <v>0</v>
      </c>
      <c r="N708" s="223"/>
      <c r="O708" s="262" t="e">
        <f>O695</f>
        <v>#DIV/0!</v>
      </c>
      <c r="P708" s="206" t="s">
        <v>89</v>
      </c>
      <c r="Q708" s="223" t="e">
        <f>ROUND(O708*$C708/100*O698,0)</f>
        <v>#DIV/0!</v>
      </c>
      <c r="R708" s="223"/>
      <c r="S708" s="262" t="e">
        <f>S695</f>
        <v>#DIV/0!</v>
      </c>
      <c r="T708" s="206" t="s">
        <v>89</v>
      </c>
      <c r="U708" s="223" t="e">
        <f>ROUND(S708*$C708/100*S698,0)</f>
        <v>#DIV/0!</v>
      </c>
      <c r="V708" s="44"/>
      <c r="W708" s="91"/>
      <c r="X708" s="91"/>
      <c r="Y708" s="91"/>
      <c r="Z708" s="44"/>
      <c r="AA708" s="44"/>
      <c r="AB708" s="44"/>
      <c r="AC708" s="44"/>
      <c r="AD708" s="44"/>
      <c r="AE708" s="44"/>
      <c r="AF708" s="44"/>
      <c r="AG708" s="44"/>
      <c r="AH708" s="44"/>
      <c r="AI708" s="44"/>
      <c r="AJ708" s="44"/>
      <c r="AK708" s="44"/>
      <c r="AL708" s="44"/>
      <c r="AM708" s="44"/>
      <c r="AN708" s="44"/>
      <c r="AO708" s="44"/>
      <c r="AP708" s="44"/>
    </row>
    <row r="709" spans="1:44" hidden="1" x14ac:dyDescent="0.25">
      <c r="A709" s="206" t="s">
        <v>182</v>
      </c>
      <c r="B709" s="149"/>
      <c r="C709" s="204">
        <v>16.2</v>
      </c>
      <c r="D709" s="173">
        <v>60</v>
      </c>
      <c r="E709" s="149"/>
      <c r="F709" s="223">
        <f>ROUND(D709*C709,0)</f>
        <v>972</v>
      </c>
      <c r="G709" s="173">
        <f>$G$631</f>
        <v>60</v>
      </c>
      <c r="H709" s="149"/>
      <c r="I709" s="223">
        <f>ROUND(G709*$C709,0)</f>
        <v>972</v>
      </c>
      <c r="J709" s="223"/>
      <c r="K709" s="173" t="str">
        <f>$K$631</f>
        <v xml:space="preserve"> </v>
      </c>
      <c r="L709" s="149"/>
      <c r="M709" s="223">
        <f>ROUND(K709*$C709,0)</f>
        <v>0</v>
      </c>
      <c r="N709" s="223"/>
      <c r="O709" s="173" t="e">
        <f>$O$631</f>
        <v>#DIV/0!</v>
      </c>
      <c r="P709" s="149"/>
      <c r="Q709" s="223" t="e">
        <f>ROUND(O709*$C709,0)</f>
        <v>#DIV/0!</v>
      </c>
      <c r="R709" s="223"/>
      <c r="S709" s="173" t="e">
        <f>$S$631</f>
        <v>#DIV/0!</v>
      </c>
      <c r="T709" s="149"/>
      <c r="U709" s="223" t="e">
        <f>ROUND(S709*$C709,0)</f>
        <v>#DIV/0!</v>
      </c>
      <c r="V709" s="44"/>
      <c r="W709" s="91"/>
      <c r="X709" s="91"/>
      <c r="Y709" s="91"/>
      <c r="Z709" s="44"/>
      <c r="AA709" s="44"/>
      <c r="AB709" s="44"/>
      <c r="AC709" s="44"/>
      <c r="AD709" s="44"/>
      <c r="AE709" s="44"/>
      <c r="AF709" s="44"/>
      <c r="AG709" s="44"/>
      <c r="AH709" s="44"/>
      <c r="AI709" s="44"/>
      <c r="AJ709" s="44"/>
      <c r="AK709" s="44"/>
      <c r="AL709" s="44"/>
      <c r="AM709" s="44"/>
      <c r="AN709" s="44"/>
      <c r="AO709" s="44"/>
      <c r="AP709" s="44"/>
    </row>
    <row r="710" spans="1:44" hidden="1" x14ac:dyDescent="0.25">
      <c r="A710" s="206" t="s">
        <v>183</v>
      </c>
      <c r="B710" s="149"/>
      <c r="C710" s="204">
        <v>2032</v>
      </c>
      <c r="D710" s="227">
        <v>-30</v>
      </c>
      <c r="E710" s="223" t="s">
        <v>89</v>
      </c>
      <c r="F710" s="223">
        <f>-ROUND(D710*C710*$D$660,0)</f>
        <v>-610</v>
      </c>
      <c r="G710" s="227">
        <f>$G$632</f>
        <v>-30</v>
      </c>
      <c r="H710" s="223" t="s">
        <v>89</v>
      </c>
      <c r="I710" s="223">
        <f>ROUND(G710*$C710/100,0)</f>
        <v>-610</v>
      </c>
      <c r="J710" s="223"/>
      <c r="K710" s="227">
        <f>$K$632</f>
        <v>-30</v>
      </c>
      <c r="L710" s="223" t="s">
        <v>89</v>
      </c>
      <c r="M710" s="223">
        <f>ROUND(K710*$C710/100,0)</f>
        <v>-610</v>
      </c>
      <c r="N710" s="223"/>
      <c r="O710" s="227" t="str">
        <f>$O$632</f>
        <v xml:space="preserve"> </v>
      </c>
      <c r="P710" s="223" t="s">
        <v>89</v>
      </c>
      <c r="Q710" s="223">
        <f>ROUND(O710*$C710/100,0)</f>
        <v>0</v>
      </c>
      <c r="R710" s="223"/>
      <c r="S710" s="227">
        <f>$S$632</f>
        <v>0</v>
      </c>
      <c r="T710" s="223" t="s">
        <v>89</v>
      </c>
      <c r="U710" s="223">
        <f>ROUND(S710*$C710/100,0)</f>
        <v>0</v>
      </c>
      <c r="V710" s="44"/>
      <c r="W710" s="91"/>
      <c r="X710" s="91"/>
      <c r="Y710" s="91"/>
      <c r="Z710" s="44"/>
      <c r="AA710" s="44"/>
      <c r="AB710" s="44"/>
      <c r="AC710" s="44"/>
      <c r="AD710" s="44"/>
      <c r="AE710" s="44"/>
      <c r="AF710" s="44"/>
      <c r="AG710" s="44"/>
      <c r="AH710" s="44"/>
      <c r="AI710" s="44"/>
      <c r="AJ710" s="44"/>
      <c r="AK710" s="44"/>
      <c r="AL710" s="44"/>
      <c r="AM710" s="44"/>
      <c r="AN710" s="44"/>
      <c r="AO710" s="44"/>
      <c r="AP710" s="44"/>
    </row>
    <row r="711" spans="1:44" s="120" customFormat="1" hidden="1" x14ac:dyDescent="0.25">
      <c r="A711" s="119" t="s">
        <v>167</v>
      </c>
      <c r="C711" s="121">
        <f>C706</f>
        <v>490733.33333333302</v>
      </c>
      <c r="D711" s="128">
        <v>0</v>
      </c>
      <c r="E711" s="122"/>
      <c r="F711" s="123"/>
      <c r="G711" s="124">
        <f>G696</f>
        <v>0</v>
      </c>
      <c r="H711" s="256" t="s">
        <v>89</v>
      </c>
      <c r="I711" s="256">
        <f>ROUND(G711*$C711/100*G698,0)</f>
        <v>0</v>
      </c>
      <c r="J711" s="256"/>
      <c r="K711" s="124" t="str">
        <f>K696</f>
        <v xml:space="preserve"> </v>
      </c>
      <c r="L711" s="256" t="s">
        <v>89</v>
      </c>
      <c r="M711" s="256">
        <f>ROUND(K711*$C711/100*K698,0)</f>
        <v>0</v>
      </c>
      <c r="N711" s="256"/>
      <c r="O711" s="124" t="str">
        <f>O696</f>
        <v xml:space="preserve"> </v>
      </c>
      <c r="P711" s="256" t="s">
        <v>89</v>
      </c>
      <c r="Q711" s="256">
        <f>ROUND(O711*$C711/100*O698,0)</f>
        <v>0</v>
      </c>
      <c r="R711" s="256"/>
      <c r="S711" s="124">
        <f>S696</f>
        <v>0</v>
      </c>
      <c r="T711" s="256" t="s">
        <v>89</v>
      </c>
      <c r="U711" s="256">
        <f>ROUND(S711*$C711/100*S698,0)</f>
        <v>0</v>
      </c>
      <c r="W711" s="112"/>
      <c r="Z711" s="127"/>
      <c r="AA711" s="127"/>
      <c r="AF711" s="122"/>
      <c r="AG711" s="122"/>
      <c r="AH711" s="122"/>
      <c r="AI711" s="122"/>
      <c r="AJ711" s="122"/>
      <c r="AK711" s="122"/>
      <c r="AL711" s="122"/>
      <c r="AM711" s="122"/>
      <c r="AN711" s="122"/>
      <c r="AO711" s="122"/>
      <c r="AP711" s="122"/>
      <c r="AR711" s="126"/>
    </row>
    <row r="712" spans="1:44" s="120" customFormat="1" hidden="1" x14ac:dyDescent="0.25">
      <c r="A712" s="119" t="s">
        <v>168</v>
      </c>
      <c r="C712" s="121">
        <f>C707</f>
        <v>21066.666666666977</v>
      </c>
      <c r="D712" s="128">
        <v>0</v>
      </c>
      <c r="E712" s="122"/>
      <c r="F712" s="123"/>
      <c r="G712" s="124">
        <f>G697</f>
        <v>0</v>
      </c>
      <c r="H712" s="256" t="s">
        <v>89</v>
      </c>
      <c r="I712" s="256">
        <f>ROUND(G712*$C712/100*G698,0)</f>
        <v>0</v>
      </c>
      <c r="J712" s="256"/>
      <c r="K712" s="124" t="str">
        <f>K697</f>
        <v xml:space="preserve"> </v>
      </c>
      <c r="L712" s="256" t="s">
        <v>89</v>
      </c>
      <c r="M712" s="256">
        <f>ROUND(K712*$C712/100*K698,0)</f>
        <v>0</v>
      </c>
      <c r="N712" s="256"/>
      <c r="O712" s="124" t="str">
        <f>O697</f>
        <v xml:space="preserve"> </v>
      </c>
      <c r="P712" s="256" t="s">
        <v>89</v>
      </c>
      <c r="Q712" s="256">
        <f>ROUND(O712*$C712/100*O698,0)</f>
        <v>0</v>
      </c>
      <c r="R712" s="256"/>
      <c r="S712" s="124">
        <f>S697</f>
        <v>0</v>
      </c>
      <c r="T712" s="256" t="s">
        <v>89</v>
      </c>
      <c r="U712" s="256">
        <f>ROUND(S712*$C712/100*S698,0)</f>
        <v>0</v>
      </c>
      <c r="W712" s="112"/>
      <c r="Z712" s="127"/>
      <c r="AA712" s="127"/>
      <c r="AF712" s="122"/>
      <c r="AG712" s="122"/>
      <c r="AH712" s="122"/>
      <c r="AI712" s="122"/>
      <c r="AJ712" s="122"/>
      <c r="AK712" s="122"/>
      <c r="AL712" s="122"/>
      <c r="AM712" s="122"/>
      <c r="AN712" s="122"/>
      <c r="AO712" s="122"/>
      <c r="AP712" s="122"/>
      <c r="AR712" s="126"/>
    </row>
    <row r="713" spans="1:44" hidden="1" x14ac:dyDescent="0.25">
      <c r="A713" s="149" t="s">
        <v>114</v>
      </c>
      <c r="B713" s="149"/>
      <c r="C713" s="204">
        <f>SUM(C693:C694)</f>
        <v>105202572</v>
      </c>
      <c r="D713" s="212"/>
      <c r="E713" s="149"/>
      <c r="F713" s="111">
        <f>SUM(F683:F710)</f>
        <v>8566587</v>
      </c>
      <c r="G713" s="212"/>
      <c r="H713" s="149"/>
      <c r="I713" s="111">
        <f>SUM(I683:I712)</f>
        <v>8769351</v>
      </c>
      <c r="J713" s="111"/>
      <c r="K713" s="212"/>
      <c r="L713" s="149"/>
      <c r="M713" s="111" t="e">
        <f>SUM(M683:M712)</f>
        <v>#REF!</v>
      </c>
      <c r="N713" s="111"/>
      <c r="O713" s="212"/>
      <c r="P713" s="149"/>
      <c r="Q713" s="111" t="e">
        <f>SUM(Q683:Q712)</f>
        <v>#REF!</v>
      </c>
      <c r="R713" s="111"/>
      <c r="S713" s="212"/>
      <c r="T713" s="149"/>
      <c r="U713" s="111" t="e">
        <f>SUM(U683:U712)</f>
        <v>#REF!</v>
      </c>
      <c r="V713" s="44"/>
      <c r="W713" s="91"/>
      <c r="X713" s="91"/>
      <c r="Y713" s="91"/>
      <c r="Z713" s="44"/>
      <c r="AA713" s="44"/>
      <c r="AB713" s="44"/>
      <c r="AC713" s="44"/>
      <c r="AD713" s="44"/>
      <c r="AE713" s="44"/>
      <c r="AF713" s="44"/>
      <c r="AG713" s="44"/>
      <c r="AH713" s="44"/>
      <c r="AI713" s="44"/>
      <c r="AJ713" s="44"/>
      <c r="AK713" s="44"/>
      <c r="AL713" s="44"/>
      <c r="AM713" s="44"/>
      <c r="AN713" s="44"/>
      <c r="AO713" s="44"/>
      <c r="AP713" s="44"/>
    </row>
    <row r="714" spans="1:44" hidden="1" x14ac:dyDescent="0.25">
      <c r="A714" s="149" t="s">
        <v>92</v>
      </c>
      <c r="B714" s="149"/>
      <c r="C714" s="248">
        <v>327096.30737224856</v>
      </c>
      <c r="D714" s="134"/>
      <c r="E714" s="134"/>
      <c r="F714" s="132">
        <v>26533.50156434354</v>
      </c>
      <c r="G714" s="134"/>
      <c r="H714" s="134"/>
      <c r="I714" s="132">
        <f>F714</f>
        <v>26533.50156434354</v>
      </c>
      <c r="J714" s="133"/>
      <c r="K714" s="134"/>
      <c r="L714" s="134"/>
      <c r="M714" s="132" t="e">
        <f>M636/I636*I714</f>
        <v>#DIV/0!</v>
      </c>
      <c r="N714" s="133"/>
      <c r="O714" s="134"/>
      <c r="P714" s="134"/>
      <c r="Q714" s="132" t="e">
        <f>Q636/I636*I714</f>
        <v>#DIV/0!</v>
      </c>
      <c r="R714" s="133"/>
      <c r="S714" s="134"/>
      <c r="T714" s="134"/>
      <c r="U714" s="132" t="e">
        <f>U636/I636*I714</f>
        <v>#DIV/0!</v>
      </c>
      <c r="V714" s="165"/>
      <c r="W714" s="163"/>
      <c r="X714" s="91"/>
      <c r="Y714" s="91"/>
      <c r="Z714" s="44"/>
      <c r="AA714" s="44"/>
      <c r="AB714" s="44"/>
      <c r="AC714" s="44"/>
      <c r="AD714" s="44"/>
      <c r="AE714" s="44"/>
      <c r="AF714" s="44"/>
      <c r="AG714" s="44"/>
      <c r="AH714" s="44"/>
      <c r="AI714" s="44"/>
      <c r="AJ714" s="44"/>
      <c r="AK714" s="44"/>
      <c r="AL714" s="44"/>
      <c r="AM714" s="44"/>
      <c r="AN714" s="44"/>
      <c r="AO714" s="44"/>
      <c r="AP714" s="44"/>
    </row>
    <row r="715" spans="1:44" ht="16.5" hidden="1" thickBot="1" x14ac:dyDescent="0.3">
      <c r="A715" s="149" t="s">
        <v>115</v>
      </c>
      <c r="B715" s="149"/>
      <c r="C715" s="265">
        <f>SUM(C713)+C714</f>
        <v>105529668.30737224</v>
      </c>
      <c r="D715" s="245"/>
      <c r="E715" s="232"/>
      <c r="F715" s="233">
        <f>F713+F714</f>
        <v>8593120.5015643444</v>
      </c>
      <c r="G715" s="245"/>
      <c r="H715" s="232"/>
      <c r="I715" s="233">
        <f>I713+I714</f>
        <v>8795884.5015643444</v>
      </c>
      <c r="J715" s="207"/>
      <c r="K715" s="245"/>
      <c r="L715" s="232"/>
      <c r="M715" s="233" t="e">
        <f>M713+M714</f>
        <v>#REF!</v>
      </c>
      <c r="N715" s="233"/>
      <c r="O715" s="245"/>
      <c r="P715" s="232"/>
      <c r="Q715" s="233" t="e">
        <f>Q713+Q714</f>
        <v>#REF!</v>
      </c>
      <c r="R715" s="233"/>
      <c r="S715" s="245"/>
      <c r="T715" s="232"/>
      <c r="U715" s="233" t="e">
        <f>U713+U714</f>
        <v>#REF!</v>
      </c>
      <c r="V715" s="166"/>
      <c r="W715" s="167"/>
      <c r="X715" s="91"/>
      <c r="Y715" s="91"/>
      <c r="Z715" s="44"/>
      <c r="AA715" s="44"/>
      <c r="AB715" s="44"/>
      <c r="AC715" s="44"/>
      <c r="AD715" s="44"/>
      <c r="AE715" s="44"/>
      <c r="AF715" s="44"/>
      <c r="AG715" s="44"/>
      <c r="AH715" s="44"/>
      <c r="AI715" s="44"/>
      <c r="AJ715" s="44"/>
      <c r="AK715" s="44"/>
      <c r="AL715" s="44"/>
      <c r="AM715" s="44"/>
      <c r="AN715" s="44"/>
      <c r="AO715" s="44"/>
      <c r="AP715" s="44"/>
    </row>
    <row r="716" spans="1:44" hidden="1" x14ac:dyDescent="0.25">
      <c r="A716" s="179"/>
      <c r="B716" s="289"/>
      <c r="C716" s="179"/>
      <c r="D716" s="149"/>
      <c r="E716" s="179"/>
      <c r="F716" s="290"/>
      <c r="G716" s="179"/>
      <c r="H716" s="179"/>
      <c r="I716" s="179"/>
      <c r="J716" s="179"/>
      <c r="K716" s="179"/>
      <c r="L716" s="179"/>
      <c r="M716" s="179"/>
      <c r="N716" s="179"/>
      <c r="O716" s="179"/>
      <c r="P716" s="179"/>
      <c r="Q716" s="179"/>
      <c r="R716" s="179"/>
      <c r="S716" s="179"/>
      <c r="T716" s="179"/>
      <c r="U716" s="179"/>
      <c r="V716" s="44"/>
      <c r="W716" s="91"/>
      <c r="X716" s="91"/>
      <c r="Y716" s="91"/>
      <c r="Z716" s="44"/>
      <c r="AA716" s="44"/>
      <c r="AB716" s="44"/>
      <c r="AC716" s="44"/>
      <c r="AD716" s="44"/>
      <c r="AE716" s="44"/>
      <c r="AF716" s="44"/>
      <c r="AG716" s="44"/>
      <c r="AH716" s="44"/>
      <c r="AI716" s="44"/>
      <c r="AJ716" s="44"/>
      <c r="AK716" s="44"/>
      <c r="AL716" s="44"/>
      <c r="AM716" s="44"/>
      <c r="AN716" s="44"/>
      <c r="AO716" s="44"/>
      <c r="AP716" s="44"/>
    </row>
    <row r="717" spans="1:44" x14ac:dyDescent="0.25">
      <c r="A717" s="168" t="s">
        <v>186</v>
      </c>
      <c r="B717" s="149"/>
      <c r="C717" s="169"/>
      <c r="D717" s="226"/>
      <c r="E717" s="149"/>
      <c r="F717" s="111"/>
      <c r="G717" s="226"/>
      <c r="H717" s="149"/>
      <c r="I717" s="111"/>
      <c r="J717" s="111"/>
      <c r="K717" s="226"/>
      <c r="L717" s="149"/>
      <c r="M717" s="111"/>
      <c r="N717" s="111"/>
      <c r="O717" s="226"/>
      <c r="P717" s="149"/>
      <c r="Q717" s="111"/>
      <c r="R717" s="111"/>
      <c r="S717" s="226"/>
      <c r="T717" s="149"/>
      <c r="U717" s="111"/>
      <c r="V717" s="44"/>
      <c r="W717" s="91"/>
      <c r="X717" s="91"/>
      <c r="Y717" s="91"/>
      <c r="Z717" s="44"/>
      <c r="AA717" s="44"/>
      <c r="AB717" s="44"/>
      <c r="AC717" s="44"/>
      <c r="AD717" s="44"/>
      <c r="AE717" s="44"/>
      <c r="AF717" s="44"/>
      <c r="AG717" s="44"/>
      <c r="AH717" s="44"/>
      <c r="AI717" s="44"/>
      <c r="AJ717" s="44"/>
      <c r="AK717" s="44"/>
      <c r="AL717" s="44"/>
      <c r="AM717" s="44"/>
      <c r="AN717" s="44"/>
      <c r="AO717" s="44"/>
      <c r="AP717" s="44"/>
    </row>
    <row r="718" spans="1:44" x14ac:dyDescent="0.25">
      <c r="A718" s="134" t="s">
        <v>187</v>
      </c>
      <c r="B718" s="149"/>
      <c r="C718" s="169"/>
      <c r="D718" s="226"/>
      <c r="E718" s="149"/>
      <c r="F718" s="111"/>
      <c r="G718" s="226"/>
      <c r="H718" s="149"/>
      <c r="I718" s="111"/>
      <c r="J718" s="111"/>
      <c r="K718" s="226"/>
      <c r="L718" s="149"/>
      <c r="M718" s="111"/>
      <c r="N718" s="111"/>
      <c r="O718" s="226"/>
      <c r="P718" s="149"/>
      <c r="Q718" s="111"/>
      <c r="R718" s="111"/>
      <c r="S718" s="226"/>
      <c r="T718" s="149"/>
      <c r="U718" s="111"/>
      <c r="V718" s="44"/>
      <c r="W718" s="91"/>
      <c r="X718" s="91"/>
      <c r="Y718" s="91"/>
      <c r="Z718" s="44"/>
      <c r="AA718" s="44"/>
      <c r="AB718" s="44"/>
      <c r="AC718" s="44"/>
      <c r="AD718" s="44"/>
      <c r="AE718" s="44"/>
      <c r="AF718" s="44"/>
      <c r="AG718" s="44"/>
      <c r="AH718" s="44"/>
      <c r="AI718" s="44"/>
      <c r="AJ718" s="44"/>
      <c r="AK718" s="44"/>
      <c r="AL718" s="44"/>
      <c r="AM718" s="44"/>
      <c r="AN718" s="44"/>
      <c r="AO718" s="44"/>
      <c r="AP718" s="44"/>
    </row>
    <row r="719" spans="1:44" x14ac:dyDescent="0.25">
      <c r="A719" s="206"/>
      <c r="B719" s="149"/>
      <c r="C719" s="169"/>
      <c r="D719" s="226"/>
      <c r="E719" s="149"/>
      <c r="F719" s="246"/>
      <c r="G719" s="226"/>
      <c r="H719" s="149"/>
      <c r="I719" s="291"/>
      <c r="J719" s="291"/>
      <c r="K719" s="226"/>
      <c r="L719" s="149"/>
      <c r="M719" s="291"/>
      <c r="N719" s="291"/>
      <c r="O719" s="226"/>
      <c r="P719" s="149"/>
      <c r="Q719" s="291"/>
      <c r="R719" s="291"/>
      <c r="S719" s="226"/>
      <c r="T719" s="149"/>
      <c r="U719" s="291"/>
      <c r="V719" s="44"/>
      <c r="W719" s="91"/>
      <c r="X719" s="91"/>
      <c r="Y719" s="91"/>
      <c r="Z719" s="44"/>
      <c r="AA719" s="44"/>
      <c r="AB719" s="44"/>
      <c r="AC719" s="44"/>
      <c r="AD719" s="44"/>
      <c r="AE719" s="44"/>
      <c r="AF719" s="44"/>
      <c r="AG719" s="44"/>
      <c r="AH719" s="44"/>
      <c r="AI719" s="44"/>
      <c r="AJ719" s="44"/>
      <c r="AK719" s="44"/>
      <c r="AL719" s="44"/>
      <c r="AM719" s="44"/>
      <c r="AN719" s="44"/>
      <c r="AO719" s="44"/>
      <c r="AP719" s="44"/>
    </row>
    <row r="720" spans="1:44" x14ac:dyDescent="0.25">
      <c r="A720" s="134" t="s">
        <v>188</v>
      </c>
      <c r="B720" s="149"/>
      <c r="C720" s="204"/>
      <c r="D720" s="111" t="s">
        <v>0</v>
      </c>
      <c r="E720" s="149"/>
      <c r="F720" s="149"/>
      <c r="G720" s="111" t="s">
        <v>0</v>
      </c>
      <c r="H720" s="149"/>
      <c r="I720" s="149"/>
      <c r="J720" s="149"/>
      <c r="K720" s="111" t="s">
        <v>0</v>
      </c>
      <c r="L720" s="149"/>
      <c r="M720" s="149"/>
      <c r="N720" s="149"/>
      <c r="O720" s="111" t="s">
        <v>0</v>
      </c>
      <c r="P720" s="149"/>
      <c r="Q720" s="149"/>
      <c r="R720" s="149"/>
      <c r="S720" s="111" t="s">
        <v>0</v>
      </c>
      <c r="T720" s="149"/>
      <c r="U720" s="149"/>
      <c r="V720" s="44"/>
      <c r="W720" s="91"/>
      <c r="X720" s="44"/>
      <c r="Y720" s="44"/>
      <c r="Z720" s="44"/>
      <c r="AA720" s="44"/>
      <c r="AB720" s="44"/>
      <c r="AC720" s="44"/>
      <c r="AD720" s="44"/>
      <c r="AE720" s="44"/>
      <c r="AF720" s="44"/>
      <c r="AJ720" s="44"/>
      <c r="AK720" s="44"/>
      <c r="AL720" s="44"/>
      <c r="AM720" s="44"/>
      <c r="AN720" s="44"/>
      <c r="AO720" s="44"/>
      <c r="AP720" s="44"/>
    </row>
    <row r="721" spans="1:42" x14ac:dyDescent="0.25">
      <c r="A721" s="134" t="s">
        <v>189</v>
      </c>
      <c r="B721" s="149"/>
      <c r="C721" s="204">
        <f>C775+C826</f>
        <v>1019.8115973941144</v>
      </c>
      <c r="D721" s="226">
        <v>0</v>
      </c>
      <c r="E721" s="251"/>
      <c r="F721" s="223">
        <f>F775+F826</f>
        <v>0</v>
      </c>
      <c r="G721" s="226">
        <v>0</v>
      </c>
      <c r="H721" s="251"/>
      <c r="I721" s="223">
        <f>I775+I826</f>
        <v>0</v>
      </c>
      <c r="J721" s="223"/>
      <c r="K721" s="226">
        <v>0</v>
      </c>
      <c r="L721" s="251"/>
      <c r="M721" s="223">
        <v>0</v>
      </c>
      <c r="N721" s="223"/>
      <c r="O721" s="226" t="s">
        <v>0</v>
      </c>
      <c r="P721" s="251"/>
      <c r="Q721" s="223">
        <v>0</v>
      </c>
      <c r="R721" s="223"/>
      <c r="S721" s="226" t="s">
        <v>0</v>
      </c>
      <c r="T721" s="251"/>
      <c r="U721" s="223">
        <v>0</v>
      </c>
      <c r="X721" s="52"/>
      <c r="Y721" s="52"/>
      <c r="AK721" s="44"/>
      <c r="AL721" s="44"/>
      <c r="AM721" s="44"/>
      <c r="AN721" s="44"/>
      <c r="AO721" s="44"/>
      <c r="AP721" s="44"/>
    </row>
    <row r="722" spans="1:42" x14ac:dyDescent="0.25">
      <c r="A722" s="134" t="s">
        <v>190</v>
      </c>
      <c r="B722" s="149"/>
      <c r="C722" s="204"/>
      <c r="D722" s="226"/>
      <c r="E722" s="251"/>
      <c r="F722" s="223"/>
      <c r="G722" s="226"/>
      <c r="H722" s="251"/>
      <c r="I722" s="223"/>
      <c r="J722" s="223"/>
      <c r="K722" s="226"/>
      <c r="L722" s="251"/>
      <c r="M722" s="223"/>
      <c r="N722" s="223"/>
      <c r="O722" s="226"/>
      <c r="P722" s="251"/>
      <c r="Q722" s="223"/>
      <c r="R722" s="223"/>
      <c r="S722" s="226"/>
      <c r="T722" s="251"/>
      <c r="U722" s="223"/>
      <c r="AA722" s="115"/>
      <c r="AB722" s="292"/>
      <c r="AC722" s="115"/>
      <c r="AD722" s="292"/>
      <c r="AE722" s="115"/>
      <c r="AF722" s="115"/>
      <c r="AG722" s="80"/>
      <c r="AK722" s="44"/>
      <c r="AL722" s="44"/>
      <c r="AM722" s="44"/>
      <c r="AN722" s="44"/>
      <c r="AO722" s="44"/>
      <c r="AP722" s="44"/>
    </row>
    <row r="723" spans="1:42" x14ac:dyDescent="0.25">
      <c r="A723" s="134" t="s">
        <v>191</v>
      </c>
      <c r="B723" s="149"/>
      <c r="C723" s="204">
        <f t="shared" ref="C723:C728" si="140">C777+C828</f>
        <v>3760.393248727928</v>
      </c>
      <c r="D723" s="226">
        <v>0</v>
      </c>
      <c r="E723" s="251"/>
      <c r="F723" s="223">
        <f>F777+F828</f>
        <v>0</v>
      </c>
      <c r="G723" s="226">
        <v>0</v>
      </c>
      <c r="H723" s="251"/>
      <c r="I723" s="223">
        <f>I777+I828</f>
        <v>0</v>
      </c>
      <c r="J723" s="223"/>
      <c r="K723" s="226">
        <v>0</v>
      </c>
      <c r="L723" s="251"/>
      <c r="M723" s="223">
        <v>0</v>
      </c>
      <c r="N723" s="223"/>
      <c r="O723" s="226" t="s">
        <v>0</v>
      </c>
      <c r="P723" s="251"/>
      <c r="Q723" s="223">
        <v>0</v>
      </c>
      <c r="R723" s="223"/>
      <c r="S723" s="226" t="s">
        <v>0</v>
      </c>
      <c r="T723" s="251"/>
      <c r="U723" s="223">
        <v>0</v>
      </c>
      <c r="V723" s="202"/>
      <c r="X723" s="135" t="s">
        <v>103</v>
      </c>
      <c r="Y723" s="135"/>
      <c r="AA723" s="115"/>
      <c r="AB723" s="292"/>
      <c r="AC723" s="115"/>
      <c r="AD723" s="292"/>
      <c r="AE723" s="115"/>
      <c r="AF723" s="115"/>
      <c r="AG723" s="80"/>
      <c r="AK723" s="44"/>
      <c r="AL723" s="44"/>
      <c r="AM723" s="44"/>
      <c r="AN723" s="44"/>
      <c r="AO723" s="44"/>
      <c r="AP723" s="44"/>
    </row>
    <row r="724" spans="1:42" x14ac:dyDescent="0.25">
      <c r="A724" s="134" t="s">
        <v>192</v>
      </c>
      <c r="B724" s="149"/>
      <c r="C724" s="204">
        <f t="shared" si="140"/>
        <v>431.38877405282796</v>
      </c>
      <c r="D724" s="226">
        <v>370</v>
      </c>
      <c r="E724" s="251"/>
      <c r="F724" s="223">
        <f>F778+F829</f>
        <v>159614</v>
      </c>
      <c r="G724" s="226">
        <v>379</v>
      </c>
      <c r="H724" s="251"/>
      <c r="I724" s="223">
        <f>I778+I829</f>
        <v>163496</v>
      </c>
      <c r="J724" s="223"/>
      <c r="K724" s="226">
        <v>370</v>
      </c>
      <c r="L724" s="251"/>
      <c r="M724" s="223">
        <v>159614</v>
      </c>
      <c r="N724" s="223"/>
      <c r="O724" s="226" t="s">
        <v>0</v>
      </c>
      <c r="P724" s="251"/>
      <c r="Q724" s="223">
        <v>0</v>
      </c>
      <c r="R724" s="223"/>
      <c r="S724" s="226" t="s">
        <v>0</v>
      </c>
      <c r="T724" s="251"/>
      <c r="U724" s="223">
        <v>0</v>
      </c>
      <c r="V724" s="98"/>
      <c r="X724" s="52">
        <f>(G724-D724)/D724</f>
        <v>2.4324324324324326E-2</v>
      </c>
      <c r="Y724" s="52"/>
      <c r="Z724" s="211"/>
      <c r="AA724" s="115"/>
      <c r="AB724" s="205"/>
      <c r="AC724" s="115"/>
      <c r="AD724" s="205"/>
      <c r="AE724" s="115"/>
      <c r="AF724" s="115"/>
      <c r="AG724" s="153"/>
      <c r="AK724" s="44"/>
      <c r="AL724" s="44"/>
      <c r="AM724" s="44"/>
      <c r="AN724" s="44"/>
      <c r="AO724" s="44"/>
      <c r="AP724" s="44"/>
    </row>
    <row r="725" spans="1:42" x14ac:dyDescent="0.25">
      <c r="A725" s="134" t="s">
        <v>193</v>
      </c>
      <c r="B725" s="149"/>
      <c r="C725" s="204">
        <f t="shared" si="140"/>
        <v>13.334244034527019</v>
      </c>
      <c r="D725" s="226">
        <v>1504</v>
      </c>
      <c r="E725" s="251"/>
      <c r="F725" s="223">
        <f>F779+F830</f>
        <v>20055</v>
      </c>
      <c r="G725" s="226">
        <v>1539</v>
      </c>
      <c r="H725" s="251"/>
      <c r="I725" s="223">
        <f>I779+I830</f>
        <v>20521</v>
      </c>
      <c r="J725" s="223"/>
      <c r="K725" s="226">
        <v>1504</v>
      </c>
      <c r="L725" s="251"/>
      <c r="M725" s="223">
        <v>20055</v>
      </c>
      <c r="N725" s="223"/>
      <c r="O725" s="226" t="s">
        <v>0</v>
      </c>
      <c r="P725" s="251"/>
      <c r="Q725" s="223">
        <v>0</v>
      </c>
      <c r="R725" s="223"/>
      <c r="S725" s="226" t="s">
        <v>0</v>
      </c>
      <c r="T725" s="251"/>
      <c r="U725" s="223">
        <v>0</v>
      </c>
      <c r="V725" s="98"/>
      <c r="X725" s="52">
        <f>(G725-D725)/D725</f>
        <v>2.327127659574468E-2</v>
      </c>
      <c r="Y725" s="52"/>
      <c r="AA725" s="115"/>
      <c r="AB725" s="115"/>
      <c r="AG725" s="44"/>
      <c r="AJ725" s="44"/>
      <c r="AK725" s="44"/>
      <c r="AL725" s="44"/>
      <c r="AM725" s="44"/>
      <c r="AN725" s="44"/>
      <c r="AO725" s="44"/>
      <c r="AP725" s="44"/>
    </row>
    <row r="726" spans="1:42" x14ac:dyDescent="0.25">
      <c r="A726" s="134" t="s">
        <v>90</v>
      </c>
      <c r="B726" s="149"/>
      <c r="C726" s="204">
        <f t="shared" si="140"/>
        <v>5224.9278642093977</v>
      </c>
      <c r="D726" s="226"/>
      <c r="E726" s="251"/>
      <c r="F726" s="223"/>
      <c r="G726" s="226"/>
      <c r="H726" s="251"/>
      <c r="I726" s="223"/>
      <c r="J726" s="223"/>
      <c r="K726" s="226"/>
      <c r="L726" s="251"/>
      <c r="M726" s="223"/>
      <c r="N726" s="223"/>
      <c r="O726" s="226"/>
      <c r="P726" s="251"/>
      <c r="Q726" s="223"/>
      <c r="R726" s="223"/>
      <c r="S726" s="226"/>
      <c r="T726" s="251"/>
      <c r="U726" s="223"/>
      <c r="V726" s="98"/>
      <c r="X726" s="205"/>
      <c r="Y726" s="205"/>
      <c r="Z726" s="98"/>
      <c r="AG726" s="211"/>
      <c r="AH726" s="211"/>
      <c r="AI726" s="44"/>
      <c r="AJ726" s="44"/>
      <c r="AK726" s="44"/>
      <c r="AL726" s="44"/>
      <c r="AM726" s="44"/>
      <c r="AN726" s="44"/>
      <c r="AO726" s="44"/>
      <c r="AP726" s="44"/>
    </row>
    <row r="727" spans="1:42" x14ac:dyDescent="0.25">
      <c r="A727" s="134" t="s">
        <v>194</v>
      </c>
      <c r="B727" s="149"/>
      <c r="C727" s="204">
        <f t="shared" si="140"/>
        <v>39964.6016666668</v>
      </c>
      <c r="D727" s="226"/>
      <c r="E727" s="251"/>
      <c r="F727" s="223"/>
      <c r="G727" s="226"/>
      <c r="H727" s="251"/>
      <c r="I727" s="223"/>
      <c r="J727" s="223"/>
      <c r="K727" s="226"/>
      <c r="L727" s="251"/>
      <c r="M727" s="223"/>
      <c r="N727" s="223"/>
      <c r="O727" s="226"/>
      <c r="P727" s="251"/>
      <c r="Q727" s="223"/>
      <c r="R727" s="223"/>
      <c r="S727" s="226"/>
      <c r="T727" s="251"/>
      <c r="U727" s="223"/>
      <c r="V727" s="98"/>
      <c r="Z727" s="98"/>
      <c r="AI727" s="44"/>
      <c r="AJ727" s="44"/>
      <c r="AK727" s="44"/>
      <c r="AL727" s="44"/>
      <c r="AM727" s="44"/>
      <c r="AN727" s="44"/>
      <c r="AO727" s="44"/>
      <c r="AP727" s="44"/>
    </row>
    <row r="728" spans="1:42" x14ac:dyDescent="0.25">
      <c r="A728" s="134" t="s">
        <v>195</v>
      </c>
      <c r="B728" s="149"/>
      <c r="C728" s="204">
        <f t="shared" si="140"/>
        <v>5844</v>
      </c>
      <c r="D728" s="226"/>
      <c r="E728" s="223"/>
      <c r="F728" s="223"/>
      <c r="G728" s="226"/>
      <c r="H728" s="223"/>
      <c r="I728" s="293" t="s">
        <v>0</v>
      </c>
      <c r="J728" s="293"/>
      <c r="K728" s="226"/>
      <c r="L728" s="223"/>
      <c r="M728" s="293" t="s">
        <v>0</v>
      </c>
      <c r="N728" s="293"/>
      <c r="O728" s="226"/>
      <c r="P728" s="223"/>
      <c r="Q728" s="293" t="s">
        <v>0</v>
      </c>
      <c r="R728" s="293"/>
      <c r="S728" s="226"/>
      <c r="T728" s="223"/>
      <c r="U728" s="293" t="s">
        <v>0</v>
      </c>
      <c r="V728" s="98"/>
      <c r="X728" s="205"/>
      <c r="Y728" s="205"/>
      <c r="Z728" s="228"/>
      <c r="AI728" s="44"/>
      <c r="AJ728" s="44"/>
      <c r="AK728" s="44"/>
      <c r="AL728" s="44"/>
      <c r="AM728" s="44"/>
      <c r="AN728" s="44"/>
      <c r="AO728" s="44"/>
      <c r="AP728" s="44"/>
    </row>
    <row r="729" spans="1:42" x14ac:dyDescent="0.25">
      <c r="A729" s="134" t="s">
        <v>196</v>
      </c>
      <c r="B729" s="149"/>
      <c r="C729" s="204"/>
      <c r="D729" s="226"/>
      <c r="E729" s="251"/>
      <c r="F729" s="223"/>
      <c r="G729" s="226"/>
      <c r="H729" s="251"/>
      <c r="I729" s="223"/>
      <c r="J729" s="223"/>
      <c r="K729" s="226"/>
      <c r="L729" s="251"/>
      <c r="M729" s="223"/>
      <c r="N729" s="223"/>
      <c r="O729" s="226"/>
      <c r="P729" s="251"/>
      <c r="Q729" s="223"/>
      <c r="R729" s="223"/>
      <c r="S729" s="226"/>
      <c r="T729" s="251"/>
      <c r="U729" s="223"/>
      <c r="V729" s="98"/>
      <c r="X729" s="205"/>
      <c r="Y729" s="205"/>
      <c r="Z729" s="98"/>
      <c r="AI729" s="44"/>
      <c r="AJ729" s="44"/>
      <c r="AK729" s="44"/>
      <c r="AL729" s="44"/>
      <c r="AM729" s="44"/>
      <c r="AN729" s="44"/>
      <c r="AO729" s="44"/>
      <c r="AP729" s="44"/>
    </row>
    <row r="730" spans="1:42" x14ac:dyDescent="0.25">
      <c r="A730" s="134" t="s">
        <v>197</v>
      </c>
      <c r="B730" s="149"/>
      <c r="C730" s="204">
        <f>C784+C835</f>
        <v>3200.9016113138414</v>
      </c>
      <c r="D730" s="226">
        <v>26.02</v>
      </c>
      <c r="E730" s="251"/>
      <c r="F730" s="223">
        <f>F784+F835</f>
        <v>83288</v>
      </c>
      <c r="G730" s="226">
        <v>26.63</v>
      </c>
      <c r="H730" s="251"/>
      <c r="I730" s="223">
        <f>I784+I835</f>
        <v>85240</v>
      </c>
      <c r="J730" s="223"/>
      <c r="K730" s="226">
        <v>26.02</v>
      </c>
      <c r="L730" s="251"/>
      <c r="M730" s="223">
        <v>83288</v>
      </c>
      <c r="N730" s="223"/>
      <c r="O730" s="226" t="s">
        <v>0</v>
      </c>
      <c r="P730" s="251"/>
      <c r="Q730" s="223">
        <v>0</v>
      </c>
      <c r="R730" s="223"/>
      <c r="S730" s="226" t="s">
        <v>0</v>
      </c>
      <c r="T730" s="251"/>
      <c r="U730" s="223">
        <v>0</v>
      </c>
      <c r="V730" s="294"/>
      <c r="X730" s="52">
        <f>(G730-D730)/D730</f>
        <v>2.3443504996156782E-2</v>
      </c>
      <c r="Y730" s="52"/>
      <c r="Z730" s="98"/>
      <c r="AK730" s="44"/>
      <c r="AL730" s="44"/>
      <c r="AM730" s="44"/>
      <c r="AN730" s="44"/>
      <c r="AO730" s="44"/>
      <c r="AP730" s="44"/>
    </row>
    <row r="731" spans="1:42" x14ac:dyDescent="0.25">
      <c r="A731" s="134" t="s">
        <v>198</v>
      </c>
      <c r="B731" s="149"/>
      <c r="C731" s="204"/>
      <c r="D731" s="226"/>
      <c r="E731" s="251"/>
      <c r="F731" s="223"/>
      <c r="G731" s="226"/>
      <c r="H731" s="251"/>
      <c r="I731" s="223"/>
      <c r="J731" s="223"/>
      <c r="K731" s="226"/>
      <c r="L731" s="251"/>
      <c r="M731" s="223"/>
      <c r="N731" s="223"/>
      <c r="O731" s="226"/>
      <c r="P731" s="251"/>
      <c r="Q731" s="223"/>
      <c r="R731" s="223"/>
      <c r="S731" s="226"/>
      <c r="T731" s="251"/>
      <c r="U731" s="223"/>
      <c r="V731" s="294"/>
      <c r="X731" s="205"/>
      <c r="Y731" s="205"/>
      <c r="Z731" s="98"/>
      <c r="AK731" s="44"/>
      <c r="AL731" s="44"/>
      <c r="AM731" s="44"/>
      <c r="AN731" s="44"/>
      <c r="AO731" s="44"/>
      <c r="AP731" s="44"/>
    </row>
    <row r="732" spans="1:42" x14ac:dyDescent="0.25">
      <c r="A732" s="134" t="s">
        <v>191</v>
      </c>
      <c r="B732" s="149"/>
      <c r="C732" s="204">
        <f>C786+C837</f>
        <v>53216.72760788173</v>
      </c>
      <c r="D732" s="226">
        <v>26.02</v>
      </c>
      <c r="E732" s="251"/>
      <c r="F732" s="223">
        <f>F786+F837</f>
        <v>1384699</v>
      </c>
      <c r="G732" s="226">
        <v>26.63</v>
      </c>
      <c r="H732" s="251"/>
      <c r="I732" s="223">
        <f>I786+I837</f>
        <v>1417162</v>
      </c>
      <c r="J732" s="223"/>
      <c r="K732" s="226">
        <v>26.02</v>
      </c>
      <c r="L732" s="251"/>
      <c r="M732" s="223">
        <v>1384699</v>
      </c>
      <c r="N732" s="223"/>
      <c r="O732" s="226" t="s">
        <v>0</v>
      </c>
      <c r="P732" s="251"/>
      <c r="Q732" s="223">
        <v>0</v>
      </c>
      <c r="R732" s="223"/>
      <c r="S732" s="226" t="s">
        <v>0</v>
      </c>
      <c r="T732" s="251"/>
      <c r="U732" s="223">
        <v>0</v>
      </c>
      <c r="V732" s="294"/>
      <c r="X732" s="52">
        <f>(G732-D732)/D732</f>
        <v>2.3443504996156782E-2</v>
      </c>
      <c r="Y732" s="52"/>
      <c r="Z732" s="98"/>
      <c r="AK732" s="44"/>
      <c r="AL732" s="44"/>
      <c r="AM732" s="44"/>
      <c r="AN732" s="44"/>
      <c r="AO732" s="44"/>
      <c r="AP732" s="44"/>
    </row>
    <row r="733" spans="1:42" x14ac:dyDescent="0.25">
      <c r="A733" s="134" t="s">
        <v>192</v>
      </c>
      <c r="B733" s="149"/>
      <c r="C733" s="204">
        <f>C787+C838</f>
        <v>40819.098454276304</v>
      </c>
      <c r="D733" s="226">
        <v>18.101388370764003</v>
      </c>
      <c r="E733" s="251"/>
      <c r="F733" s="223">
        <f>F787+F838</f>
        <v>738882</v>
      </c>
      <c r="G733" s="226">
        <v>18.526286850528336</v>
      </c>
      <c r="H733" s="251"/>
      <c r="I733" s="223">
        <f>I787+I838</f>
        <v>756227</v>
      </c>
      <c r="J733" s="223"/>
      <c r="K733" s="226">
        <v>18.101388370764003</v>
      </c>
      <c r="L733" s="251"/>
      <c r="M733" s="223">
        <v>738882</v>
      </c>
      <c r="N733" s="223"/>
      <c r="O733" s="226" t="s">
        <v>0</v>
      </c>
      <c r="P733" s="251"/>
      <c r="Q733" s="223">
        <v>0</v>
      </c>
      <c r="R733" s="223"/>
      <c r="S733" s="226" t="s">
        <v>0</v>
      </c>
      <c r="T733" s="251"/>
      <c r="U733" s="223">
        <v>0</v>
      </c>
      <c r="V733" s="294"/>
      <c r="X733" s="52">
        <f>(G733-D733)/D733</f>
        <v>2.3473253601397657E-2</v>
      </c>
      <c r="Y733" s="52"/>
      <c r="Z733" s="98"/>
      <c r="AC733" s="115"/>
      <c r="AD733" s="115"/>
      <c r="AE733" s="115"/>
      <c r="AF733" s="115"/>
      <c r="AG733" s="115"/>
      <c r="AH733" s="80"/>
      <c r="AI733" s="44" t="s">
        <v>0</v>
      </c>
      <c r="AJ733" s="44"/>
      <c r="AK733" s="44"/>
      <c r="AL733" s="44"/>
      <c r="AM733" s="44"/>
      <c r="AN733" s="44"/>
      <c r="AO733" s="44"/>
      <c r="AP733" s="44"/>
    </row>
    <row r="734" spans="1:42" x14ac:dyDescent="0.25">
      <c r="A734" s="134" t="s">
        <v>193</v>
      </c>
      <c r="B734" s="149" t="s">
        <v>0</v>
      </c>
      <c r="C734" s="204">
        <f>C788+C839</f>
        <v>5313.3743371072133</v>
      </c>
      <c r="D734" s="226">
        <v>14.155824964645021</v>
      </c>
      <c r="E734" s="251"/>
      <c r="F734" s="223">
        <f>F788+F839</f>
        <v>75215</v>
      </c>
      <c r="G734" s="226">
        <v>14.48810823397713</v>
      </c>
      <c r="H734" s="251"/>
      <c r="I734" s="223">
        <f>I788+I839</f>
        <v>76980</v>
      </c>
      <c r="J734" s="223"/>
      <c r="K734" s="226">
        <v>14.155824964645021</v>
      </c>
      <c r="L734" s="251"/>
      <c r="M734" s="223">
        <v>75215</v>
      </c>
      <c r="N734" s="223"/>
      <c r="O734" s="226" t="s">
        <v>0</v>
      </c>
      <c r="P734" s="251"/>
      <c r="Q734" s="223">
        <v>0</v>
      </c>
      <c r="R734" s="223"/>
      <c r="S734" s="226" t="s">
        <v>0</v>
      </c>
      <c r="T734" s="251"/>
      <c r="U734" s="223">
        <v>0</v>
      </c>
      <c r="V734" s="294"/>
      <c r="X734" s="52">
        <f>(G734-D734)/D734</f>
        <v>2.3473253601397681E-2</v>
      </c>
      <c r="Y734" s="52"/>
      <c r="Z734" s="98"/>
      <c r="AI734" s="44" t="s">
        <v>0</v>
      </c>
      <c r="AJ734" s="44"/>
      <c r="AK734" s="44"/>
      <c r="AL734" s="44"/>
      <c r="AM734" s="44"/>
      <c r="AN734" s="44"/>
      <c r="AO734" s="44"/>
      <c r="AP734" s="44"/>
    </row>
    <row r="735" spans="1:42" x14ac:dyDescent="0.25">
      <c r="A735" s="134" t="s">
        <v>199</v>
      </c>
      <c r="B735" s="149"/>
      <c r="C735" s="204">
        <f>C789+C840</f>
        <v>559.74429781916001</v>
      </c>
      <c r="D735" s="226">
        <v>78.06</v>
      </c>
      <c r="E735" s="251"/>
      <c r="F735" s="223">
        <f>F789+F840</f>
        <v>43693</v>
      </c>
      <c r="G735" s="226">
        <v>79.89</v>
      </c>
      <c r="H735" s="251"/>
      <c r="I735" s="223">
        <f>I789+I840</f>
        <v>44718</v>
      </c>
      <c r="J735" s="223"/>
      <c r="K735" s="226">
        <v>78.06</v>
      </c>
      <c r="L735" s="251"/>
      <c r="M735" s="223">
        <v>43693</v>
      </c>
      <c r="N735" s="223"/>
      <c r="O735" s="226" t="s">
        <v>0</v>
      </c>
      <c r="P735" s="251"/>
      <c r="Q735" s="223">
        <v>0</v>
      </c>
      <c r="R735" s="223"/>
      <c r="S735" s="226" t="s">
        <v>0</v>
      </c>
      <c r="T735" s="251"/>
      <c r="U735" s="223">
        <v>0</v>
      </c>
      <c r="V735" s="98"/>
      <c r="X735" s="52">
        <f>(G735-D735)/D735</f>
        <v>2.3443504996156779E-2</v>
      </c>
      <c r="Y735" s="52"/>
      <c r="Z735" s="98"/>
      <c r="AI735" s="44"/>
      <c r="AJ735" s="44"/>
      <c r="AK735" s="44"/>
      <c r="AL735" s="44"/>
      <c r="AM735" s="44"/>
      <c r="AN735" s="44"/>
      <c r="AO735" s="44"/>
      <c r="AP735" s="44"/>
    </row>
    <row r="736" spans="1:42" x14ac:dyDescent="0.25">
      <c r="A736" s="134" t="s">
        <v>200</v>
      </c>
      <c r="B736" s="149"/>
      <c r="C736" s="204">
        <f>C790+C841</f>
        <v>984.58847619077994</v>
      </c>
      <c r="D736" s="226">
        <v>156.12</v>
      </c>
      <c r="E736" s="251"/>
      <c r="F736" s="223">
        <f>F790+F841</f>
        <v>153714</v>
      </c>
      <c r="G736" s="226">
        <v>159.78</v>
      </c>
      <c r="H736" s="251"/>
      <c r="I736" s="223">
        <f>I790+I841</f>
        <v>157318</v>
      </c>
      <c r="J736" s="223"/>
      <c r="K736" s="226">
        <v>156.12</v>
      </c>
      <c r="L736" s="251"/>
      <c r="M736" s="223">
        <v>153714</v>
      </c>
      <c r="N736" s="223"/>
      <c r="O736" s="226" t="s">
        <v>0</v>
      </c>
      <c r="P736" s="251"/>
      <c r="Q736" s="223">
        <v>0</v>
      </c>
      <c r="R736" s="223"/>
      <c r="S736" s="226" t="s">
        <v>0</v>
      </c>
      <c r="T736" s="251"/>
      <c r="U736" s="223">
        <v>0</v>
      </c>
      <c r="V736" s="98"/>
      <c r="X736" s="52">
        <f>(G736-D736)/D736</f>
        <v>2.3443504996156779E-2</v>
      </c>
      <c r="Y736" s="52"/>
      <c r="Z736" s="98"/>
      <c r="AI736" s="44"/>
      <c r="AJ736" s="44"/>
      <c r="AK736" s="44"/>
      <c r="AL736" s="44"/>
      <c r="AM736" s="44"/>
      <c r="AN736" s="44"/>
      <c r="AO736" s="44"/>
      <c r="AP736" s="44"/>
    </row>
    <row r="737" spans="1:44" x14ac:dyDescent="0.25">
      <c r="A737" s="134" t="s">
        <v>201</v>
      </c>
      <c r="B737" s="149"/>
      <c r="C737" s="204"/>
      <c r="D737" s="226"/>
      <c r="E737" s="251"/>
      <c r="F737" s="223"/>
      <c r="G737" s="226"/>
      <c r="H737" s="251"/>
      <c r="I737" s="223"/>
      <c r="J737" s="223"/>
      <c r="K737" s="226"/>
      <c r="L737" s="251"/>
      <c r="M737" s="223"/>
      <c r="N737" s="223"/>
      <c r="O737" s="226"/>
      <c r="P737" s="251"/>
      <c r="Q737" s="223"/>
      <c r="R737" s="223"/>
      <c r="S737" s="226"/>
      <c r="T737" s="251"/>
      <c r="U737" s="223"/>
      <c r="V737" s="98"/>
      <c r="X737" s="92"/>
      <c r="Y737" s="92"/>
      <c r="Z737" s="98"/>
      <c r="AI737" s="44"/>
      <c r="AJ737" s="44"/>
      <c r="AK737" s="44"/>
      <c r="AL737" s="44"/>
      <c r="AM737" s="44"/>
      <c r="AN737" s="44"/>
      <c r="AO737" s="44"/>
      <c r="AP737" s="44"/>
    </row>
    <row r="738" spans="1:44" x14ac:dyDescent="0.25">
      <c r="A738" s="134" t="s">
        <v>197</v>
      </c>
      <c r="B738" s="149"/>
      <c r="C738" s="204">
        <f>C792+C843</f>
        <v>40.035839968204996</v>
      </c>
      <c r="D738" s="250">
        <v>-26.02</v>
      </c>
      <c r="E738" s="251"/>
      <c r="F738" s="223">
        <f>F792+F843</f>
        <v>-1041</v>
      </c>
      <c r="G738" s="250">
        <f>-G730</f>
        <v>-26.63</v>
      </c>
      <c r="H738" s="251"/>
      <c r="I738" s="223">
        <f>I792+I843</f>
        <v>-1066</v>
      </c>
      <c r="J738" s="223"/>
      <c r="K738" s="250">
        <f>-K730</f>
        <v>-26.02</v>
      </c>
      <c r="L738" s="251"/>
      <c r="M738" s="223">
        <v>-1041</v>
      </c>
      <c r="N738" s="223"/>
      <c r="O738" s="250">
        <f>-O730</f>
        <v>0</v>
      </c>
      <c r="P738" s="251"/>
      <c r="Q738" s="223">
        <v>0</v>
      </c>
      <c r="R738" s="223"/>
      <c r="S738" s="250">
        <f>-S730</f>
        <v>0</v>
      </c>
      <c r="T738" s="251"/>
      <c r="U738" s="223">
        <v>0</v>
      </c>
      <c r="V738" s="98"/>
      <c r="X738" s="92"/>
      <c r="Y738" s="92"/>
      <c r="Z738" s="98"/>
      <c r="AI738" s="44"/>
      <c r="AJ738" s="44"/>
      <c r="AK738" s="44"/>
      <c r="AL738" s="44"/>
      <c r="AM738" s="44"/>
      <c r="AN738" s="44"/>
      <c r="AO738" s="44"/>
      <c r="AP738" s="44"/>
    </row>
    <row r="739" spans="1:44" x14ac:dyDescent="0.25">
      <c r="A739" s="134" t="s">
        <v>202</v>
      </c>
      <c r="B739" s="149"/>
      <c r="C739" s="204">
        <f>C793+C844</f>
        <v>411.79827649787603</v>
      </c>
      <c r="D739" s="250">
        <v>-26.02</v>
      </c>
      <c r="E739" s="251"/>
      <c r="F739" s="223">
        <f>F793+F844</f>
        <v>-10715</v>
      </c>
      <c r="G739" s="250">
        <f>-G732</f>
        <v>-26.63</v>
      </c>
      <c r="H739" s="251"/>
      <c r="I739" s="223">
        <f>I793+I844</f>
        <v>-10966</v>
      </c>
      <c r="J739" s="223"/>
      <c r="K739" s="250">
        <f>-K732</f>
        <v>-26.02</v>
      </c>
      <c r="L739" s="251"/>
      <c r="M739" s="223">
        <v>-10715</v>
      </c>
      <c r="N739" s="223"/>
      <c r="O739" s="250">
        <f>-O732</f>
        <v>0</v>
      </c>
      <c r="P739" s="251"/>
      <c r="Q739" s="223">
        <v>0</v>
      </c>
      <c r="R739" s="223"/>
      <c r="S739" s="250">
        <f>-S732</f>
        <v>0</v>
      </c>
      <c r="T739" s="251"/>
      <c r="U739" s="223">
        <v>0</v>
      </c>
      <c r="V739" s="98"/>
      <c r="X739" s="92"/>
      <c r="Y739" s="92"/>
      <c r="Z739" s="98"/>
      <c r="AI739" s="44"/>
      <c r="AJ739" s="44"/>
      <c r="AK739" s="44"/>
      <c r="AL739" s="44"/>
      <c r="AM739" s="44"/>
      <c r="AN739" s="44"/>
      <c r="AO739" s="44"/>
      <c r="AP739" s="44"/>
    </row>
    <row r="740" spans="1:44" x14ac:dyDescent="0.25">
      <c r="A740" s="206" t="s">
        <v>164</v>
      </c>
      <c r="B740" s="149"/>
      <c r="C740" s="204">
        <f>C794+C845</f>
        <v>0</v>
      </c>
      <c r="D740" s="226"/>
      <c r="E740" s="223"/>
      <c r="F740" s="223"/>
      <c r="G740" s="226"/>
      <c r="H740" s="223"/>
      <c r="I740" s="223"/>
      <c r="J740" s="223"/>
      <c r="K740" s="226"/>
      <c r="L740" s="223"/>
      <c r="M740" s="223"/>
      <c r="N740" s="295" t="s">
        <v>0</v>
      </c>
      <c r="O740" s="226"/>
      <c r="P740" s="223"/>
      <c r="Q740" s="223"/>
      <c r="R740" s="223"/>
      <c r="S740" s="226"/>
      <c r="T740" s="223"/>
      <c r="U740" s="223"/>
      <c r="V740" s="98"/>
      <c r="X740" s="92"/>
      <c r="Y740" s="92"/>
      <c r="Z740" s="98"/>
      <c r="AA740" s="92" t="s">
        <v>0</v>
      </c>
      <c r="AI740" s="44"/>
      <c r="AJ740" s="44"/>
      <c r="AK740" s="44"/>
      <c r="AL740" s="44"/>
      <c r="AM740" s="44"/>
      <c r="AN740" s="44"/>
      <c r="AO740" s="44"/>
      <c r="AP740" s="44"/>
    </row>
    <row r="741" spans="1:44" x14ac:dyDescent="0.25">
      <c r="A741" s="134" t="s">
        <v>203</v>
      </c>
      <c r="B741" s="149"/>
      <c r="C741" s="204">
        <f>C795+C846</f>
        <v>158323871.89494899</v>
      </c>
      <c r="D741" s="296">
        <v>7.0350000000000001</v>
      </c>
      <c r="E741" s="223" t="s">
        <v>89</v>
      </c>
      <c r="F741" s="223">
        <f>F795+F846</f>
        <v>11138085</v>
      </c>
      <c r="G741" s="296">
        <v>7.2030000000000003</v>
      </c>
      <c r="H741" s="223" t="s">
        <v>89</v>
      </c>
      <c r="I741" s="223">
        <f>I795+I846</f>
        <v>11404068</v>
      </c>
      <c r="J741" s="223"/>
      <c r="K741" s="296" t="e">
        <v>#REF!</v>
      </c>
      <c r="L741" s="295" t="s">
        <v>0</v>
      </c>
      <c r="M741" s="223" t="e">
        <v>#REF!</v>
      </c>
      <c r="N741" s="223"/>
      <c r="O741" s="296" t="e">
        <v>#DIV/0!</v>
      </c>
      <c r="P741" s="223" t="s">
        <v>89</v>
      </c>
      <c r="Q741" s="223" t="e">
        <v>#DIV/0!</v>
      </c>
      <c r="R741" s="223"/>
      <c r="S741" s="296" t="e">
        <v>#DIV/0!</v>
      </c>
      <c r="T741" s="223" t="s">
        <v>89</v>
      </c>
      <c r="U741" s="223" t="e">
        <v>#DIV/0!</v>
      </c>
      <c r="V741" s="297"/>
      <c r="X741" s="52">
        <f>((G741+G743)-D741)/D741</f>
        <v>2.3880597014925394E-2</v>
      </c>
      <c r="Y741" s="52"/>
      <c r="Z741" s="98"/>
      <c r="AI741" s="44"/>
      <c r="AJ741" s="44"/>
      <c r="AK741" s="44"/>
      <c r="AL741" s="44"/>
      <c r="AM741" s="44"/>
      <c r="AN741" s="44"/>
      <c r="AO741" s="44"/>
      <c r="AP741" s="44"/>
    </row>
    <row r="742" spans="1:44" x14ac:dyDescent="0.25">
      <c r="A742" s="206" t="s">
        <v>133</v>
      </c>
      <c r="B742" s="149"/>
      <c r="C742" s="204">
        <f>C796+C847</f>
        <v>60236</v>
      </c>
      <c r="D742" s="298">
        <v>57</v>
      </c>
      <c r="E742" s="206" t="s">
        <v>89</v>
      </c>
      <c r="F742" s="223">
        <f>F796+F847</f>
        <v>34334</v>
      </c>
      <c r="G742" s="298">
        <v>58</v>
      </c>
      <c r="H742" s="206" t="s">
        <v>89</v>
      </c>
      <c r="I742" s="223">
        <f>I796+I847</f>
        <v>34937</v>
      </c>
      <c r="J742" s="223"/>
      <c r="K742" s="298" t="s">
        <v>0</v>
      </c>
      <c r="L742" s="299" t="s">
        <v>0</v>
      </c>
      <c r="M742" s="223">
        <v>0</v>
      </c>
      <c r="N742" s="223"/>
      <c r="O742" s="298" t="e">
        <v>#DIV/0!</v>
      </c>
      <c r="P742" s="206" t="s">
        <v>89</v>
      </c>
      <c r="Q742" s="223" t="e">
        <v>#DIV/0!</v>
      </c>
      <c r="R742" s="223"/>
      <c r="S742" s="298" t="e">
        <v>#DIV/0!</v>
      </c>
      <c r="T742" s="206" t="s">
        <v>89</v>
      </c>
      <c r="U742" s="223" t="e">
        <v>#DIV/0!</v>
      </c>
      <c r="X742" s="52">
        <f>(G742-D742)/D742</f>
        <v>1.7543859649122806E-2</v>
      </c>
      <c r="Y742" s="52"/>
      <c r="Z742" s="98"/>
      <c r="AI742" s="44"/>
      <c r="AJ742" s="44"/>
      <c r="AK742" s="44"/>
      <c r="AL742" s="44"/>
      <c r="AM742" s="44"/>
      <c r="AN742" s="44"/>
      <c r="AO742" s="44"/>
      <c r="AP742" s="44"/>
    </row>
    <row r="743" spans="1:44" s="120" customFormat="1" hidden="1" x14ac:dyDescent="0.25">
      <c r="A743" s="119" t="s">
        <v>204</v>
      </c>
      <c r="C743" s="214">
        <f>C741</f>
        <v>158323871.89494899</v>
      </c>
      <c r="D743" s="128">
        <v>0</v>
      </c>
      <c r="E743" s="122"/>
      <c r="F743" s="123"/>
      <c r="G743" s="124">
        <v>0</v>
      </c>
      <c r="H743" s="215" t="s">
        <v>89</v>
      </c>
      <c r="I743" s="256" t="e">
        <f>#REF!+I848</f>
        <v>#REF!</v>
      </c>
      <c r="J743" s="256"/>
      <c r="K743" s="124" t="s">
        <v>0</v>
      </c>
      <c r="L743" s="215" t="s">
        <v>0</v>
      </c>
      <c r="M743" s="223">
        <v>0</v>
      </c>
      <c r="N743" s="256"/>
      <c r="O743" s="124" t="s">
        <v>0</v>
      </c>
      <c r="P743" s="215" t="s">
        <v>0</v>
      </c>
      <c r="Q743" s="256" t="e">
        <f>#REF!+Q848</f>
        <v>#REF!</v>
      </c>
      <c r="R743" s="256"/>
      <c r="S743" s="124">
        <v>0</v>
      </c>
      <c r="T743" s="215" t="s">
        <v>89</v>
      </c>
      <c r="U743" s="223">
        <v>0</v>
      </c>
      <c r="V743" s="126">
        <v>4820591.7626756122</v>
      </c>
      <c r="W743" s="112" t="s">
        <v>205</v>
      </c>
      <c r="Z743" s="127"/>
      <c r="AA743" s="127"/>
      <c r="AF743" s="122"/>
      <c r="AG743" s="122"/>
      <c r="AH743" s="122"/>
      <c r="AI743" s="122"/>
      <c r="AJ743" s="122"/>
      <c r="AK743" s="122"/>
      <c r="AL743" s="122"/>
      <c r="AM743" s="122"/>
      <c r="AN743" s="122"/>
      <c r="AO743" s="122"/>
      <c r="AP743" s="122"/>
      <c r="AR743" s="126"/>
    </row>
    <row r="744" spans="1:44" s="120" customFormat="1" hidden="1" x14ac:dyDescent="0.25">
      <c r="A744" s="182" t="s">
        <v>206</v>
      </c>
      <c r="B744" s="183"/>
      <c r="C744" s="216"/>
      <c r="D744" s="300">
        <v>7.0350000000000001</v>
      </c>
      <c r="E744" s="217" t="s">
        <v>89</v>
      </c>
      <c r="F744" s="187"/>
      <c r="G744" s="185">
        <f>G741+G743</f>
        <v>7.2030000000000003</v>
      </c>
      <c r="H744" s="217" t="s">
        <v>89</v>
      </c>
      <c r="I744" s="272"/>
      <c r="J744" s="272"/>
      <c r="K744" s="185" t="e">
        <f>K741+K743</f>
        <v>#REF!</v>
      </c>
      <c r="L744" s="217" t="s">
        <v>89</v>
      </c>
      <c r="M744" s="272"/>
      <c r="N744" s="272"/>
      <c r="O744" s="185" t="e">
        <f>O741+O743</f>
        <v>#DIV/0!</v>
      </c>
      <c r="P744" s="217" t="s">
        <v>89</v>
      </c>
      <c r="Q744" s="272"/>
      <c r="R744" s="272"/>
      <c r="S744" s="185" t="e">
        <f>S741+S743</f>
        <v>#DIV/0!</v>
      </c>
      <c r="T744" s="217" t="s">
        <v>89</v>
      </c>
      <c r="U744" s="272"/>
      <c r="V744" s="126"/>
      <c r="W744" s="112"/>
      <c r="X744" s="52">
        <f>(G744-D744)/D744</f>
        <v>2.3880597014925394E-2</v>
      </c>
      <c r="Z744" s="127"/>
      <c r="AA744" s="127"/>
      <c r="AF744" s="122"/>
      <c r="AG744" s="122"/>
      <c r="AH744" s="122"/>
      <c r="AI744" s="122"/>
      <c r="AJ744" s="122"/>
      <c r="AK744" s="122"/>
      <c r="AL744" s="122"/>
      <c r="AM744" s="122"/>
      <c r="AN744" s="122"/>
      <c r="AO744" s="122"/>
      <c r="AP744" s="122"/>
      <c r="AR744" s="126"/>
    </row>
    <row r="745" spans="1:44" x14ac:dyDescent="0.25">
      <c r="A745" s="257" t="s">
        <v>140</v>
      </c>
      <c r="B745" s="149"/>
      <c r="C745" s="204"/>
      <c r="D745" s="220">
        <v>-0.01</v>
      </c>
      <c r="E745" s="149"/>
      <c r="F745" s="223"/>
      <c r="G745" s="220">
        <v>-0.01</v>
      </c>
      <c r="H745" s="149"/>
      <c r="I745" s="223"/>
      <c r="J745" s="223"/>
      <c r="K745" s="220">
        <v>-0.01</v>
      </c>
      <c r="L745" s="149"/>
      <c r="M745" s="223"/>
      <c r="N745" s="223"/>
      <c r="O745" s="220">
        <v>-0.01</v>
      </c>
      <c r="P745" s="149"/>
      <c r="Q745" s="223"/>
      <c r="R745" s="223"/>
      <c r="S745" s="220">
        <v>-0.01</v>
      </c>
      <c r="T745" s="149"/>
      <c r="U745" s="223"/>
      <c r="AI745" s="44"/>
      <c r="AJ745" s="44"/>
      <c r="AK745" s="44"/>
      <c r="AL745" s="44"/>
      <c r="AM745" s="44"/>
      <c r="AN745" s="44"/>
      <c r="AO745" s="44"/>
      <c r="AP745" s="44"/>
    </row>
    <row r="746" spans="1:44" x14ac:dyDescent="0.25">
      <c r="A746" s="134" t="s">
        <v>124</v>
      </c>
      <c r="B746" s="149"/>
      <c r="C746" s="204">
        <f>C798+C850</f>
        <v>0</v>
      </c>
      <c r="D746" s="246">
        <v>0</v>
      </c>
      <c r="E746" s="251"/>
      <c r="F746" s="223">
        <f>F798+F850</f>
        <v>0</v>
      </c>
      <c r="G746" s="246">
        <f>G721</f>
        <v>0</v>
      </c>
      <c r="H746" s="251"/>
      <c r="I746" s="223">
        <f>I798+I850</f>
        <v>0</v>
      </c>
      <c r="J746" s="223"/>
      <c r="K746" s="246">
        <f>K721</f>
        <v>0</v>
      </c>
      <c r="L746" s="251"/>
      <c r="M746" s="223">
        <v>0</v>
      </c>
      <c r="N746" s="223"/>
      <c r="O746" s="246" t="str">
        <f>O721</f>
        <v xml:space="preserve"> </v>
      </c>
      <c r="P746" s="251"/>
      <c r="Q746" s="223">
        <v>0</v>
      </c>
      <c r="R746" s="223"/>
      <c r="S746" s="246" t="str">
        <f>S721</f>
        <v xml:space="preserve"> </v>
      </c>
      <c r="T746" s="251"/>
      <c r="U746" s="223">
        <v>0</v>
      </c>
      <c r="AI746" s="44"/>
      <c r="AJ746" s="44"/>
      <c r="AK746" s="44"/>
      <c r="AL746" s="44"/>
      <c r="AM746" s="44"/>
      <c r="AN746" s="44"/>
      <c r="AO746" s="44"/>
      <c r="AP746" s="44"/>
    </row>
    <row r="747" spans="1:44" x14ac:dyDescent="0.25">
      <c r="A747" s="134" t="s">
        <v>125</v>
      </c>
      <c r="B747" s="149"/>
      <c r="C747" s="204"/>
      <c r="D747" s="246"/>
      <c r="E747" s="251"/>
      <c r="F747" s="223"/>
      <c r="G747" s="246"/>
      <c r="H747" s="251"/>
      <c r="I747" s="223"/>
      <c r="J747" s="223"/>
      <c r="K747" s="246"/>
      <c r="L747" s="251"/>
      <c r="M747" s="223"/>
      <c r="N747" s="223"/>
      <c r="O747" s="246"/>
      <c r="P747" s="251"/>
      <c r="Q747" s="223"/>
      <c r="R747" s="223"/>
      <c r="S747" s="246"/>
      <c r="T747" s="251"/>
      <c r="U747" s="223"/>
      <c r="AI747" s="44"/>
      <c r="AJ747" s="44"/>
      <c r="AK747" s="44"/>
      <c r="AL747" s="44"/>
      <c r="AM747" s="44"/>
      <c r="AN747" s="44"/>
      <c r="AO747" s="44"/>
      <c r="AP747" s="44"/>
    </row>
    <row r="748" spans="1:44" x14ac:dyDescent="0.25">
      <c r="A748" s="134" t="s">
        <v>191</v>
      </c>
      <c r="B748" s="149"/>
      <c r="C748" s="204">
        <f>C800+C852</f>
        <v>1.0000071591230999</v>
      </c>
      <c r="D748" s="246">
        <v>0</v>
      </c>
      <c r="E748" s="251"/>
      <c r="F748" s="223">
        <f>F800+F852</f>
        <v>0</v>
      </c>
      <c r="G748" s="246">
        <f>G723</f>
        <v>0</v>
      </c>
      <c r="H748" s="251"/>
      <c r="I748" s="223">
        <f>I800+I852</f>
        <v>0</v>
      </c>
      <c r="J748" s="223"/>
      <c r="K748" s="246">
        <f>K723</f>
        <v>0</v>
      </c>
      <c r="L748" s="251"/>
      <c r="M748" s="223">
        <v>0</v>
      </c>
      <c r="N748" s="223"/>
      <c r="O748" s="246" t="str">
        <f>O723</f>
        <v xml:space="preserve"> </v>
      </c>
      <c r="P748" s="251"/>
      <c r="Q748" s="223">
        <v>0</v>
      </c>
      <c r="R748" s="223"/>
      <c r="S748" s="246" t="str">
        <f>S723</f>
        <v xml:space="preserve"> </v>
      </c>
      <c r="T748" s="251"/>
      <c r="U748" s="223">
        <v>0</v>
      </c>
      <c r="AI748" s="44"/>
      <c r="AJ748" s="44"/>
      <c r="AK748" s="44"/>
      <c r="AL748" s="44"/>
      <c r="AM748" s="44"/>
      <c r="AN748" s="44"/>
      <c r="AO748" s="44"/>
      <c r="AP748" s="44"/>
    </row>
    <row r="749" spans="1:44" x14ac:dyDescent="0.25">
      <c r="A749" s="134" t="s">
        <v>192</v>
      </c>
      <c r="B749" s="149"/>
      <c r="C749" s="204">
        <f>C801+C853</f>
        <v>0</v>
      </c>
      <c r="D749" s="246">
        <v>370</v>
      </c>
      <c r="E749" s="251"/>
      <c r="F749" s="223">
        <f>F801+F853</f>
        <v>0</v>
      </c>
      <c r="G749" s="246">
        <f>G724</f>
        <v>379</v>
      </c>
      <c r="H749" s="251"/>
      <c r="I749" s="223">
        <f>I801+I853</f>
        <v>0</v>
      </c>
      <c r="J749" s="223"/>
      <c r="K749" s="246">
        <f>K724</f>
        <v>370</v>
      </c>
      <c r="L749" s="251"/>
      <c r="M749" s="223">
        <v>0</v>
      </c>
      <c r="N749" s="223"/>
      <c r="O749" s="246" t="str">
        <f>O724</f>
        <v xml:space="preserve"> </v>
      </c>
      <c r="P749" s="251"/>
      <c r="Q749" s="223">
        <v>0</v>
      </c>
      <c r="R749" s="223"/>
      <c r="S749" s="246" t="str">
        <f>S724</f>
        <v xml:space="preserve"> </v>
      </c>
      <c r="T749" s="251"/>
      <c r="U749" s="223">
        <v>0</v>
      </c>
      <c r="AI749" s="44"/>
      <c r="AJ749" s="44"/>
      <c r="AK749" s="44"/>
      <c r="AL749" s="44"/>
      <c r="AM749" s="44"/>
      <c r="AN749" s="44"/>
      <c r="AO749" s="44"/>
      <c r="AP749" s="44"/>
    </row>
    <row r="750" spans="1:44" x14ac:dyDescent="0.25">
      <c r="A750" s="134" t="s">
        <v>193</v>
      </c>
      <c r="B750" s="149"/>
      <c r="C750" s="204">
        <f>C802+C854</f>
        <v>0</v>
      </c>
      <c r="D750" s="246">
        <v>1504</v>
      </c>
      <c r="E750" s="251"/>
      <c r="F750" s="223">
        <f>F802+F854</f>
        <v>0</v>
      </c>
      <c r="G750" s="246">
        <f>G725</f>
        <v>1539</v>
      </c>
      <c r="H750" s="251"/>
      <c r="I750" s="223">
        <f>I802+I854</f>
        <v>0</v>
      </c>
      <c r="J750" s="223"/>
      <c r="K750" s="246">
        <f>K725</f>
        <v>1504</v>
      </c>
      <c r="L750" s="251"/>
      <c r="M750" s="223">
        <v>0</v>
      </c>
      <c r="N750" s="223"/>
      <c r="O750" s="246" t="str">
        <f>O725</f>
        <v xml:space="preserve"> </v>
      </c>
      <c r="P750" s="251"/>
      <c r="Q750" s="223">
        <v>0</v>
      </c>
      <c r="R750" s="223"/>
      <c r="S750" s="246" t="str">
        <f>S725</f>
        <v xml:space="preserve"> </v>
      </c>
      <c r="T750" s="251"/>
      <c r="U750" s="223">
        <v>0</v>
      </c>
      <c r="AI750" s="44"/>
      <c r="AJ750" s="44"/>
      <c r="AK750" s="44"/>
      <c r="AL750" s="44"/>
      <c r="AM750" s="44"/>
      <c r="AN750" s="44"/>
      <c r="AO750" s="44"/>
      <c r="AP750" s="44"/>
    </row>
    <row r="751" spans="1:44" x14ac:dyDescent="0.25">
      <c r="A751" s="134" t="s">
        <v>124</v>
      </c>
      <c r="B751" s="149"/>
      <c r="C751" s="204">
        <f>C803+C855</f>
        <v>0</v>
      </c>
      <c r="D751" s="246">
        <v>26.02</v>
      </c>
      <c r="E751" s="251"/>
      <c r="F751" s="223">
        <f>F803+F855</f>
        <v>0</v>
      </c>
      <c r="G751" s="246">
        <f>G730</f>
        <v>26.63</v>
      </c>
      <c r="H751" s="251"/>
      <c r="I751" s="223">
        <f>I803+I855</f>
        <v>0</v>
      </c>
      <c r="J751" s="223"/>
      <c r="K751" s="246">
        <f>K730</f>
        <v>26.02</v>
      </c>
      <c r="L751" s="251"/>
      <c r="M751" s="223">
        <v>0</v>
      </c>
      <c r="N751" s="223"/>
      <c r="O751" s="246" t="str">
        <f>O730</f>
        <v xml:space="preserve"> </v>
      </c>
      <c r="P751" s="251"/>
      <c r="Q751" s="223">
        <v>0</v>
      </c>
      <c r="R751" s="223"/>
      <c r="S751" s="246" t="str">
        <f>S730</f>
        <v xml:space="preserve"> </v>
      </c>
      <c r="T751" s="251"/>
      <c r="U751" s="223">
        <v>0</v>
      </c>
      <c r="AI751" s="44"/>
      <c r="AJ751" s="44"/>
      <c r="AK751" s="44"/>
      <c r="AL751" s="44"/>
      <c r="AM751" s="44"/>
      <c r="AN751" s="44"/>
      <c r="AO751" s="44"/>
      <c r="AP751" s="44"/>
    </row>
    <row r="752" spans="1:44" x14ac:dyDescent="0.25">
      <c r="A752" s="134" t="s">
        <v>125</v>
      </c>
      <c r="B752" s="149"/>
      <c r="C752" s="204"/>
      <c r="D752" s="246"/>
      <c r="E752" s="251"/>
      <c r="F752" s="223"/>
      <c r="G752" s="246"/>
      <c r="H752" s="251"/>
      <c r="I752" s="223"/>
      <c r="J752" s="223"/>
      <c r="K752" s="246"/>
      <c r="L752" s="251"/>
      <c r="M752" s="223"/>
      <c r="N752" s="223"/>
      <c r="O752" s="246"/>
      <c r="P752" s="251"/>
      <c r="Q752" s="223"/>
      <c r="R752" s="223"/>
      <c r="S752" s="246"/>
      <c r="T752" s="251"/>
      <c r="U752" s="223"/>
      <c r="AI752" s="44"/>
      <c r="AJ752" s="44"/>
      <c r="AK752" s="44"/>
      <c r="AL752" s="44"/>
      <c r="AM752" s="44"/>
      <c r="AN752" s="44"/>
      <c r="AO752" s="44"/>
      <c r="AP752" s="44"/>
    </row>
    <row r="753" spans="1:44" x14ac:dyDescent="0.25">
      <c r="A753" s="134" t="s">
        <v>191</v>
      </c>
      <c r="B753" s="149"/>
      <c r="C753" s="204">
        <f>C805+C857</f>
        <v>38.0002720466778</v>
      </c>
      <c r="D753" s="246">
        <v>26.02</v>
      </c>
      <c r="E753" s="251"/>
      <c r="F753" s="223">
        <f>F805+F857</f>
        <v>-10</v>
      </c>
      <c r="G753" s="246">
        <f>G732</f>
        <v>26.63</v>
      </c>
      <c r="H753" s="251"/>
      <c r="I753" s="223">
        <f>I805+I857</f>
        <v>-10</v>
      </c>
      <c r="J753" s="223"/>
      <c r="K753" s="246">
        <f>K732</f>
        <v>26.02</v>
      </c>
      <c r="L753" s="251"/>
      <c r="M753" s="223">
        <v>-10</v>
      </c>
      <c r="N753" s="223"/>
      <c r="O753" s="246" t="str">
        <f>O732</f>
        <v xml:space="preserve"> </v>
      </c>
      <c r="P753" s="251"/>
      <c r="Q753" s="223">
        <v>0</v>
      </c>
      <c r="R753" s="223"/>
      <c r="S753" s="246" t="str">
        <f>S732</f>
        <v xml:space="preserve"> </v>
      </c>
      <c r="T753" s="251"/>
      <c r="U753" s="223">
        <v>0</v>
      </c>
      <c r="AI753" s="44"/>
      <c r="AJ753" s="44"/>
      <c r="AK753" s="44"/>
      <c r="AL753" s="44"/>
      <c r="AM753" s="44"/>
      <c r="AN753" s="44"/>
      <c r="AO753" s="44"/>
      <c r="AP753" s="44"/>
    </row>
    <row r="754" spans="1:44" x14ac:dyDescent="0.25">
      <c r="A754" s="134" t="s">
        <v>192</v>
      </c>
      <c r="B754" s="149"/>
      <c r="C754" s="204">
        <f>C806+C858</f>
        <v>0</v>
      </c>
      <c r="D754" s="246">
        <v>18.101388370764003</v>
      </c>
      <c r="E754" s="251"/>
      <c r="F754" s="223">
        <f>F806+F858</f>
        <v>0</v>
      </c>
      <c r="G754" s="246">
        <f>G733</f>
        <v>18.526286850528336</v>
      </c>
      <c r="H754" s="251"/>
      <c r="I754" s="223">
        <f>I806+I858</f>
        <v>0</v>
      </c>
      <c r="J754" s="223"/>
      <c r="K754" s="246">
        <f>K733</f>
        <v>18.101388370764003</v>
      </c>
      <c r="L754" s="251"/>
      <c r="M754" s="223">
        <v>0</v>
      </c>
      <c r="N754" s="223"/>
      <c r="O754" s="246" t="str">
        <f>O733</f>
        <v xml:space="preserve"> </v>
      </c>
      <c r="P754" s="251"/>
      <c r="Q754" s="223">
        <v>0</v>
      </c>
      <c r="R754" s="223"/>
      <c r="S754" s="246" t="str">
        <f>S733</f>
        <v xml:space="preserve"> </v>
      </c>
      <c r="T754" s="251"/>
      <c r="U754" s="223">
        <v>0</v>
      </c>
      <c r="AI754" s="44"/>
      <c r="AJ754" s="44"/>
      <c r="AK754" s="44"/>
      <c r="AL754" s="44"/>
      <c r="AM754" s="44"/>
      <c r="AN754" s="44"/>
      <c r="AO754" s="44"/>
      <c r="AP754" s="44"/>
    </row>
    <row r="755" spans="1:44" x14ac:dyDescent="0.25">
      <c r="A755" s="134" t="s">
        <v>193</v>
      </c>
      <c r="B755" s="149"/>
      <c r="C755" s="204">
        <f>C807+C859</f>
        <v>0</v>
      </c>
      <c r="D755" s="246">
        <v>14.155824964645021</v>
      </c>
      <c r="E755" s="251"/>
      <c r="F755" s="223">
        <f>F807+F859</f>
        <v>0</v>
      </c>
      <c r="G755" s="246">
        <f>G734</f>
        <v>14.48810823397713</v>
      </c>
      <c r="H755" s="251"/>
      <c r="I755" s="223">
        <f>I807+I859</f>
        <v>0</v>
      </c>
      <c r="J755" s="223"/>
      <c r="K755" s="246">
        <f>K734</f>
        <v>14.155824964645021</v>
      </c>
      <c r="L755" s="251"/>
      <c r="M755" s="223">
        <v>0</v>
      </c>
      <c r="N755" s="223"/>
      <c r="O755" s="246" t="str">
        <f>O734</f>
        <v xml:space="preserve"> </v>
      </c>
      <c r="P755" s="251"/>
      <c r="Q755" s="223">
        <v>0</v>
      </c>
      <c r="R755" s="223"/>
      <c r="S755" s="246" t="str">
        <f>S734</f>
        <v xml:space="preserve"> </v>
      </c>
      <c r="T755" s="251"/>
      <c r="U755" s="223">
        <v>0</v>
      </c>
      <c r="AI755" s="44"/>
      <c r="AJ755" s="44"/>
      <c r="AK755" s="44"/>
      <c r="AL755" s="44"/>
      <c r="AM755" s="44"/>
      <c r="AN755" s="44"/>
      <c r="AO755" s="44"/>
      <c r="AP755" s="44"/>
    </row>
    <row r="756" spans="1:44" x14ac:dyDescent="0.25">
      <c r="A756" s="134" t="s">
        <v>207</v>
      </c>
      <c r="B756" s="149"/>
      <c r="C756" s="204">
        <f>C808+C860</f>
        <v>0</v>
      </c>
      <c r="D756" s="250">
        <v>78.06</v>
      </c>
      <c r="E756" s="251"/>
      <c r="F756" s="223">
        <f>F808+F860</f>
        <v>0</v>
      </c>
      <c r="G756" s="250">
        <f>G735</f>
        <v>79.89</v>
      </c>
      <c r="H756" s="251"/>
      <c r="I756" s="223">
        <f>I808+I860</f>
        <v>0</v>
      </c>
      <c r="J756" s="223"/>
      <c r="K756" s="250">
        <f>K735</f>
        <v>78.06</v>
      </c>
      <c r="L756" s="251"/>
      <c r="M756" s="223">
        <v>0</v>
      </c>
      <c r="N756" s="223"/>
      <c r="O756" s="250" t="str">
        <f>O735</f>
        <v xml:space="preserve"> </v>
      </c>
      <c r="P756" s="251"/>
      <c r="Q756" s="223">
        <v>0</v>
      </c>
      <c r="R756" s="223"/>
      <c r="S756" s="250" t="str">
        <f>S735</f>
        <v xml:space="preserve"> </v>
      </c>
      <c r="T756" s="251"/>
      <c r="U756" s="223">
        <v>0</v>
      </c>
      <c r="AI756" s="44"/>
      <c r="AJ756" s="44"/>
      <c r="AK756" s="44"/>
      <c r="AL756" s="44"/>
      <c r="AM756" s="44"/>
      <c r="AN756" s="44"/>
      <c r="AO756" s="44"/>
      <c r="AP756" s="44"/>
    </row>
    <row r="757" spans="1:44" x14ac:dyDescent="0.25">
      <c r="A757" s="134" t="s">
        <v>208</v>
      </c>
      <c r="B757" s="149"/>
      <c r="C757" s="204">
        <f>C809+C861</f>
        <v>0</v>
      </c>
      <c r="D757" s="250">
        <v>156.12</v>
      </c>
      <c r="E757" s="251"/>
      <c r="F757" s="223">
        <f>F809+F861</f>
        <v>0</v>
      </c>
      <c r="G757" s="250">
        <f>G736</f>
        <v>159.78</v>
      </c>
      <c r="H757" s="251"/>
      <c r="I757" s="223">
        <f>I809+I861</f>
        <v>0</v>
      </c>
      <c r="J757" s="223"/>
      <c r="K757" s="250">
        <f>K736</f>
        <v>156.12</v>
      </c>
      <c r="L757" s="251"/>
      <c r="M757" s="223">
        <v>0</v>
      </c>
      <c r="N757" s="223"/>
      <c r="O757" s="250" t="str">
        <f>O736</f>
        <v xml:space="preserve"> </v>
      </c>
      <c r="P757" s="251"/>
      <c r="Q757" s="223">
        <v>0</v>
      </c>
      <c r="R757" s="223"/>
      <c r="S757" s="250" t="str">
        <f>S736</f>
        <v xml:space="preserve"> </v>
      </c>
      <c r="T757" s="251"/>
      <c r="U757" s="223">
        <v>0</v>
      </c>
      <c r="AI757" s="44"/>
      <c r="AJ757" s="44"/>
      <c r="AK757" s="44"/>
      <c r="AL757" s="44"/>
      <c r="AM757" s="44"/>
      <c r="AN757" s="44"/>
      <c r="AO757" s="44"/>
      <c r="AP757" s="44"/>
    </row>
    <row r="758" spans="1:44" x14ac:dyDescent="0.25">
      <c r="A758" s="134" t="s">
        <v>201</v>
      </c>
      <c r="B758" s="149"/>
      <c r="C758" s="204"/>
      <c r="D758" s="226"/>
      <c r="E758" s="251"/>
      <c r="F758" s="223"/>
      <c r="G758" s="226"/>
      <c r="H758" s="251"/>
      <c r="I758" s="223"/>
      <c r="J758" s="223"/>
      <c r="K758" s="226"/>
      <c r="L758" s="251"/>
      <c r="M758" s="223"/>
      <c r="N758" s="223"/>
      <c r="O758" s="226"/>
      <c r="P758" s="251"/>
      <c r="Q758" s="223"/>
      <c r="R758" s="223"/>
      <c r="S758" s="226"/>
      <c r="T758" s="251"/>
      <c r="U758" s="223"/>
      <c r="AI758" s="44"/>
      <c r="AJ758" s="44"/>
      <c r="AK758" s="44"/>
      <c r="AL758" s="44"/>
      <c r="AM758" s="44"/>
      <c r="AN758" s="44"/>
      <c r="AO758" s="44"/>
      <c r="AP758" s="44"/>
    </row>
    <row r="759" spans="1:44" x14ac:dyDescent="0.25">
      <c r="A759" s="134" t="s">
        <v>197</v>
      </c>
      <c r="B759" s="149"/>
      <c r="C759" s="204">
        <f>C811+C863</f>
        <v>0</v>
      </c>
      <c r="D759" s="250">
        <v>-26.02</v>
      </c>
      <c r="E759" s="251"/>
      <c r="F759" s="223">
        <f>F811+F863</f>
        <v>0</v>
      </c>
      <c r="G759" s="250">
        <f>G738</f>
        <v>-26.63</v>
      </c>
      <c r="H759" s="251"/>
      <c r="I759" s="223">
        <f>I811+I863</f>
        <v>0</v>
      </c>
      <c r="J759" s="223"/>
      <c r="K759" s="250">
        <f>K738</f>
        <v>-26.02</v>
      </c>
      <c r="L759" s="251"/>
      <c r="M759" s="223">
        <v>0</v>
      </c>
      <c r="N759" s="223"/>
      <c r="O759" s="250">
        <f>O738</f>
        <v>0</v>
      </c>
      <c r="P759" s="251"/>
      <c r="Q759" s="223">
        <v>0</v>
      </c>
      <c r="R759" s="223"/>
      <c r="S759" s="250">
        <f>S738</f>
        <v>0</v>
      </c>
      <c r="T759" s="251"/>
      <c r="U759" s="223">
        <v>0</v>
      </c>
      <c r="AI759" s="44"/>
      <c r="AJ759" s="44"/>
      <c r="AK759" s="44"/>
      <c r="AL759" s="44"/>
      <c r="AM759" s="44"/>
      <c r="AN759" s="44"/>
      <c r="AO759" s="44"/>
      <c r="AP759" s="44"/>
    </row>
    <row r="760" spans="1:44" x14ac:dyDescent="0.25">
      <c r="A760" s="134" t="s">
        <v>202</v>
      </c>
      <c r="B760" s="149"/>
      <c r="C760" s="204">
        <f>C812+C864</f>
        <v>0</v>
      </c>
      <c r="D760" s="250">
        <v>-26.02</v>
      </c>
      <c r="E760" s="251"/>
      <c r="F760" s="223">
        <f>F812+F864</f>
        <v>0</v>
      </c>
      <c r="G760" s="250">
        <f>G739</f>
        <v>-26.63</v>
      </c>
      <c r="H760" s="251"/>
      <c r="I760" s="223">
        <f>I812+I864</f>
        <v>0</v>
      </c>
      <c r="J760" s="223"/>
      <c r="K760" s="250">
        <f>K739</f>
        <v>-26.02</v>
      </c>
      <c r="L760" s="251"/>
      <c r="M760" s="223">
        <v>0</v>
      </c>
      <c r="N760" s="223"/>
      <c r="O760" s="250">
        <f>O739</f>
        <v>0</v>
      </c>
      <c r="P760" s="251"/>
      <c r="Q760" s="223">
        <v>0</v>
      </c>
      <c r="R760" s="223"/>
      <c r="S760" s="250">
        <f>S739</f>
        <v>0</v>
      </c>
      <c r="T760" s="251"/>
      <c r="U760" s="223">
        <v>0</v>
      </c>
      <c r="AI760" s="44"/>
      <c r="AJ760" s="44"/>
      <c r="AK760" s="44"/>
      <c r="AL760" s="44"/>
      <c r="AM760" s="44"/>
      <c r="AN760" s="44"/>
      <c r="AO760" s="44"/>
      <c r="AP760" s="44"/>
    </row>
    <row r="761" spans="1:44" x14ac:dyDescent="0.25">
      <c r="A761" s="206" t="s">
        <v>164</v>
      </c>
      <c r="B761" s="149"/>
      <c r="C761" s="204"/>
      <c r="D761" s="246"/>
      <c r="E761" s="223"/>
      <c r="F761" s="223"/>
      <c r="G761" s="246"/>
      <c r="H761" s="223"/>
      <c r="I761" s="223"/>
      <c r="J761" s="223"/>
      <c r="K761" s="246"/>
      <c r="L761" s="223"/>
      <c r="M761" s="223"/>
      <c r="N761" s="223"/>
      <c r="O761" s="246"/>
      <c r="P761" s="223"/>
      <c r="Q761" s="223"/>
      <c r="R761" s="223"/>
      <c r="S761" s="246"/>
      <c r="T761" s="223"/>
      <c r="U761" s="223"/>
      <c r="AI761" s="44"/>
      <c r="AJ761" s="44"/>
      <c r="AK761" s="44"/>
      <c r="AL761" s="44"/>
      <c r="AM761" s="44"/>
      <c r="AN761" s="44"/>
      <c r="AO761" s="44"/>
      <c r="AP761" s="44"/>
    </row>
    <row r="762" spans="1:44" x14ac:dyDescent="0.25">
      <c r="A762" s="134" t="s">
        <v>203</v>
      </c>
      <c r="B762" s="149"/>
      <c r="C762" s="204">
        <f>C814+C866</f>
        <v>10034</v>
      </c>
      <c r="D762" s="301">
        <v>7.0350000000000001</v>
      </c>
      <c r="E762" s="223" t="s">
        <v>89</v>
      </c>
      <c r="F762" s="223">
        <f>F814+F866</f>
        <v>-7</v>
      </c>
      <c r="G762" s="301">
        <f>G741</f>
        <v>7.2030000000000003</v>
      </c>
      <c r="H762" s="223" t="s">
        <v>89</v>
      </c>
      <c r="I762" s="223">
        <f>I814+I866</f>
        <v>-7</v>
      </c>
      <c r="J762" s="223"/>
      <c r="K762" s="301" t="e">
        <f>K741</f>
        <v>#REF!</v>
      </c>
      <c r="L762" s="295" t="s">
        <v>0</v>
      </c>
      <c r="M762" s="223" t="e">
        <v>#REF!</v>
      </c>
      <c r="N762" s="223"/>
      <c r="O762" s="301" t="e">
        <f>O741</f>
        <v>#DIV/0!</v>
      </c>
      <c r="P762" s="223" t="s">
        <v>89</v>
      </c>
      <c r="Q762" s="223" t="e">
        <v>#DIV/0!</v>
      </c>
      <c r="R762" s="223"/>
      <c r="S762" s="301" t="e">
        <f>S741</f>
        <v>#DIV/0!</v>
      </c>
      <c r="T762" s="223" t="s">
        <v>89</v>
      </c>
      <c r="U762" s="223" t="e">
        <v>#DIV/0!</v>
      </c>
      <c r="AI762" s="44"/>
      <c r="AJ762" s="44"/>
      <c r="AK762" s="44"/>
      <c r="AL762" s="44"/>
      <c r="AM762" s="44"/>
      <c r="AN762" s="44"/>
      <c r="AO762" s="44"/>
      <c r="AP762" s="44"/>
    </row>
    <row r="763" spans="1:44" x14ac:dyDescent="0.25">
      <c r="A763" s="206" t="s">
        <v>133</v>
      </c>
      <c r="B763" s="149"/>
      <c r="C763" s="204">
        <f>C815+C867</f>
        <v>0</v>
      </c>
      <c r="D763" s="262">
        <v>57</v>
      </c>
      <c r="E763" s="206" t="s">
        <v>89</v>
      </c>
      <c r="F763" s="223">
        <f>F815+F867</f>
        <v>0</v>
      </c>
      <c r="G763" s="262">
        <f>G742</f>
        <v>58</v>
      </c>
      <c r="H763" s="206" t="s">
        <v>89</v>
      </c>
      <c r="I763" s="223">
        <f>I815+I867</f>
        <v>0</v>
      </c>
      <c r="J763" s="223"/>
      <c r="K763" s="262" t="str">
        <f>K742</f>
        <v xml:space="preserve"> </v>
      </c>
      <c r="L763" s="299" t="s">
        <v>0</v>
      </c>
      <c r="M763" s="223">
        <v>0</v>
      </c>
      <c r="N763" s="223"/>
      <c r="O763" s="262" t="e">
        <f>O742</f>
        <v>#DIV/0!</v>
      </c>
      <c r="P763" s="206" t="s">
        <v>89</v>
      </c>
      <c r="Q763" s="223" t="e">
        <v>#DIV/0!</v>
      </c>
      <c r="R763" s="223"/>
      <c r="S763" s="262" t="e">
        <f>S742</f>
        <v>#DIV/0!</v>
      </c>
      <c r="T763" s="206" t="s">
        <v>89</v>
      </c>
      <c r="U763" s="223" t="e">
        <v>#DIV/0!</v>
      </c>
      <c r="AI763" s="44"/>
      <c r="AJ763" s="44"/>
      <c r="AK763" s="44"/>
      <c r="AL763" s="44"/>
      <c r="AM763" s="44"/>
      <c r="AN763" s="44"/>
      <c r="AO763" s="44"/>
      <c r="AP763" s="44"/>
    </row>
    <row r="764" spans="1:44" x14ac:dyDescent="0.25">
      <c r="A764" s="206" t="s">
        <v>182</v>
      </c>
      <c r="B764" s="149"/>
      <c r="C764" s="204">
        <f>C816+C868</f>
        <v>12</v>
      </c>
      <c r="D764" s="226">
        <v>60</v>
      </c>
      <c r="E764" s="149"/>
      <c r="F764" s="223">
        <f>F816+F868</f>
        <v>720</v>
      </c>
      <c r="G764" s="226">
        <v>60</v>
      </c>
      <c r="H764" s="149"/>
      <c r="I764" s="223">
        <f>I816+I868</f>
        <v>720</v>
      </c>
      <c r="J764" s="223"/>
      <c r="K764" s="226" t="s">
        <v>0</v>
      </c>
      <c r="L764" s="149"/>
      <c r="M764" s="223">
        <v>0</v>
      </c>
      <c r="N764" s="223"/>
      <c r="O764" s="226" t="e">
        <v>#DIV/0!</v>
      </c>
      <c r="P764" s="149"/>
      <c r="Q764" s="223" t="e">
        <v>#DIV/0!</v>
      </c>
      <c r="R764" s="223"/>
      <c r="S764" s="226" t="e">
        <v>#DIV/0!</v>
      </c>
      <c r="T764" s="149"/>
      <c r="U764" s="223" t="e">
        <v>#DIV/0!</v>
      </c>
      <c r="AI764" s="44"/>
      <c r="AJ764" s="44"/>
      <c r="AK764" s="44"/>
      <c r="AL764" s="44"/>
      <c r="AM764" s="44"/>
      <c r="AN764" s="44"/>
      <c r="AO764" s="44"/>
      <c r="AP764" s="44"/>
    </row>
    <row r="765" spans="1:44" x14ac:dyDescent="0.25">
      <c r="A765" s="206" t="s">
        <v>183</v>
      </c>
      <c r="B765" s="149"/>
      <c r="C765" s="204">
        <f>C817+C869</f>
        <v>456.00326456013363</v>
      </c>
      <c r="D765" s="298">
        <v>-30</v>
      </c>
      <c r="E765" s="223" t="s">
        <v>89</v>
      </c>
      <c r="F765" s="223">
        <f>F817+F869</f>
        <v>-137</v>
      </c>
      <c r="G765" s="302">
        <v>-30</v>
      </c>
      <c r="H765" s="223" t="s">
        <v>89</v>
      </c>
      <c r="I765" s="223">
        <f>I817+I869</f>
        <v>-137</v>
      </c>
      <c r="J765" s="223"/>
      <c r="K765" s="302">
        <v>-30</v>
      </c>
      <c r="L765" s="223" t="s">
        <v>89</v>
      </c>
      <c r="M765" s="223">
        <v>-137</v>
      </c>
      <c r="N765" s="223"/>
      <c r="O765" s="302">
        <v>0</v>
      </c>
      <c r="P765" s="295" t="s">
        <v>0</v>
      </c>
      <c r="Q765" s="223">
        <v>0</v>
      </c>
      <c r="R765" s="223"/>
      <c r="S765" s="302">
        <v>0</v>
      </c>
      <c r="T765" s="295" t="s">
        <v>0</v>
      </c>
      <c r="U765" s="223">
        <v>0</v>
      </c>
      <c r="AI765" s="44"/>
      <c r="AJ765" s="44"/>
      <c r="AK765" s="44"/>
      <c r="AL765" s="44"/>
      <c r="AM765" s="44"/>
      <c r="AN765" s="44"/>
      <c r="AO765" s="44"/>
      <c r="AP765" s="44"/>
    </row>
    <row r="766" spans="1:44" s="120" customFormat="1" hidden="1" x14ac:dyDescent="0.25">
      <c r="A766" s="119" t="s">
        <v>204</v>
      </c>
      <c r="C766" s="214">
        <f>C762</f>
        <v>10034</v>
      </c>
      <c r="D766" s="128">
        <v>0</v>
      </c>
      <c r="E766" s="122"/>
      <c r="F766" s="123"/>
      <c r="G766" s="124">
        <f>G743</f>
        <v>0</v>
      </c>
      <c r="H766" s="256" t="s">
        <v>89</v>
      </c>
      <c r="I766" s="256" t="e">
        <f>#REF!+I870</f>
        <v>#REF!</v>
      </c>
      <c r="J766" s="256"/>
      <c r="K766" s="124" t="str">
        <f>K743</f>
        <v xml:space="preserve"> </v>
      </c>
      <c r="L766" s="256" t="s">
        <v>0</v>
      </c>
      <c r="M766" s="223">
        <v>0</v>
      </c>
      <c r="N766" s="256"/>
      <c r="O766" s="124" t="str">
        <f>O743</f>
        <v xml:space="preserve"> </v>
      </c>
      <c r="P766" s="256" t="s">
        <v>0</v>
      </c>
      <c r="Q766" s="223">
        <v>0</v>
      </c>
      <c r="R766" s="256"/>
      <c r="S766" s="124">
        <f>S743</f>
        <v>0</v>
      </c>
      <c r="T766" s="256" t="s">
        <v>89</v>
      </c>
      <c r="U766" s="223">
        <v>0</v>
      </c>
      <c r="W766" s="112"/>
      <c r="X766" s="120" t="s">
        <v>0</v>
      </c>
      <c r="Z766" s="127"/>
      <c r="AA766" s="127"/>
      <c r="AF766" s="122"/>
      <c r="AG766" s="122"/>
      <c r="AH766" s="122"/>
      <c r="AI766" s="122"/>
      <c r="AJ766" s="122"/>
      <c r="AK766" s="122"/>
      <c r="AL766" s="122"/>
      <c r="AM766" s="122"/>
      <c r="AN766" s="122"/>
      <c r="AO766" s="122"/>
      <c r="AP766" s="122"/>
      <c r="AR766" s="126"/>
    </row>
    <row r="767" spans="1:44" x14ac:dyDescent="0.25">
      <c r="A767" s="149" t="s">
        <v>114</v>
      </c>
      <c r="B767" s="149"/>
      <c r="C767" s="204">
        <f>C818+C871</f>
        <v>158323871.89494899</v>
      </c>
      <c r="D767" s="251"/>
      <c r="E767" s="206"/>
      <c r="F767" s="111">
        <f>F818+F871</f>
        <v>13820389</v>
      </c>
      <c r="G767" s="111"/>
      <c r="H767" s="206"/>
      <c r="I767" s="256">
        <f>I818+I871</f>
        <v>14149201</v>
      </c>
      <c r="J767" s="256"/>
      <c r="K767" s="111"/>
      <c r="L767" s="206"/>
      <c r="M767" s="256" t="e">
        <f>SUM(M721:M766)</f>
        <v>#REF!</v>
      </c>
      <c r="N767" s="256"/>
      <c r="O767" s="111"/>
      <c r="P767" s="206"/>
      <c r="Q767" s="256" t="e">
        <f>SUM(Q721:Q766)</f>
        <v>#DIV/0!</v>
      </c>
      <c r="R767" s="256"/>
      <c r="S767" s="111"/>
      <c r="T767" s="206"/>
      <c r="U767" s="256" t="e">
        <f>SUM(U721:U766)</f>
        <v>#DIV/0!</v>
      </c>
      <c r="X767" s="154"/>
      <c r="Y767" s="154"/>
      <c r="AI767" s="44"/>
      <c r="AJ767" s="44"/>
      <c r="AK767" s="44"/>
      <c r="AL767" s="44"/>
      <c r="AM767" s="44"/>
      <c r="AN767" s="44"/>
      <c r="AO767" s="44"/>
      <c r="AP767" s="44"/>
    </row>
    <row r="768" spans="1:44" ht="14.25" customHeight="1" x14ac:dyDescent="0.25">
      <c r="A768" s="149" t="s">
        <v>92</v>
      </c>
      <c r="B768" s="149"/>
      <c r="C768" s="229">
        <f>C819+C872</f>
        <v>2550999.9999999995</v>
      </c>
      <c r="D768" s="134"/>
      <c r="E768" s="134"/>
      <c r="F768" s="132">
        <f>F819+F872</f>
        <v>193000</v>
      </c>
      <c r="G768" s="134"/>
      <c r="H768" s="134"/>
      <c r="I768" s="303">
        <f>I819+I872</f>
        <v>193000</v>
      </c>
      <c r="J768" s="213"/>
      <c r="K768" s="134"/>
      <c r="L768" s="134"/>
      <c r="M768" s="303" t="e">
        <v>#DIV/0!</v>
      </c>
      <c r="N768" s="133"/>
      <c r="O768" s="134"/>
      <c r="P768" s="134"/>
      <c r="Q768" s="303" t="e">
        <v>#DIV/0!</v>
      </c>
      <c r="R768" s="133"/>
      <c r="S768" s="134"/>
      <c r="T768" s="134"/>
      <c r="U768" s="303" t="e">
        <v>#DIV/0!</v>
      </c>
      <c r="AI768" s="44"/>
      <c r="AJ768" s="44"/>
      <c r="AK768" s="44"/>
      <c r="AL768" s="44"/>
      <c r="AM768" s="44"/>
      <c r="AN768" s="44"/>
      <c r="AO768" s="44"/>
      <c r="AP768" s="44"/>
    </row>
    <row r="769" spans="1:42" ht="17.25" customHeight="1" thickBot="1" x14ac:dyDescent="0.3">
      <c r="A769" s="149" t="s">
        <v>115</v>
      </c>
      <c r="B769" s="149"/>
      <c r="C769" s="265">
        <f>SUM(C767:C768)</f>
        <v>160874871.89494899</v>
      </c>
      <c r="D769" s="245"/>
      <c r="E769" s="232"/>
      <c r="F769" s="233">
        <f>F767+F768</f>
        <v>14013389</v>
      </c>
      <c r="G769" s="245"/>
      <c r="H769" s="232"/>
      <c r="I769" s="233">
        <f>I820+I873</f>
        <v>14342201</v>
      </c>
      <c r="J769" s="233"/>
      <c r="K769" s="245"/>
      <c r="L769" s="232"/>
      <c r="M769" s="233" t="e">
        <f>SUM(M767:M768)</f>
        <v>#REF!</v>
      </c>
      <c r="N769" s="233"/>
      <c r="O769" s="245"/>
      <c r="P769" s="232"/>
      <c r="Q769" s="233" t="e">
        <f>SUM(Q767:Q768)</f>
        <v>#DIV/0!</v>
      </c>
      <c r="R769" s="233"/>
      <c r="S769" s="245"/>
      <c r="T769" s="232"/>
      <c r="U769" s="233" t="e">
        <f>SUM(U767:U768)</f>
        <v>#DIV/0!</v>
      </c>
      <c r="V769" s="139" t="s">
        <v>94</v>
      </c>
      <c r="W769" s="140">
        <v>14342145.747581676</v>
      </c>
      <c r="X769" s="141">
        <v>-0.35525855139044399</v>
      </c>
      <c r="Y769" s="142"/>
      <c r="Z769" s="205" t="s">
        <v>0</v>
      </c>
      <c r="AA769" s="205"/>
      <c r="AI769" s="44"/>
      <c r="AJ769" s="44"/>
      <c r="AK769" s="44"/>
      <c r="AL769" s="44"/>
      <c r="AM769" s="44"/>
      <c r="AN769" s="44"/>
      <c r="AO769" s="44"/>
      <c r="AP769" s="44"/>
    </row>
    <row r="770" spans="1:42" ht="16.5" thickTop="1" x14ac:dyDescent="0.25">
      <c r="A770" s="149"/>
      <c r="B770" s="149"/>
      <c r="C770" s="280"/>
      <c r="D770" s="249" t="s">
        <v>0</v>
      </c>
      <c r="E770" s="238"/>
      <c r="F770" s="207"/>
      <c r="G770" s="304" t="s">
        <v>0</v>
      </c>
      <c r="H770" s="238"/>
      <c r="I770" s="131" t="s">
        <v>0</v>
      </c>
      <c r="J770" s="131"/>
      <c r="K770" s="304" t="s">
        <v>0</v>
      </c>
      <c r="L770" s="238"/>
      <c r="M770" s="131" t="s">
        <v>0</v>
      </c>
      <c r="N770" s="131"/>
      <c r="O770" s="304" t="s">
        <v>0</v>
      </c>
      <c r="P770" s="238"/>
      <c r="Q770" s="131" t="s">
        <v>0</v>
      </c>
      <c r="R770" s="131"/>
      <c r="S770" s="304" t="s">
        <v>0</v>
      </c>
      <c r="T770" s="238"/>
      <c r="U770" s="131" t="s">
        <v>0</v>
      </c>
      <c r="V770" s="150" t="s">
        <v>96</v>
      </c>
      <c r="W770" s="151">
        <f>W769-I769</f>
        <v>-55.252418324351311</v>
      </c>
      <c r="X770" s="305" t="s">
        <v>0</v>
      </c>
      <c r="Y770" s="196"/>
      <c r="AI770" s="44"/>
      <c r="AJ770" s="44"/>
      <c r="AK770" s="44"/>
      <c r="AL770" s="44"/>
      <c r="AM770" s="44"/>
      <c r="AN770" s="44"/>
      <c r="AO770" s="44"/>
      <c r="AP770" s="44"/>
    </row>
    <row r="771" spans="1:42" hidden="1" x14ac:dyDescent="0.25">
      <c r="A771" s="168" t="s">
        <v>186</v>
      </c>
      <c r="B771" s="149"/>
      <c r="C771" s="169"/>
      <c r="D771" s="226"/>
      <c r="E771" s="149"/>
      <c r="F771" s="111"/>
      <c r="G771" s="226"/>
      <c r="H771" s="149"/>
      <c r="I771" s="111"/>
      <c r="J771" s="111"/>
      <c r="K771" s="226"/>
      <c r="L771" s="149"/>
      <c r="M771" s="111"/>
      <c r="N771" s="111"/>
      <c r="O771" s="226"/>
      <c r="P771" s="149"/>
      <c r="Q771" s="111"/>
      <c r="R771" s="111"/>
      <c r="S771" s="226"/>
      <c r="T771" s="149"/>
      <c r="U771" s="111" t="s">
        <v>0</v>
      </c>
      <c r="AI771" s="44"/>
      <c r="AJ771" s="44"/>
      <c r="AK771" s="44"/>
      <c r="AL771" s="44"/>
      <c r="AM771" s="44"/>
      <c r="AN771" s="44"/>
      <c r="AO771" s="44"/>
      <c r="AP771" s="44"/>
    </row>
    <row r="772" spans="1:42" hidden="1" x14ac:dyDescent="0.25">
      <c r="A772" s="134" t="s">
        <v>48</v>
      </c>
      <c r="B772" s="149"/>
      <c r="C772" s="169"/>
      <c r="D772" s="226"/>
      <c r="E772" s="149"/>
      <c r="F772" s="111"/>
      <c r="G772" s="226"/>
      <c r="H772" s="149"/>
      <c r="I772" s="111"/>
      <c r="J772" s="111"/>
      <c r="K772" s="226"/>
      <c r="L772" s="149"/>
      <c r="M772" s="111"/>
      <c r="N772" s="111"/>
      <c r="O772" s="226"/>
      <c r="P772" s="149"/>
      <c r="Q772" s="111"/>
      <c r="R772" s="111"/>
      <c r="S772" s="226"/>
      <c r="T772" s="149"/>
      <c r="U772" s="111"/>
      <c r="V772" s="115"/>
      <c r="W772" s="242" t="s">
        <v>0</v>
      </c>
      <c r="X772" s="80"/>
      <c r="Y772" s="80"/>
      <c r="AI772" s="44"/>
      <c r="AJ772" s="44"/>
      <c r="AK772" s="44"/>
      <c r="AL772" s="44"/>
      <c r="AM772" s="44"/>
      <c r="AN772" s="44"/>
      <c r="AO772" s="44"/>
      <c r="AP772" s="44"/>
    </row>
    <row r="773" spans="1:42" hidden="1" x14ac:dyDescent="0.25">
      <c r="A773" s="206"/>
      <c r="B773" s="149"/>
      <c r="C773" s="169"/>
      <c r="D773" s="226"/>
      <c r="E773" s="149"/>
      <c r="F773" s="246"/>
      <c r="G773" s="226"/>
      <c r="H773" s="149"/>
      <c r="I773" s="291"/>
      <c r="J773" s="291"/>
      <c r="K773" s="226"/>
      <c r="L773" s="149"/>
      <c r="M773" s="291"/>
      <c r="N773" s="291"/>
      <c r="O773" s="226"/>
      <c r="P773" s="149"/>
      <c r="Q773" s="291"/>
      <c r="R773" s="291"/>
      <c r="S773" s="226"/>
      <c r="T773" s="149"/>
      <c r="U773" s="291"/>
      <c r="V773" s="44"/>
      <c r="W773" s="91"/>
      <c r="X773" s="91"/>
      <c r="Y773" s="91"/>
      <c r="Z773" s="44"/>
      <c r="AA773" s="44"/>
      <c r="AB773" s="44"/>
      <c r="AC773" s="44"/>
      <c r="AD773" s="44"/>
      <c r="AE773" s="44"/>
      <c r="AF773" s="44"/>
      <c r="AG773" s="44"/>
      <c r="AH773" s="44"/>
      <c r="AI773" s="44"/>
      <c r="AJ773" s="44"/>
      <c r="AK773" s="44"/>
      <c r="AL773" s="44"/>
      <c r="AM773" s="44"/>
      <c r="AN773" s="44"/>
      <c r="AO773" s="44"/>
      <c r="AP773" s="44"/>
    </row>
    <row r="774" spans="1:42" hidden="1" x14ac:dyDescent="0.25">
      <c r="A774" s="134" t="s">
        <v>188</v>
      </c>
      <c r="B774" s="149"/>
      <c r="C774" s="204"/>
      <c r="D774" s="111" t="s">
        <v>0</v>
      </c>
      <c r="E774" s="149"/>
      <c r="F774" s="149"/>
      <c r="G774" s="111" t="s">
        <v>0</v>
      </c>
      <c r="H774" s="149"/>
      <c r="I774" s="149"/>
      <c r="J774" s="149"/>
      <c r="K774" s="111" t="s">
        <v>0</v>
      </c>
      <c r="L774" s="149"/>
      <c r="M774" s="149"/>
      <c r="N774" s="149"/>
      <c r="O774" s="111" t="s">
        <v>0</v>
      </c>
      <c r="P774" s="149"/>
      <c r="Q774" s="149"/>
      <c r="R774" s="149"/>
      <c r="S774" s="111" t="s">
        <v>0</v>
      </c>
      <c r="T774" s="149"/>
      <c r="U774" s="149"/>
      <c r="V774" s="44"/>
      <c r="W774" s="91"/>
      <c r="X774" s="91"/>
      <c r="Y774" s="91"/>
      <c r="Z774" s="44"/>
      <c r="AA774" s="44"/>
      <c r="AB774" s="44"/>
      <c r="AC774" s="44"/>
      <c r="AD774" s="44"/>
      <c r="AE774" s="44"/>
      <c r="AF774" s="44"/>
      <c r="AG774" s="44"/>
      <c r="AH774" s="44"/>
      <c r="AI774" s="44"/>
      <c r="AJ774" s="44"/>
      <c r="AK774" s="44"/>
      <c r="AL774" s="44"/>
      <c r="AM774" s="44"/>
      <c r="AN774" s="44"/>
      <c r="AO774" s="44"/>
      <c r="AP774" s="44"/>
    </row>
    <row r="775" spans="1:42" hidden="1" x14ac:dyDescent="0.25">
      <c r="A775" s="134" t="s">
        <v>189</v>
      </c>
      <c r="B775" s="149"/>
      <c r="C775" s="204">
        <v>585.32901446738447</v>
      </c>
      <c r="D775" s="226">
        <v>0</v>
      </c>
      <c r="E775" s="251"/>
      <c r="F775" s="223">
        <f>ROUND(D775*C775,0)</f>
        <v>0</v>
      </c>
      <c r="G775" s="226">
        <f>$G$721</f>
        <v>0</v>
      </c>
      <c r="H775" s="251"/>
      <c r="I775" s="223">
        <f>ROUND(G775*$C775,0)</f>
        <v>0</v>
      </c>
      <c r="J775" s="223"/>
      <c r="K775" s="226">
        <f>$G$721</f>
        <v>0</v>
      </c>
      <c r="L775" s="251"/>
      <c r="M775" s="223">
        <f>ROUND(K775*$C775,0)</f>
        <v>0</v>
      </c>
      <c r="N775" s="223"/>
      <c r="O775" s="226" t="str">
        <f>$O$721</f>
        <v xml:space="preserve"> </v>
      </c>
      <c r="P775" s="251"/>
      <c r="Q775" s="223">
        <f>ROUND(O775*$C775,0)</f>
        <v>0</v>
      </c>
      <c r="R775" s="223"/>
      <c r="S775" s="226" t="str">
        <f>$S$721</f>
        <v xml:space="preserve"> </v>
      </c>
      <c r="T775" s="251"/>
      <c r="U775" s="223">
        <f>ROUND(S775*$C775,0)</f>
        <v>0</v>
      </c>
      <c r="V775" s="44"/>
      <c r="W775" s="91"/>
      <c r="X775" s="91"/>
      <c r="Y775" s="91"/>
      <c r="Z775" s="44"/>
      <c r="AA775" s="44"/>
      <c r="AB775" s="44"/>
      <c r="AC775" s="44"/>
      <c r="AD775" s="44"/>
      <c r="AE775" s="44"/>
      <c r="AF775" s="44"/>
      <c r="AG775" s="44"/>
      <c r="AH775" s="44"/>
      <c r="AI775" s="44"/>
      <c r="AJ775" s="44"/>
      <c r="AK775" s="44"/>
      <c r="AL775" s="44"/>
      <c r="AM775" s="44"/>
      <c r="AN775" s="44"/>
      <c r="AO775" s="44"/>
      <c r="AP775" s="44"/>
    </row>
    <row r="776" spans="1:42" hidden="1" x14ac:dyDescent="0.25">
      <c r="A776" s="134" t="s">
        <v>190</v>
      </c>
      <c r="B776" s="149"/>
      <c r="C776" s="204"/>
      <c r="D776" s="226"/>
      <c r="E776" s="251"/>
      <c r="F776" s="223"/>
      <c r="G776" s="226"/>
      <c r="H776" s="251"/>
      <c r="I776" s="223"/>
      <c r="J776" s="223"/>
      <c r="K776" s="226"/>
      <c r="L776" s="251"/>
      <c r="M776" s="223"/>
      <c r="N776" s="223"/>
      <c r="O776" s="226"/>
      <c r="P776" s="251"/>
      <c r="Q776" s="223"/>
      <c r="R776" s="223"/>
      <c r="S776" s="226"/>
      <c r="T776" s="251"/>
      <c r="U776" s="223"/>
      <c r="V776" s="44"/>
      <c r="W776" s="91"/>
      <c r="X776" s="91"/>
      <c r="Y776" s="91"/>
      <c r="Z776" s="44"/>
      <c r="AA776" s="44"/>
      <c r="AB776" s="44"/>
      <c r="AC776" s="44"/>
      <c r="AD776" s="44"/>
      <c r="AE776" s="44"/>
      <c r="AF776" s="44"/>
      <c r="AG776" s="44"/>
      <c r="AH776" s="44"/>
      <c r="AI776" s="44"/>
      <c r="AJ776" s="44"/>
      <c r="AK776" s="44"/>
      <c r="AL776" s="44"/>
      <c r="AM776" s="44"/>
      <c r="AN776" s="44"/>
      <c r="AO776" s="44"/>
      <c r="AP776" s="44"/>
    </row>
    <row r="777" spans="1:42" hidden="1" x14ac:dyDescent="0.25">
      <c r="A777" s="134" t="s">
        <v>191</v>
      </c>
      <c r="B777" s="149"/>
      <c r="C777" s="204">
        <v>2639.7847546294379</v>
      </c>
      <c r="D777" s="226">
        <v>0</v>
      </c>
      <c r="E777" s="251"/>
      <c r="F777" s="223">
        <f>ROUND(D777*C777,0)</f>
        <v>0</v>
      </c>
      <c r="G777" s="226">
        <f>$G$723</f>
        <v>0</v>
      </c>
      <c r="H777" s="251"/>
      <c r="I777" s="223">
        <f>ROUND(G777*$C777,0)</f>
        <v>0</v>
      </c>
      <c r="J777" s="223"/>
      <c r="K777" s="226">
        <f>$G$723</f>
        <v>0</v>
      </c>
      <c r="L777" s="251"/>
      <c r="M777" s="223">
        <f>ROUND(K777*$C777,0)</f>
        <v>0</v>
      </c>
      <c r="N777" s="223"/>
      <c r="O777" s="226" t="str">
        <f>$O$723</f>
        <v xml:space="preserve"> </v>
      </c>
      <c r="P777" s="251"/>
      <c r="Q777" s="223">
        <f>ROUND(O777*$C777,0)</f>
        <v>0</v>
      </c>
      <c r="R777" s="223"/>
      <c r="S777" s="226" t="str">
        <f>$S$723</f>
        <v xml:space="preserve"> </v>
      </c>
      <c r="T777" s="251"/>
      <c r="U777" s="223">
        <f>ROUND(S777*$C777,0)</f>
        <v>0</v>
      </c>
      <c r="V777" s="44"/>
      <c r="W777" s="91"/>
      <c r="X777" s="91"/>
      <c r="Y777" s="91"/>
      <c r="Z777" s="44"/>
      <c r="AA777" s="44"/>
      <c r="AB777" s="44"/>
      <c r="AC777" s="44"/>
      <c r="AD777" s="44"/>
      <c r="AE777" s="44"/>
      <c r="AF777" s="44"/>
      <c r="AG777" s="44"/>
      <c r="AH777" s="44"/>
      <c r="AI777" s="44"/>
      <c r="AJ777" s="44"/>
      <c r="AK777" s="44"/>
      <c r="AL777" s="44"/>
      <c r="AM777" s="44"/>
      <c r="AN777" s="44"/>
      <c r="AO777" s="44"/>
      <c r="AP777" s="44"/>
    </row>
    <row r="778" spans="1:42" hidden="1" x14ac:dyDescent="0.25">
      <c r="A778" s="134" t="s">
        <v>192</v>
      </c>
      <c r="B778" s="149"/>
      <c r="C778" s="204">
        <v>314.59706558952797</v>
      </c>
      <c r="D778" s="226">
        <v>370</v>
      </c>
      <c r="E778" s="251"/>
      <c r="F778" s="223">
        <f>ROUND(D778*C778,0)</f>
        <v>116401</v>
      </c>
      <c r="G778" s="226">
        <f>$G$724</f>
        <v>379</v>
      </c>
      <c r="H778" s="251"/>
      <c r="I778" s="223">
        <f>ROUND(G778*$C778,0)</f>
        <v>119232</v>
      </c>
      <c r="J778" s="223"/>
      <c r="K778" s="226">
        <f>$G$724</f>
        <v>379</v>
      </c>
      <c r="L778" s="251"/>
      <c r="M778" s="223">
        <f>ROUND(K778*$C778,0)</f>
        <v>119232</v>
      </c>
      <c r="N778" s="223"/>
      <c r="O778" s="226" t="str">
        <f>$O$724</f>
        <v xml:space="preserve"> </v>
      </c>
      <c r="P778" s="251"/>
      <c r="Q778" s="223">
        <f>ROUND(O778*$C778,0)</f>
        <v>0</v>
      </c>
      <c r="R778" s="223"/>
      <c r="S778" s="226" t="str">
        <f>$S$724</f>
        <v xml:space="preserve"> </v>
      </c>
      <c r="T778" s="251"/>
      <c r="U778" s="223">
        <f>ROUND(S778*$C778,0)</f>
        <v>0</v>
      </c>
      <c r="V778" s="44"/>
      <c r="W778" s="91"/>
      <c r="X778" s="91"/>
      <c r="Y778" s="91"/>
      <c r="Z778" s="44"/>
      <c r="AA778" s="44"/>
      <c r="AB778" s="44"/>
      <c r="AC778" s="44"/>
      <c r="AD778" s="44"/>
      <c r="AE778" s="44"/>
      <c r="AF778" s="44"/>
      <c r="AG778" s="44"/>
      <c r="AH778" s="44"/>
      <c r="AI778" s="44"/>
      <c r="AJ778" s="44"/>
      <c r="AK778" s="44"/>
      <c r="AL778" s="44"/>
      <c r="AM778" s="44"/>
      <c r="AN778" s="44"/>
      <c r="AO778" s="44"/>
      <c r="AP778" s="44"/>
    </row>
    <row r="779" spans="1:42" hidden="1" x14ac:dyDescent="0.25">
      <c r="A779" s="134" t="s">
        <v>193</v>
      </c>
      <c r="B779" s="149"/>
      <c r="C779" s="204">
        <v>10.9999976307206</v>
      </c>
      <c r="D779" s="226">
        <v>1504</v>
      </c>
      <c r="E779" s="251"/>
      <c r="F779" s="223">
        <f>ROUND(D779*C779,0)</f>
        <v>16544</v>
      </c>
      <c r="G779" s="226">
        <f>$G$725</f>
        <v>1539</v>
      </c>
      <c r="H779" s="251"/>
      <c r="I779" s="223">
        <f>ROUND(G779*$C779,0)</f>
        <v>16929</v>
      </c>
      <c r="J779" s="223"/>
      <c r="K779" s="226">
        <f>$G$725</f>
        <v>1539</v>
      </c>
      <c r="L779" s="251"/>
      <c r="M779" s="223">
        <f>ROUND(K779*$C779,0)</f>
        <v>16929</v>
      </c>
      <c r="N779" s="223"/>
      <c r="O779" s="226" t="str">
        <f>$O$725</f>
        <v xml:space="preserve"> </v>
      </c>
      <c r="P779" s="251"/>
      <c r="Q779" s="223">
        <f>ROUND(O779*$C779,0)</f>
        <v>0</v>
      </c>
      <c r="R779" s="223"/>
      <c r="S779" s="226" t="str">
        <f>$S$725</f>
        <v xml:space="preserve"> </v>
      </c>
      <c r="T779" s="251"/>
      <c r="U779" s="223">
        <f>ROUND(S779*$C779,0)</f>
        <v>0</v>
      </c>
      <c r="V779" s="44"/>
      <c r="W779" s="91"/>
      <c r="X779" s="91"/>
      <c r="Y779" s="91"/>
      <c r="Z779" s="44"/>
      <c r="AA779" s="44"/>
      <c r="AB779" s="44"/>
      <c r="AC779" s="44"/>
      <c r="AD779" s="44"/>
      <c r="AE779" s="44"/>
      <c r="AF779" s="44"/>
      <c r="AG779" s="44"/>
      <c r="AH779" s="44"/>
      <c r="AI779" s="44"/>
      <c r="AJ779" s="44"/>
      <c r="AK779" s="44"/>
      <c r="AL779" s="44"/>
      <c r="AM779" s="44"/>
      <c r="AN779" s="44"/>
      <c r="AO779" s="44"/>
      <c r="AP779" s="44"/>
    </row>
    <row r="780" spans="1:42" hidden="1" x14ac:dyDescent="0.25">
      <c r="A780" s="134" t="s">
        <v>90</v>
      </c>
      <c r="B780" s="149"/>
      <c r="C780" s="204">
        <f>SUM(C775:C779)</f>
        <v>3550.7108323170714</v>
      </c>
      <c r="D780" s="226"/>
      <c r="E780" s="251"/>
      <c r="F780" s="223"/>
      <c r="G780" s="226"/>
      <c r="H780" s="251"/>
      <c r="I780" s="223"/>
      <c r="J780" s="223"/>
      <c r="K780" s="226"/>
      <c r="L780" s="251"/>
      <c r="M780" s="223"/>
      <c r="N780" s="223"/>
      <c r="O780" s="226"/>
      <c r="P780" s="251"/>
      <c r="Q780" s="223"/>
      <c r="R780" s="223"/>
      <c r="S780" s="226"/>
      <c r="T780" s="251"/>
      <c r="U780" s="223"/>
      <c r="V780" s="44"/>
      <c r="W780" s="91"/>
      <c r="X780" s="91"/>
      <c r="Y780" s="91"/>
      <c r="Z780" s="44"/>
      <c r="AA780" s="44"/>
      <c r="AB780" s="44"/>
      <c r="AC780" s="44"/>
      <c r="AD780" s="44"/>
      <c r="AE780" s="44"/>
      <c r="AF780" s="44"/>
      <c r="AG780" s="44"/>
      <c r="AH780" s="44"/>
      <c r="AI780" s="44"/>
      <c r="AJ780" s="44"/>
      <c r="AK780" s="44"/>
      <c r="AL780" s="44"/>
      <c r="AM780" s="44"/>
      <c r="AN780" s="44"/>
      <c r="AO780" s="44"/>
      <c r="AP780" s="44"/>
    </row>
    <row r="781" spans="1:42" hidden="1" x14ac:dyDescent="0.25">
      <c r="A781" s="134" t="s">
        <v>194</v>
      </c>
      <c r="B781" s="149"/>
      <c r="C781" s="204">
        <v>26978.440555555677</v>
      </c>
      <c r="D781" s="226"/>
      <c r="E781" s="223"/>
      <c r="F781" s="223"/>
      <c r="G781" s="226"/>
      <c r="H781" s="223"/>
      <c r="I781" s="223"/>
      <c r="J781" s="223"/>
      <c r="K781" s="226"/>
      <c r="L781" s="223"/>
      <c r="M781" s="223"/>
      <c r="N781" s="223"/>
      <c r="O781" s="226"/>
      <c r="P781" s="223"/>
      <c r="Q781" s="223"/>
      <c r="R781" s="223"/>
      <c r="S781" s="226"/>
      <c r="T781" s="223"/>
      <c r="U781" s="223"/>
      <c r="V781" s="44"/>
      <c r="W781" s="91"/>
      <c r="X781" s="91"/>
      <c r="Y781" s="91"/>
      <c r="Z781" s="44"/>
      <c r="AA781" s="44"/>
      <c r="AB781" s="44"/>
      <c r="AC781" s="44"/>
      <c r="AD781" s="44"/>
      <c r="AE781" s="44"/>
      <c r="AF781" s="44"/>
      <c r="AG781" s="44"/>
      <c r="AH781" s="44"/>
      <c r="AI781" s="44"/>
      <c r="AJ781" s="44"/>
      <c r="AK781" s="44"/>
      <c r="AL781" s="44"/>
      <c r="AM781" s="44"/>
      <c r="AN781" s="44"/>
      <c r="AO781" s="44"/>
      <c r="AP781" s="44"/>
    </row>
    <row r="782" spans="1:42" hidden="1" x14ac:dyDescent="0.25">
      <c r="A782" s="134" t="s">
        <v>195</v>
      </c>
      <c r="B782" s="149"/>
      <c r="C782" s="204">
        <v>3789</v>
      </c>
      <c r="D782" s="226"/>
      <c r="E782" s="223"/>
      <c r="F782" s="223"/>
      <c r="G782" s="226"/>
      <c r="H782" s="223"/>
      <c r="I782" s="223"/>
      <c r="J782" s="223"/>
      <c r="K782" s="226"/>
      <c r="L782" s="223"/>
      <c r="M782" s="223"/>
      <c r="N782" s="223"/>
      <c r="O782" s="226"/>
      <c r="P782" s="223"/>
      <c r="Q782" s="223"/>
      <c r="R782" s="223"/>
      <c r="S782" s="226"/>
      <c r="T782" s="223"/>
      <c r="U782" s="223"/>
      <c r="V782" s="44"/>
      <c r="W782" s="91"/>
      <c r="X782" s="91"/>
      <c r="Y782" s="91"/>
      <c r="Z782" s="44"/>
      <c r="AA782" s="44"/>
      <c r="AB782" s="44"/>
      <c r="AC782" s="44"/>
      <c r="AD782" s="44"/>
      <c r="AE782" s="44"/>
      <c r="AF782" s="44"/>
      <c r="AG782" s="44"/>
      <c r="AH782" s="44"/>
      <c r="AI782" s="44"/>
      <c r="AJ782" s="44"/>
      <c r="AK782" s="44"/>
      <c r="AL782" s="44"/>
      <c r="AM782" s="44"/>
      <c r="AN782" s="44"/>
      <c r="AO782" s="44"/>
      <c r="AP782" s="44"/>
    </row>
    <row r="783" spans="1:42" hidden="1" x14ac:dyDescent="0.25">
      <c r="A783" s="134" t="s">
        <v>196</v>
      </c>
      <c r="B783" s="149"/>
      <c r="C783" s="204"/>
      <c r="D783" s="226"/>
      <c r="E783" s="251"/>
      <c r="F783" s="223"/>
      <c r="G783" s="226"/>
      <c r="H783" s="251"/>
      <c r="I783" s="223"/>
      <c r="J783" s="223"/>
      <c r="K783" s="226"/>
      <c r="L783" s="251"/>
      <c r="M783" s="223"/>
      <c r="N783" s="223"/>
      <c r="O783" s="226"/>
      <c r="P783" s="251"/>
      <c r="Q783" s="223"/>
      <c r="R783" s="223"/>
      <c r="S783" s="226"/>
      <c r="T783" s="251"/>
      <c r="U783" s="223"/>
      <c r="V783" s="44"/>
      <c r="W783" s="91"/>
      <c r="X783" s="91"/>
      <c r="Y783" s="91"/>
      <c r="Z783" s="44"/>
      <c r="AA783" s="44"/>
      <c r="AB783" s="44"/>
      <c r="AC783" s="44"/>
      <c r="AD783" s="44"/>
      <c r="AE783" s="44"/>
      <c r="AF783" s="44"/>
      <c r="AG783" s="44"/>
      <c r="AH783" s="44"/>
      <c r="AI783" s="44"/>
      <c r="AJ783" s="44"/>
      <c r="AK783" s="44"/>
      <c r="AL783" s="44"/>
      <c r="AM783" s="44"/>
      <c r="AN783" s="44"/>
      <c r="AO783" s="44"/>
      <c r="AP783" s="44"/>
    </row>
    <row r="784" spans="1:42" hidden="1" x14ac:dyDescent="0.25">
      <c r="A784" s="134" t="s">
        <v>197</v>
      </c>
      <c r="B784" s="149"/>
      <c r="C784" s="204">
        <v>2076.8587101006215</v>
      </c>
      <c r="D784" s="226">
        <v>26.02</v>
      </c>
      <c r="E784" s="251"/>
      <c r="F784" s="223">
        <f>ROUND(D784*C784,0)</f>
        <v>54040</v>
      </c>
      <c r="G784" s="226">
        <f>$G$730</f>
        <v>26.63</v>
      </c>
      <c r="H784" s="251"/>
      <c r="I784" s="223">
        <f>ROUND(G784*$C784,0)</f>
        <v>55307</v>
      </c>
      <c r="J784" s="223"/>
      <c r="K784" s="226">
        <f>$K$730</f>
        <v>26.02</v>
      </c>
      <c r="L784" s="251"/>
      <c r="M784" s="223">
        <f>ROUND(K784*$C784,0)</f>
        <v>54040</v>
      </c>
      <c r="N784" s="223"/>
      <c r="O784" s="226" t="str">
        <f>$O$730</f>
        <v xml:space="preserve"> </v>
      </c>
      <c r="P784" s="251"/>
      <c r="Q784" s="223">
        <f>ROUND(O784*$C784,0)</f>
        <v>0</v>
      </c>
      <c r="R784" s="223"/>
      <c r="S784" s="226" t="str">
        <f>$S$730</f>
        <v xml:space="preserve"> </v>
      </c>
      <c r="T784" s="251"/>
      <c r="U784" s="223">
        <f>ROUND(S784*$C784,0)</f>
        <v>0</v>
      </c>
      <c r="V784" s="44"/>
      <c r="W784" s="91"/>
      <c r="X784" s="91"/>
      <c r="Y784" s="91"/>
      <c r="Z784" s="44"/>
      <c r="AA784" s="44"/>
      <c r="AB784" s="44"/>
      <c r="AC784" s="44"/>
      <c r="AD784" s="44"/>
      <c r="AE784" s="44"/>
      <c r="AF784" s="44"/>
      <c r="AG784" s="44"/>
      <c r="AH784" s="44"/>
      <c r="AI784" s="44"/>
      <c r="AJ784" s="44"/>
      <c r="AK784" s="44"/>
      <c r="AL784" s="44"/>
      <c r="AM784" s="44"/>
      <c r="AN784" s="44"/>
      <c r="AO784" s="44"/>
      <c r="AP784" s="44"/>
    </row>
    <row r="785" spans="1:42" hidden="1" x14ac:dyDescent="0.25">
      <c r="A785" s="134" t="s">
        <v>198</v>
      </c>
      <c r="B785" s="149"/>
      <c r="C785" s="204"/>
      <c r="D785" s="226"/>
      <c r="E785" s="251"/>
      <c r="F785" s="223"/>
      <c r="G785" s="226"/>
      <c r="H785" s="251"/>
      <c r="I785" s="223"/>
      <c r="J785" s="223"/>
      <c r="K785" s="226"/>
      <c r="L785" s="251"/>
      <c r="M785" s="223"/>
      <c r="N785" s="223"/>
      <c r="O785" s="226"/>
      <c r="P785" s="251"/>
      <c r="Q785" s="223"/>
      <c r="R785" s="223"/>
      <c r="S785" s="226"/>
      <c r="T785" s="251"/>
      <c r="U785" s="223"/>
      <c r="V785" s="44"/>
      <c r="W785" s="91"/>
      <c r="X785" s="91"/>
      <c r="Y785" s="91"/>
      <c r="Z785" s="44"/>
      <c r="AA785" s="44"/>
      <c r="AB785" s="44"/>
      <c r="AC785" s="44"/>
      <c r="AD785" s="44"/>
      <c r="AE785" s="44"/>
      <c r="AF785" s="44"/>
      <c r="AG785" s="44"/>
      <c r="AH785" s="44"/>
      <c r="AI785" s="44"/>
      <c r="AJ785" s="44"/>
      <c r="AK785" s="44"/>
      <c r="AL785" s="44"/>
      <c r="AM785" s="44"/>
      <c r="AN785" s="44"/>
      <c r="AO785" s="44"/>
      <c r="AP785" s="44"/>
    </row>
    <row r="786" spans="1:42" hidden="1" x14ac:dyDescent="0.25">
      <c r="A786" s="134" t="s">
        <v>191</v>
      </c>
      <c r="B786" s="149"/>
      <c r="C786" s="204">
        <v>39873.252848561533</v>
      </c>
      <c r="D786" s="226">
        <v>26.02</v>
      </c>
      <c r="E786" s="251"/>
      <c r="F786" s="223">
        <f>ROUND(D786*C786,0)</f>
        <v>1037502</v>
      </c>
      <c r="G786" s="226">
        <f>$G$732</f>
        <v>26.63</v>
      </c>
      <c r="H786" s="251"/>
      <c r="I786" s="223">
        <f>ROUND(G786*$C786,0)</f>
        <v>1061825</v>
      </c>
      <c r="J786" s="223"/>
      <c r="K786" s="226">
        <f>$K$732</f>
        <v>26.02</v>
      </c>
      <c r="L786" s="251"/>
      <c r="M786" s="223">
        <f>ROUND(K786*$C786,0)</f>
        <v>1037502</v>
      </c>
      <c r="N786" s="223"/>
      <c r="O786" s="226" t="str">
        <f>$O$732</f>
        <v xml:space="preserve"> </v>
      </c>
      <c r="P786" s="251"/>
      <c r="Q786" s="223">
        <f>ROUND(O786*$C786,0)</f>
        <v>0</v>
      </c>
      <c r="R786" s="223"/>
      <c r="S786" s="226" t="str">
        <f>$S$732</f>
        <v xml:space="preserve"> </v>
      </c>
      <c r="T786" s="251"/>
      <c r="U786" s="223">
        <f>ROUND(S786*$C786,0)</f>
        <v>0</v>
      </c>
      <c r="V786" s="44"/>
      <c r="W786" s="91"/>
      <c r="X786" s="91"/>
      <c r="Y786" s="91"/>
      <c r="Z786" s="44"/>
      <c r="AA786" s="44"/>
      <c r="AB786" s="44"/>
      <c r="AC786" s="44"/>
      <c r="AD786" s="44"/>
      <c r="AE786" s="44"/>
      <c r="AF786" s="44"/>
      <c r="AG786" s="44"/>
      <c r="AH786" s="44"/>
      <c r="AI786" s="44"/>
      <c r="AJ786" s="44"/>
      <c r="AK786" s="44"/>
      <c r="AL786" s="44"/>
      <c r="AM786" s="44"/>
      <c r="AN786" s="44"/>
      <c r="AO786" s="44"/>
      <c r="AP786" s="44"/>
    </row>
    <row r="787" spans="1:42" hidden="1" x14ac:dyDescent="0.25">
      <c r="A787" s="134" t="s">
        <v>192</v>
      </c>
      <c r="B787" s="149"/>
      <c r="C787" s="204">
        <v>29185.4347915853</v>
      </c>
      <c r="D787" s="226">
        <v>18.101388370764003</v>
      </c>
      <c r="E787" s="251"/>
      <c r="F787" s="223">
        <f>ROUND(D787*C787,0)</f>
        <v>528297</v>
      </c>
      <c r="G787" s="226">
        <f>$G$733</f>
        <v>18.526286850528336</v>
      </c>
      <c r="H787" s="251"/>
      <c r="I787" s="223">
        <f>ROUND(G787*$C787,0)</f>
        <v>540698</v>
      </c>
      <c r="J787" s="223"/>
      <c r="K787" s="226">
        <f>$K$733</f>
        <v>18.101388370764003</v>
      </c>
      <c r="L787" s="251"/>
      <c r="M787" s="223">
        <f>ROUND(K787*$C787,0)</f>
        <v>528297</v>
      </c>
      <c r="N787" s="223"/>
      <c r="O787" s="226" t="str">
        <f>$O$733</f>
        <v xml:space="preserve"> </v>
      </c>
      <c r="P787" s="251"/>
      <c r="Q787" s="223">
        <f>ROUND(O787*$C787,0)</f>
        <v>0</v>
      </c>
      <c r="R787" s="223"/>
      <c r="S787" s="226" t="str">
        <f>$S$733</f>
        <v xml:space="preserve"> </v>
      </c>
      <c r="T787" s="251"/>
      <c r="U787" s="223">
        <f>ROUND(S787*$C787,0)</f>
        <v>0</v>
      </c>
      <c r="V787" s="44"/>
      <c r="W787" s="91"/>
      <c r="X787" s="91"/>
      <c r="Y787" s="91"/>
      <c r="Z787" s="44"/>
      <c r="AA787" s="44"/>
      <c r="AB787" s="44"/>
      <c r="AC787" s="44"/>
      <c r="AD787" s="44"/>
      <c r="AE787" s="44"/>
      <c r="AF787" s="44"/>
      <c r="AG787" s="44"/>
      <c r="AH787" s="44"/>
      <c r="AI787" s="44"/>
      <c r="AJ787" s="44"/>
      <c r="AK787" s="44"/>
      <c r="AL787" s="44"/>
      <c r="AM787" s="44"/>
      <c r="AN787" s="44"/>
      <c r="AO787" s="44"/>
      <c r="AP787" s="44"/>
    </row>
    <row r="788" spans="1:42" hidden="1" x14ac:dyDescent="0.25">
      <c r="A788" s="134" t="s">
        <v>193</v>
      </c>
      <c r="B788" s="149"/>
      <c r="C788" s="204">
        <v>4458.9991006743103</v>
      </c>
      <c r="D788" s="226">
        <v>14.155824964645021</v>
      </c>
      <c r="E788" s="251"/>
      <c r="F788" s="223">
        <f>ROUND(D788*C788,0)</f>
        <v>63121</v>
      </c>
      <c r="G788" s="226">
        <f>$G$734</f>
        <v>14.48810823397713</v>
      </c>
      <c r="H788" s="251"/>
      <c r="I788" s="223">
        <f>ROUND(G788*$C788,0)</f>
        <v>64602</v>
      </c>
      <c r="J788" s="223"/>
      <c r="K788" s="226">
        <f>$K$734</f>
        <v>14.155824964645021</v>
      </c>
      <c r="L788" s="251"/>
      <c r="M788" s="223">
        <f>ROUND(K788*$C788,0)</f>
        <v>63121</v>
      </c>
      <c r="N788" s="223"/>
      <c r="O788" s="226" t="str">
        <f>$O$734</f>
        <v xml:space="preserve"> </v>
      </c>
      <c r="P788" s="251"/>
      <c r="Q788" s="223">
        <f>ROUND(O788*$C788,0)</f>
        <v>0</v>
      </c>
      <c r="R788" s="223"/>
      <c r="S788" s="226" t="str">
        <f>$S$734</f>
        <v xml:space="preserve"> </v>
      </c>
      <c r="T788" s="251"/>
      <c r="U788" s="223">
        <f>ROUND(S788*$C788,0)</f>
        <v>0</v>
      </c>
      <c r="V788" s="44"/>
      <c r="W788" s="91"/>
      <c r="X788" s="91"/>
      <c r="Y788" s="91"/>
      <c r="Z788" s="44"/>
      <c r="AA788" s="44"/>
      <c r="AB788" s="44"/>
      <c r="AC788" s="44"/>
      <c r="AD788" s="44"/>
      <c r="AE788" s="44"/>
      <c r="AF788" s="44"/>
      <c r="AG788" s="44"/>
      <c r="AH788" s="44"/>
      <c r="AI788" s="44"/>
      <c r="AJ788" s="44"/>
      <c r="AK788" s="44"/>
      <c r="AL788" s="44"/>
      <c r="AM788" s="44"/>
      <c r="AN788" s="44"/>
      <c r="AO788" s="44"/>
      <c r="AP788" s="44"/>
    </row>
    <row r="789" spans="1:42" hidden="1" x14ac:dyDescent="0.25">
      <c r="A789" s="134" t="s">
        <v>199</v>
      </c>
      <c r="B789" s="149"/>
      <c r="C789" s="204">
        <v>287.38362640647603</v>
      </c>
      <c r="D789" s="226">
        <v>78.06</v>
      </c>
      <c r="E789" s="251"/>
      <c r="F789" s="223">
        <f>ROUND(D789*C789,0)</f>
        <v>22433</v>
      </c>
      <c r="G789" s="226">
        <f>$G$735</f>
        <v>79.89</v>
      </c>
      <c r="H789" s="251"/>
      <c r="I789" s="223">
        <f>ROUND(G789*$C789,0)</f>
        <v>22959</v>
      </c>
      <c r="J789" s="223"/>
      <c r="K789" s="226">
        <f>$K$735</f>
        <v>78.06</v>
      </c>
      <c r="L789" s="251"/>
      <c r="M789" s="223">
        <f>ROUND(K789*$C789,0)</f>
        <v>22433</v>
      </c>
      <c r="N789" s="223"/>
      <c r="O789" s="226" t="str">
        <f>$O$735</f>
        <v xml:space="preserve"> </v>
      </c>
      <c r="P789" s="251"/>
      <c r="Q789" s="223">
        <f>ROUND(O789*$C789,0)</f>
        <v>0</v>
      </c>
      <c r="R789" s="223"/>
      <c r="S789" s="226" t="str">
        <f>$S$735</f>
        <v xml:space="preserve"> </v>
      </c>
      <c r="T789" s="251"/>
      <c r="U789" s="223">
        <f>ROUND(S789*$C789,0)</f>
        <v>0</v>
      </c>
      <c r="V789" s="44"/>
      <c r="W789" s="91"/>
      <c r="X789" s="91"/>
      <c r="Y789" s="91"/>
      <c r="Z789" s="44"/>
      <c r="AA789" s="44"/>
      <c r="AB789" s="44"/>
      <c r="AC789" s="44"/>
      <c r="AD789" s="44"/>
      <c r="AE789" s="44"/>
      <c r="AF789" s="44"/>
      <c r="AG789" s="44"/>
      <c r="AH789" s="44"/>
      <c r="AI789" s="44"/>
      <c r="AJ789" s="44"/>
      <c r="AK789" s="44"/>
      <c r="AL789" s="44"/>
      <c r="AM789" s="44"/>
      <c r="AN789" s="44"/>
      <c r="AO789" s="44"/>
      <c r="AP789" s="44"/>
    </row>
    <row r="790" spans="1:42" hidden="1" x14ac:dyDescent="0.25">
      <c r="A790" s="134" t="s">
        <v>200</v>
      </c>
      <c r="B790" s="149"/>
      <c r="C790" s="204">
        <v>596.26328693931896</v>
      </c>
      <c r="D790" s="226">
        <v>156.12</v>
      </c>
      <c r="E790" s="251"/>
      <c r="F790" s="223">
        <f>ROUND(D790*C790,0)</f>
        <v>93089</v>
      </c>
      <c r="G790" s="226">
        <f>$G$736</f>
        <v>159.78</v>
      </c>
      <c r="H790" s="251"/>
      <c r="I790" s="223">
        <f>ROUND(G790*$C790,0)</f>
        <v>95271</v>
      </c>
      <c r="J790" s="223"/>
      <c r="K790" s="226">
        <f>$K$736</f>
        <v>156.12</v>
      </c>
      <c r="L790" s="251"/>
      <c r="M790" s="223">
        <f>ROUND(K790*$C790,0)</f>
        <v>93089</v>
      </c>
      <c r="N790" s="223"/>
      <c r="O790" s="226" t="str">
        <f>$O$736</f>
        <v xml:space="preserve"> </v>
      </c>
      <c r="P790" s="251"/>
      <c r="Q790" s="223">
        <f>ROUND(O790*$C790,0)</f>
        <v>0</v>
      </c>
      <c r="R790" s="223"/>
      <c r="S790" s="226" t="str">
        <f>$S$736</f>
        <v xml:space="preserve"> </v>
      </c>
      <c r="T790" s="251"/>
      <c r="U790" s="223">
        <f>ROUND(S790*$C790,0)</f>
        <v>0</v>
      </c>
      <c r="V790" s="44"/>
      <c r="W790" s="91"/>
      <c r="X790" s="91"/>
      <c r="Y790" s="91"/>
      <c r="Z790" s="44"/>
      <c r="AA790" s="44"/>
      <c r="AB790" s="44"/>
      <c r="AC790" s="44"/>
      <c r="AD790" s="44"/>
      <c r="AE790" s="44"/>
      <c r="AF790" s="44"/>
      <c r="AG790" s="44"/>
      <c r="AH790" s="44"/>
      <c r="AI790" s="44"/>
      <c r="AJ790" s="44"/>
      <c r="AK790" s="44"/>
      <c r="AL790" s="44"/>
      <c r="AM790" s="44"/>
      <c r="AN790" s="44"/>
      <c r="AO790" s="44"/>
      <c r="AP790" s="44"/>
    </row>
    <row r="791" spans="1:42" hidden="1" x14ac:dyDescent="0.25">
      <c r="A791" s="134" t="s">
        <v>201</v>
      </c>
      <c r="B791" s="149"/>
      <c r="C791" s="204"/>
      <c r="D791" s="226"/>
      <c r="E791" s="251"/>
      <c r="F791" s="223"/>
      <c r="G791" s="226"/>
      <c r="H791" s="251"/>
      <c r="I791" s="223"/>
      <c r="J791" s="223"/>
      <c r="K791" s="226"/>
      <c r="L791" s="251"/>
      <c r="M791" s="223"/>
      <c r="N791" s="223"/>
      <c r="O791" s="226"/>
      <c r="P791" s="251"/>
      <c r="Q791" s="223"/>
      <c r="R791" s="223"/>
      <c r="S791" s="226"/>
      <c r="T791" s="251"/>
      <c r="U791" s="223"/>
      <c r="V791" s="44"/>
      <c r="W791" s="91"/>
      <c r="X791" s="91"/>
      <c r="Y791" s="91"/>
      <c r="Z791" s="44"/>
      <c r="AA791" s="44"/>
      <c r="AB791" s="44"/>
      <c r="AC791" s="44"/>
      <c r="AD791" s="44"/>
      <c r="AE791" s="44"/>
      <c r="AF791" s="44"/>
      <c r="AG791" s="44"/>
      <c r="AH791" s="44"/>
      <c r="AI791" s="44"/>
      <c r="AJ791" s="44"/>
      <c r="AK791" s="44"/>
      <c r="AL791" s="44"/>
      <c r="AM791" s="44"/>
      <c r="AN791" s="44"/>
      <c r="AO791" s="44"/>
      <c r="AP791" s="44"/>
    </row>
    <row r="792" spans="1:42" hidden="1" x14ac:dyDescent="0.25">
      <c r="A792" s="134" t="s">
        <v>197</v>
      </c>
      <c r="B792" s="149"/>
      <c r="C792" s="204">
        <v>13.885153858261599</v>
      </c>
      <c r="D792" s="250">
        <v>-26.02</v>
      </c>
      <c r="E792" s="251"/>
      <c r="F792" s="223">
        <f>ROUND(D792*C792,0)</f>
        <v>-361</v>
      </c>
      <c r="G792" s="250">
        <f>-G784</f>
        <v>-26.63</v>
      </c>
      <c r="H792" s="251"/>
      <c r="I792" s="223">
        <f>ROUND(G792*$C792,0)</f>
        <v>-370</v>
      </c>
      <c r="J792" s="223"/>
      <c r="K792" s="250">
        <f>-K784</f>
        <v>-26.02</v>
      </c>
      <c r="L792" s="251"/>
      <c r="M792" s="223">
        <f>ROUND(K792*$C792,0)</f>
        <v>-361</v>
      </c>
      <c r="N792" s="223"/>
      <c r="O792" s="250">
        <f>-O784</f>
        <v>0</v>
      </c>
      <c r="P792" s="251"/>
      <c r="Q792" s="223">
        <f>ROUND(O792*$C792,0)</f>
        <v>0</v>
      </c>
      <c r="R792" s="223"/>
      <c r="S792" s="250">
        <f>-S784</f>
        <v>0</v>
      </c>
      <c r="T792" s="251"/>
      <c r="U792" s="223">
        <f>ROUND(S792*$C792,0)</f>
        <v>0</v>
      </c>
      <c r="V792" s="44"/>
      <c r="W792" s="91"/>
      <c r="X792" s="91"/>
      <c r="Y792" s="91"/>
      <c r="Z792" s="44"/>
      <c r="AA792" s="44"/>
      <c r="AB792" s="44"/>
      <c r="AC792" s="44"/>
      <c r="AD792" s="44"/>
      <c r="AE792" s="44"/>
      <c r="AF792" s="44"/>
      <c r="AG792" s="44"/>
      <c r="AH792" s="44"/>
      <c r="AI792" s="44"/>
      <c r="AJ792" s="44"/>
      <c r="AK792" s="44"/>
      <c r="AL792" s="44"/>
      <c r="AM792" s="44"/>
      <c r="AN792" s="44"/>
      <c r="AO792" s="44"/>
      <c r="AP792" s="44"/>
    </row>
    <row r="793" spans="1:42" hidden="1" x14ac:dyDescent="0.25">
      <c r="A793" s="134" t="s">
        <v>202</v>
      </c>
      <c r="B793" s="149"/>
      <c r="C793" s="204">
        <v>218.78375922302399</v>
      </c>
      <c r="D793" s="250">
        <v>-26.02</v>
      </c>
      <c r="E793" s="251"/>
      <c r="F793" s="223">
        <f>ROUND(D793*C793,0)</f>
        <v>-5693</v>
      </c>
      <c r="G793" s="250">
        <f>-G786</f>
        <v>-26.63</v>
      </c>
      <c r="H793" s="251"/>
      <c r="I793" s="223">
        <f>ROUND(G793*$C793,0)</f>
        <v>-5826</v>
      </c>
      <c r="J793" s="223"/>
      <c r="K793" s="250">
        <f>-K786</f>
        <v>-26.02</v>
      </c>
      <c r="L793" s="251"/>
      <c r="M793" s="223">
        <f>ROUND(K793*$C793,0)</f>
        <v>-5693</v>
      </c>
      <c r="N793" s="223"/>
      <c r="O793" s="250">
        <f>-O786</f>
        <v>0</v>
      </c>
      <c r="P793" s="251"/>
      <c r="Q793" s="223">
        <f>ROUND(O793*$C793,0)</f>
        <v>0</v>
      </c>
      <c r="R793" s="223"/>
      <c r="S793" s="250">
        <f>-S786</f>
        <v>0</v>
      </c>
      <c r="T793" s="251"/>
      <c r="U793" s="223">
        <f>ROUND(S793*$C793,0)</f>
        <v>0</v>
      </c>
      <c r="V793" s="44"/>
      <c r="W793" s="91"/>
      <c r="X793" s="91"/>
      <c r="Y793" s="91"/>
      <c r="Z793" s="44"/>
      <c r="AA793" s="44"/>
      <c r="AB793" s="44"/>
      <c r="AC793" s="44"/>
      <c r="AD793" s="44"/>
      <c r="AE793" s="44"/>
      <c r="AF793" s="44"/>
      <c r="AG793" s="44"/>
      <c r="AH793" s="44"/>
      <c r="AI793" s="44"/>
      <c r="AJ793" s="44"/>
      <c r="AK793" s="44"/>
      <c r="AL793" s="44"/>
      <c r="AM793" s="44"/>
      <c r="AN793" s="44"/>
      <c r="AO793" s="44"/>
      <c r="AP793" s="44"/>
    </row>
    <row r="794" spans="1:42" hidden="1" x14ac:dyDescent="0.25">
      <c r="A794" s="206" t="s">
        <v>164</v>
      </c>
      <c r="B794" s="149"/>
      <c r="C794" s="306" t="s">
        <v>0</v>
      </c>
      <c r="D794" s="226"/>
      <c r="E794" s="223"/>
      <c r="F794" s="223"/>
      <c r="G794" s="226"/>
      <c r="H794" s="223"/>
      <c r="I794" s="223"/>
      <c r="J794" s="223"/>
      <c r="K794" s="226"/>
      <c r="L794" s="223"/>
      <c r="M794" s="223"/>
      <c r="N794" s="223"/>
      <c r="O794" s="226"/>
      <c r="P794" s="223"/>
      <c r="Q794" s="223"/>
      <c r="R794" s="223"/>
      <c r="S794" s="226"/>
      <c r="T794" s="223"/>
      <c r="U794" s="223"/>
      <c r="V794" s="44"/>
      <c r="W794" s="91"/>
      <c r="X794" s="91"/>
      <c r="Y794" s="91"/>
      <c r="Z794" s="44"/>
      <c r="AA794" s="44"/>
      <c r="AB794" s="44"/>
      <c r="AC794" s="44"/>
      <c r="AD794" s="44"/>
      <c r="AE794" s="44"/>
      <c r="AF794" s="44"/>
      <c r="AG794" s="44"/>
      <c r="AH794" s="44"/>
      <c r="AI794" s="44"/>
      <c r="AJ794" s="44"/>
      <c r="AK794" s="44"/>
      <c r="AL794" s="44"/>
      <c r="AM794" s="44"/>
      <c r="AN794" s="44"/>
      <c r="AO794" s="44"/>
      <c r="AP794" s="44"/>
    </row>
    <row r="795" spans="1:42" hidden="1" x14ac:dyDescent="0.25">
      <c r="A795" s="134" t="s">
        <v>203</v>
      </c>
      <c r="B795" s="149"/>
      <c r="C795" s="204">
        <v>110142584.89494899</v>
      </c>
      <c r="D795" s="307">
        <v>7.0350000000000001</v>
      </c>
      <c r="E795" s="223" t="s">
        <v>89</v>
      </c>
      <c r="F795" s="223">
        <f>ROUND(D795/100*C795,0)</f>
        <v>7748531</v>
      </c>
      <c r="G795" s="307">
        <f>$G$741</f>
        <v>7.2030000000000003</v>
      </c>
      <c r="H795" s="223" t="s">
        <v>89</v>
      </c>
      <c r="I795" s="223">
        <f>ROUND(G795/100*$C795,0)</f>
        <v>7933570</v>
      </c>
      <c r="J795" s="223"/>
      <c r="K795" s="307" t="e">
        <f>$K$741</f>
        <v>#REF!</v>
      </c>
      <c r="L795" s="223" t="s">
        <v>89</v>
      </c>
      <c r="M795" s="223" t="e">
        <f>ROUND(K795/100*$C795,0)</f>
        <v>#REF!</v>
      </c>
      <c r="N795" s="223"/>
      <c r="O795" s="307" t="e">
        <f>$O$741</f>
        <v>#DIV/0!</v>
      </c>
      <c r="P795" s="223" t="s">
        <v>89</v>
      </c>
      <c r="Q795" s="223" t="e">
        <f>ROUND(O795/100*$C795,0)</f>
        <v>#DIV/0!</v>
      </c>
      <c r="R795" s="223"/>
      <c r="S795" s="307" t="e">
        <f>$S$741</f>
        <v>#DIV/0!</v>
      </c>
      <c r="T795" s="223" t="s">
        <v>89</v>
      </c>
      <c r="U795" s="223" t="e">
        <f>ROUND(S795/100*$C795,0)</f>
        <v>#DIV/0!</v>
      </c>
      <c r="V795" s="44"/>
      <c r="W795" s="91"/>
      <c r="X795" s="91"/>
      <c r="Y795" s="91"/>
      <c r="Z795" s="44"/>
      <c r="AA795" s="44"/>
      <c r="AB795" s="44"/>
      <c r="AC795" s="44"/>
      <c r="AD795" s="44"/>
      <c r="AE795" s="44"/>
      <c r="AF795" s="44"/>
      <c r="AG795" s="44"/>
      <c r="AH795" s="44"/>
      <c r="AI795" s="44"/>
      <c r="AJ795" s="44"/>
      <c r="AK795" s="44"/>
      <c r="AL795" s="44"/>
      <c r="AM795" s="44"/>
      <c r="AN795" s="44"/>
      <c r="AO795" s="44"/>
      <c r="AP795" s="44"/>
    </row>
    <row r="796" spans="1:42" hidden="1" x14ac:dyDescent="0.25">
      <c r="A796" s="206" t="s">
        <v>133</v>
      </c>
      <c r="B796" s="149"/>
      <c r="C796" s="204">
        <v>43439</v>
      </c>
      <c r="D796" s="227">
        <v>57</v>
      </c>
      <c r="E796" s="206" t="s">
        <v>89</v>
      </c>
      <c r="F796" s="223">
        <f>ROUND(D796/100*C796,0)</f>
        <v>24760</v>
      </c>
      <c r="G796" s="227">
        <f>$G$742</f>
        <v>58</v>
      </c>
      <c r="H796" s="206" t="s">
        <v>89</v>
      </c>
      <c r="I796" s="223">
        <f>ROUND(G796*$C796/100,0)</f>
        <v>25195</v>
      </c>
      <c r="J796" s="223"/>
      <c r="K796" s="227" t="str">
        <f>$K$742</f>
        <v xml:space="preserve"> </v>
      </c>
      <c r="L796" s="206" t="s">
        <v>89</v>
      </c>
      <c r="M796" s="223">
        <f>ROUND(K796*$C796/100,0)</f>
        <v>0</v>
      </c>
      <c r="N796" s="223"/>
      <c r="O796" s="227" t="e">
        <f>$O$742</f>
        <v>#DIV/0!</v>
      </c>
      <c r="P796" s="206" t="s">
        <v>89</v>
      </c>
      <c r="Q796" s="223" t="e">
        <f>ROUND(O796*$C796/100,0)</f>
        <v>#DIV/0!</v>
      </c>
      <c r="R796" s="223"/>
      <c r="S796" s="227" t="e">
        <f>$S$742</f>
        <v>#DIV/0!</v>
      </c>
      <c r="T796" s="206" t="s">
        <v>89</v>
      </c>
      <c r="U796" s="223" t="e">
        <f>ROUND(S796*$C796/100,0)</f>
        <v>#DIV/0!</v>
      </c>
      <c r="V796" s="44"/>
      <c r="W796" s="91"/>
      <c r="X796" s="91"/>
      <c r="Y796" s="91"/>
      <c r="Z796" s="44"/>
      <c r="AA796" s="44"/>
      <c r="AB796" s="44"/>
      <c r="AC796" s="44"/>
      <c r="AD796" s="44"/>
      <c r="AE796" s="44"/>
      <c r="AF796" s="44"/>
      <c r="AG796" s="44"/>
      <c r="AH796" s="44"/>
      <c r="AI796" s="44"/>
      <c r="AJ796" s="44"/>
      <c r="AK796" s="44"/>
      <c r="AL796" s="44"/>
      <c r="AM796" s="44"/>
      <c r="AN796" s="44"/>
      <c r="AO796" s="44"/>
      <c r="AP796" s="44"/>
    </row>
    <row r="797" spans="1:42" hidden="1" x14ac:dyDescent="0.25">
      <c r="A797" s="257" t="s">
        <v>140</v>
      </c>
      <c r="B797" s="149"/>
      <c r="C797" s="204"/>
      <c r="D797" s="220">
        <v>-0.01</v>
      </c>
      <c r="E797" s="149"/>
      <c r="F797" s="223"/>
      <c r="G797" s="220">
        <v>-0.01</v>
      </c>
      <c r="H797" s="149"/>
      <c r="I797" s="223"/>
      <c r="J797" s="223"/>
      <c r="K797" s="220">
        <v>-0.01</v>
      </c>
      <c r="L797" s="149"/>
      <c r="M797" s="223"/>
      <c r="N797" s="223"/>
      <c r="O797" s="220">
        <v>-0.01</v>
      </c>
      <c r="P797" s="149"/>
      <c r="Q797" s="223"/>
      <c r="R797" s="223"/>
      <c r="S797" s="220">
        <v>-0.01</v>
      </c>
      <c r="T797" s="149"/>
      <c r="U797" s="223"/>
      <c r="V797" s="44"/>
      <c r="W797" s="91"/>
      <c r="X797" s="91"/>
      <c r="Y797" s="91"/>
      <c r="Z797" s="44"/>
      <c r="AA797" s="44"/>
      <c r="AB797" s="44"/>
      <c r="AC797" s="44"/>
      <c r="AD797" s="44"/>
      <c r="AE797" s="44"/>
      <c r="AF797" s="44"/>
      <c r="AG797" s="44"/>
      <c r="AH797" s="44"/>
      <c r="AI797" s="44"/>
      <c r="AJ797" s="44"/>
      <c r="AK797" s="44"/>
      <c r="AL797" s="44"/>
      <c r="AM797" s="44"/>
      <c r="AN797" s="44"/>
      <c r="AO797" s="44"/>
      <c r="AP797" s="44"/>
    </row>
    <row r="798" spans="1:42" hidden="1" x14ac:dyDescent="0.25">
      <c r="A798" s="134" t="s">
        <v>124</v>
      </c>
      <c r="B798" s="149"/>
      <c r="C798" s="204">
        <v>0</v>
      </c>
      <c r="D798" s="246">
        <v>0</v>
      </c>
      <c r="E798" s="251"/>
      <c r="F798" s="223">
        <f>ROUND(D798*C798*$D$745,0)</f>
        <v>0</v>
      </c>
      <c r="G798" s="246">
        <f>G775</f>
        <v>0</v>
      </c>
      <c r="H798" s="251"/>
      <c r="I798" s="223">
        <f>ROUND(G798*$C798*$G$797,0)</f>
        <v>0</v>
      </c>
      <c r="J798" s="223"/>
      <c r="K798" s="246">
        <f>K775</f>
        <v>0</v>
      </c>
      <c r="L798" s="251"/>
      <c r="M798" s="223">
        <f>ROUND(K798*$C798*$G$797,0)</f>
        <v>0</v>
      </c>
      <c r="N798" s="223"/>
      <c r="O798" s="246" t="str">
        <f>O775</f>
        <v xml:space="preserve"> </v>
      </c>
      <c r="P798" s="251"/>
      <c r="Q798" s="223">
        <f>ROUND(O798*$C798*$G$797,0)</f>
        <v>0</v>
      </c>
      <c r="R798" s="223"/>
      <c r="S798" s="246" t="str">
        <f>S775</f>
        <v xml:space="preserve"> </v>
      </c>
      <c r="T798" s="251"/>
      <c r="U798" s="223">
        <f>ROUND(S798*$C798*$G$797,0)</f>
        <v>0</v>
      </c>
      <c r="V798" s="44"/>
      <c r="W798" s="91"/>
      <c r="X798" s="91"/>
      <c r="Y798" s="91"/>
      <c r="Z798" s="44"/>
      <c r="AA798" s="44"/>
      <c r="AB798" s="44"/>
      <c r="AC798" s="44"/>
      <c r="AD798" s="44"/>
      <c r="AE798" s="44"/>
      <c r="AF798" s="44"/>
      <c r="AG798" s="44"/>
      <c r="AH798" s="44"/>
      <c r="AI798" s="44"/>
      <c r="AJ798" s="44"/>
      <c r="AK798" s="44"/>
      <c r="AL798" s="44"/>
      <c r="AM798" s="44"/>
      <c r="AN798" s="44"/>
      <c r="AO798" s="44"/>
      <c r="AP798" s="44"/>
    </row>
    <row r="799" spans="1:42" hidden="1" x14ac:dyDescent="0.25">
      <c r="A799" s="134" t="s">
        <v>125</v>
      </c>
      <c r="B799" s="149"/>
      <c r="C799" s="204"/>
      <c r="D799" s="246"/>
      <c r="E799" s="251"/>
      <c r="F799" s="223"/>
      <c r="G799" s="246"/>
      <c r="H799" s="251"/>
      <c r="I799" s="223"/>
      <c r="J799" s="223"/>
      <c r="K799" s="246"/>
      <c r="L799" s="251"/>
      <c r="M799" s="223"/>
      <c r="N799" s="223"/>
      <c r="O799" s="246"/>
      <c r="P799" s="251"/>
      <c r="Q799" s="223"/>
      <c r="R799" s="223"/>
      <c r="S799" s="246"/>
      <c r="T799" s="251"/>
      <c r="U799" s="223"/>
      <c r="V799" s="44"/>
      <c r="W799" s="91"/>
      <c r="X799" s="91"/>
      <c r="Y799" s="91"/>
      <c r="Z799" s="44"/>
      <c r="AA799" s="44"/>
      <c r="AB799" s="44"/>
      <c r="AC799" s="44"/>
      <c r="AD799" s="44"/>
      <c r="AE799" s="44"/>
      <c r="AF799" s="44"/>
      <c r="AG799" s="44"/>
      <c r="AH799" s="44"/>
      <c r="AI799" s="44"/>
      <c r="AJ799" s="44"/>
      <c r="AK799" s="44"/>
      <c r="AL799" s="44"/>
      <c r="AM799" s="44"/>
      <c r="AN799" s="44"/>
      <c r="AO799" s="44"/>
      <c r="AP799" s="44"/>
    </row>
    <row r="800" spans="1:42" hidden="1" x14ac:dyDescent="0.25">
      <c r="A800" s="134" t="s">
        <v>191</v>
      </c>
      <c r="B800" s="149"/>
      <c r="C800" s="204">
        <v>1.0000071591230999</v>
      </c>
      <c r="D800" s="246">
        <v>0</v>
      </c>
      <c r="E800" s="251"/>
      <c r="F800" s="223">
        <f>ROUND(D800*C800*$D$745,0)</f>
        <v>0</v>
      </c>
      <c r="G800" s="246">
        <f>G777</f>
        <v>0</v>
      </c>
      <c r="H800" s="251"/>
      <c r="I800" s="223">
        <f>ROUND(G800*$C800*$G$797,0)</f>
        <v>0</v>
      </c>
      <c r="J800" s="223"/>
      <c r="K800" s="246">
        <f>K777</f>
        <v>0</v>
      </c>
      <c r="L800" s="251"/>
      <c r="M800" s="223">
        <f>ROUND(K800*$C800*$G$797,0)</f>
        <v>0</v>
      </c>
      <c r="N800" s="223"/>
      <c r="O800" s="246" t="str">
        <f>O777</f>
        <v xml:space="preserve"> </v>
      </c>
      <c r="P800" s="251"/>
      <c r="Q800" s="223">
        <f>ROUND(O800*$C800*$G$797,0)</f>
        <v>0</v>
      </c>
      <c r="R800" s="223"/>
      <c r="S800" s="246" t="str">
        <f>S777</f>
        <v xml:space="preserve"> </v>
      </c>
      <c r="T800" s="251"/>
      <c r="U800" s="223">
        <f>ROUND(S800*$C800*$G$797,0)</f>
        <v>0</v>
      </c>
      <c r="V800" s="44"/>
      <c r="W800" s="91"/>
      <c r="X800" s="91"/>
      <c r="Y800" s="91"/>
      <c r="Z800" s="44"/>
      <c r="AA800" s="44"/>
      <c r="AB800" s="44"/>
      <c r="AC800" s="44"/>
      <c r="AD800" s="44"/>
      <c r="AE800" s="44"/>
      <c r="AF800" s="44"/>
      <c r="AG800" s="44"/>
      <c r="AH800" s="44"/>
      <c r="AI800" s="44"/>
      <c r="AJ800" s="44"/>
      <c r="AK800" s="44"/>
      <c r="AL800" s="44"/>
      <c r="AM800" s="44"/>
      <c r="AN800" s="44"/>
      <c r="AO800" s="44"/>
      <c r="AP800" s="44"/>
    </row>
    <row r="801" spans="1:42" hidden="1" x14ac:dyDescent="0.25">
      <c r="A801" s="134" t="s">
        <v>192</v>
      </c>
      <c r="B801" s="149"/>
      <c r="C801" s="204">
        <v>0</v>
      </c>
      <c r="D801" s="246">
        <v>370</v>
      </c>
      <c r="E801" s="251"/>
      <c r="F801" s="223">
        <f>ROUND(D801*C801*$D$745,0)</f>
        <v>0</v>
      </c>
      <c r="G801" s="246">
        <f>G778</f>
        <v>379</v>
      </c>
      <c r="H801" s="251"/>
      <c r="I801" s="223">
        <f>ROUND(G801*$C801*$G$797,0)</f>
        <v>0</v>
      </c>
      <c r="J801" s="223"/>
      <c r="K801" s="246">
        <f>K778</f>
        <v>379</v>
      </c>
      <c r="L801" s="251"/>
      <c r="M801" s="223">
        <f>ROUND(K801*$C801*$G$797,0)</f>
        <v>0</v>
      </c>
      <c r="N801" s="223"/>
      <c r="O801" s="246" t="str">
        <f>O778</f>
        <v xml:space="preserve"> </v>
      </c>
      <c r="P801" s="251"/>
      <c r="Q801" s="223">
        <f>ROUND(O801*$C801*$G$797,0)</f>
        <v>0</v>
      </c>
      <c r="R801" s="223"/>
      <c r="S801" s="246" t="str">
        <f>S778</f>
        <v xml:space="preserve"> </v>
      </c>
      <c r="T801" s="251"/>
      <c r="U801" s="223">
        <f>ROUND(S801*$C801*$G$797,0)</f>
        <v>0</v>
      </c>
      <c r="V801" s="44"/>
      <c r="W801" s="91"/>
      <c r="X801" s="91"/>
      <c r="Y801" s="91"/>
      <c r="Z801" s="44"/>
      <c r="AA801" s="44"/>
      <c r="AB801" s="44"/>
      <c r="AC801" s="44"/>
      <c r="AD801" s="44"/>
      <c r="AE801" s="44"/>
      <c r="AF801" s="44"/>
      <c r="AG801" s="44"/>
      <c r="AH801" s="44"/>
      <c r="AI801" s="44"/>
      <c r="AJ801" s="44"/>
      <c r="AK801" s="44"/>
      <c r="AL801" s="44"/>
      <c r="AM801" s="44"/>
      <c r="AN801" s="44"/>
      <c r="AO801" s="44"/>
      <c r="AP801" s="44"/>
    </row>
    <row r="802" spans="1:42" hidden="1" x14ac:dyDescent="0.25">
      <c r="A802" s="134" t="s">
        <v>193</v>
      </c>
      <c r="B802" s="149"/>
      <c r="C802" s="204">
        <v>0</v>
      </c>
      <c r="D802" s="246">
        <v>1504</v>
      </c>
      <c r="E802" s="251"/>
      <c r="F802" s="223">
        <f>ROUND(D802*C802*$D$745,0)</f>
        <v>0</v>
      </c>
      <c r="G802" s="246">
        <f>G779</f>
        <v>1539</v>
      </c>
      <c r="H802" s="251"/>
      <c r="I802" s="223">
        <f>ROUND(G802*$C802*$G$797,0)</f>
        <v>0</v>
      </c>
      <c r="J802" s="223"/>
      <c r="K802" s="246">
        <f>K779</f>
        <v>1539</v>
      </c>
      <c r="L802" s="251"/>
      <c r="M802" s="223">
        <f>ROUND(K802*$C802*$G$797,0)</f>
        <v>0</v>
      </c>
      <c r="N802" s="223"/>
      <c r="O802" s="246" t="str">
        <f>O779</f>
        <v xml:space="preserve"> </v>
      </c>
      <c r="P802" s="251"/>
      <c r="Q802" s="223">
        <f>ROUND(O802*$C802*$G$797,0)</f>
        <v>0</v>
      </c>
      <c r="R802" s="223"/>
      <c r="S802" s="246" t="str">
        <f>S779</f>
        <v xml:space="preserve"> </v>
      </c>
      <c r="T802" s="251"/>
      <c r="U802" s="223">
        <f>ROUND(S802*$C802*$G$797,0)</f>
        <v>0</v>
      </c>
      <c r="V802" s="44"/>
      <c r="W802" s="91"/>
      <c r="X802" s="91"/>
      <c r="Y802" s="91"/>
      <c r="Z802" s="44"/>
      <c r="AA802" s="44"/>
      <c r="AB802" s="44"/>
      <c r="AC802" s="44"/>
      <c r="AD802" s="44"/>
      <c r="AE802" s="44"/>
      <c r="AF802" s="44"/>
      <c r="AG802" s="44"/>
      <c r="AH802" s="44"/>
      <c r="AI802" s="44"/>
      <c r="AJ802" s="44"/>
      <c r="AK802" s="44"/>
      <c r="AL802" s="44"/>
      <c r="AM802" s="44"/>
      <c r="AN802" s="44"/>
      <c r="AO802" s="44"/>
      <c r="AP802" s="44"/>
    </row>
    <row r="803" spans="1:42" hidden="1" x14ac:dyDescent="0.25">
      <c r="A803" s="134" t="s">
        <v>124</v>
      </c>
      <c r="B803" s="149"/>
      <c r="C803" s="204">
        <v>0</v>
      </c>
      <c r="D803" s="246">
        <v>26.02</v>
      </c>
      <c r="E803" s="251"/>
      <c r="F803" s="223">
        <f>ROUND(D803*C803*$D$745,0)</f>
        <v>0</v>
      </c>
      <c r="G803" s="246">
        <f>G784</f>
        <v>26.63</v>
      </c>
      <c r="H803" s="251"/>
      <c r="I803" s="223">
        <f>ROUND(G803*$C803*$G$797,0)</f>
        <v>0</v>
      </c>
      <c r="J803" s="223"/>
      <c r="K803" s="246">
        <f>K784</f>
        <v>26.02</v>
      </c>
      <c r="L803" s="251"/>
      <c r="M803" s="223">
        <f>ROUND(K803*$C803*$G$797,0)</f>
        <v>0</v>
      </c>
      <c r="N803" s="223"/>
      <c r="O803" s="246" t="str">
        <f>O784</f>
        <v xml:space="preserve"> </v>
      </c>
      <c r="P803" s="251"/>
      <c r="Q803" s="223">
        <f>ROUND(O803*$C803*$G$797,0)</f>
        <v>0</v>
      </c>
      <c r="R803" s="223"/>
      <c r="S803" s="246" t="str">
        <f>S784</f>
        <v xml:space="preserve"> </v>
      </c>
      <c r="T803" s="251"/>
      <c r="U803" s="223">
        <f>ROUND(S803*$C803*$G$797,0)</f>
        <v>0</v>
      </c>
      <c r="V803" s="44"/>
      <c r="W803" s="91"/>
      <c r="X803" s="91"/>
      <c r="Y803" s="91"/>
      <c r="Z803" s="44"/>
      <c r="AA803" s="44"/>
      <c r="AB803" s="44"/>
      <c r="AC803" s="44"/>
      <c r="AD803" s="44"/>
      <c r="AE803" s="44"/>
      <c r="AF803" s="44"/>
      <c r="AG803" s="44"/>
      <c r="AH803" s="44"/>
      <c r="AI803" s="44"/>
      <c r="AJ803" s="44"/>
      <c r="AK803" s="44"/>
      <c r="AL803" s="44"/>
      <c r="AM803" s="44"/>
      <c r="AN803" s="44"/>
      <c r="AO803" s="44"/>
      <c r="AP803" s="44"/>
    </row>
    <row r="804" spans="1:42" hidden="1" x14ac:dyDescent="0.25">
      <c r="A804" s="134" t="s">
        <v>125</v>
      </c>
      <c r="B804" s="149"/>
      <c r="C804" s="204"/>
      <c r="D804" s="246"/>
      <c r="E804" s="251"/>
      <c r="F804" s="223"/>
      <c r="G804" s="246"/>
      <c r="H804" s="251"/>
      <c r="I804" s="223"/>
      <c r="J804" s="223"/>
      <c r="K804" s="246"/>
      <c r="L804" s="251"/>
      <c r="M804" s="223"/>
      <c r="N804" s="223"/>
      <c r="O804" s="246"/>
      <c r="P804" s="251"/>
      <c r="Q804" s="223"/>
      <c r="R804" s="223"/>
      <c r="S804" s="246"/>
      <c r="T804" s="251"/>
      <c r="U804" s="223"/>
      <c r="V804" s="44"/>
      <c r="W804" s="91"/>
      <c r="X804" s="91"/>
      <c r="Y804" s="91"/>
      <c r="Z804" s="44"/>
      <c r="AA804" s="44"/>
      <c r="AB804" s="44"/>
      <c r="AC804" s="44"/>
      <c r="AD804" s="44"/>
      <c r="AE804" s="44"/>
      <c r="AF804" s="44"/>
      <c r="AG804" s="44"/>
      <c r="AH804" s="44"/>
      <c r="AI804" s="44"/>
      <c r="AJ804" s="44"/>
      <c r="AK804" s="44"/>
      <c r="AL804" s="44"/>
      <c r="AM804" s="44"/>
      <c r="AN804" s="44"/>
      <c r="AO804" s="44"/>
      <c r="AP804" s="44"/>
    </row>
    <row r="805" spans="1:42" hidden="1" x14ac:dyDescent="0.25">
      <c r="A805" s="134" t="s">
        <v>191</v>
      </c>
      <c r="B805" s="149"/>
      <c r="C805" s="204">
        <v>38.0002720466778</v>
      </c>
      <c r="D805" s="246">
        <v>26.02</v>
      </c>
      <c r="E805" s="251"/>
      <c r="F805" s="223">
        <f>ROUND(D805*C805*$D$745,0)</f>
        <v>-10</v>
      </c>
      <c r="G805" s="246">
        <f>G786</f>
        <v>26.63</v>
      </c>
      <c r="H805" s="251"/>
      <c r="I805" s="223">
        <f>ROUND(G805*$C805*$G$797,0)</f>
        <v>-10</v>
      </c>
      <c r="J805" s="223"/>
      <c r="K805" s="246">
        <f>K786</f>
        <v>26.02</v>
      </c>
      <c r="L805" s="251"/>
      <c r="M805" s="223">
        <f>ROUND(K805*$C805*$G$797,0)</f>
        <v>-10</v>
      </c>
      <c r="N805" s="223"/>
      <c r="O805" s="246" t="str">
        <f>O786</f>
        <v xml:space="preserve"> </v>
      </c>
      <c r="P805" s="251"/>
      <c r="Q805" s="223">
        <f>ROUND(O805*$C805*$G$797,0)</f>
        <v>0</v>
      </c>
      <c r="R805" s="223"/>
      <c r="S805" s="246" t="str">
        <f>S786</f>
        <v xml:space="preserve"> </v>
      </c>
      <c r="T805" s="251"/>
      <c r="U805" s="223">
        <f>ROUND(S805*$C805*$G$797,0)</f>
        <v>0</v>
      </c>
      <c r="V805" s="44"/>
      <c r="W805" s="91"/>
      <c r="X805" s="91"/>
      <c r="Y805" s="91"/>
      <c r="Z805" s="44"/>
      <c r="AA805" s="44"/>
      <c r="AB805" s="44"/>
      <c r="AC805" s="44"/>
      <c r="AD805" s="44"/>
      <c r="AE805" s="44"/>
      <c r="AF805" s="44"/>
      <c r="AG805" s="44"/>
      <c r="AH805" s="44"/>
      <c r="AI805" s="44"/>
      <c r="AJ805" s="44"/>
      <c r="AK805" s="44"/>
      <c r="AL805" s="44"/>
      <c r="AM805" s="44"/>
      <c r="AN805" s="44"/>
      <c r="AO805" s="44"/>
      <c r="AP805" s="44"/>
    </row>
    <row r="806" spans="1:42" hidden="1" x14ac:dyDescent="0.25">
      <c r="A806" s="134" t="s">
        <v>192</v>
      </c>
      <c r="B806" s="149"/>
      <c r="C806" s="204">
        <v>0</v>
      </c>
      <c r="D806" s="246">
        <v>18.101388370764003</v>
      </c>
      <c r="E806" s="251"/>
      <c r="F806" s="223">
        <f>ROUND(D806*C806*$D$745,0)</f>
        <v>0</v>
      </c>
      <c r="G806" s="246">
        <f>G787</f>
        <v>18.526286850528336</v>
      </c>
      <c r="H806" s="251"/>
      <c r="I806" s="223">
        <f>ROUND(G806*$C806*$G$797,0)</f>
        <v>0</v>
      </c>
      <c r="J806" s="223"/>
      <c r="K806" s="246">
        <f>K787</f>
        <v>18.101388370764003</v>
      </c>
      <c r="L806" s="251"/>
      <c r="M806" s="223">
        <f>ROUND(K806*$C806*$G$797,0)</f>
        <v>0</v>
      </c>
      <c r="N806" s="223"/>
      <c r="O806" s="246" t="str">
        <f>O787</f>
        <v xml:space="preserve"> </v>
      </c>
      <c r="P806" s="251"/>
      <c r="Q806" s="223">
        <f>ROUND(O806*$C806*$G$797,0)</f>
        <v>0</v>
      </c>
      <c r="R806" s="223"/>
      <c r="S806" s="246" t="str">
        <f>S787</f>
        <v xml:space="preserve"> </v>
      </c>
      <c r="T806" s="251"/>
      <c r="U806" s="223">
        <f>ROUND(S806*$C806*$G$797,0)</f>
        <v>0</v>
      </c>
      <c r="V806" s="44"/>
      <c r="W806" s="91"/>
      <c r="X806" s="91"/>
      <c r="Y806" s="91"/>
      <c r="Z806" s="44"/>
      <c r="AA806" s="44"/>
      <c r="AB806" s="44"/>
      <c r="AC806" s="44"/>
      <c r="AD806" s="44"/>
      <c r="AE806" s="44"/>
      <c r="AF806" s="44"/>
      <c r="AG806" s="44"/>
      <c r="AH806" s="44"/>
      <c r="AI806" s="44"/>
      <c r="AJ806" s="44"/>
      <c r="AK806" s="44"/>
      <c r="AL806" s="44"/>
      <c r="AM806" s="44"/>
      <c r="AN806" s="44"/>
      <c r="AO806" s="44"/>
      <c r="AP806" s="44"/>
    </row>
    <row r="807" spans="1:42" hidden="1" x14ac:dyDescent="0.25">
      <c r="A807" s="134" t="s">
        <v>193</v>
      </c>
      <c r="B807" s="149"/>
      <c r="C807" s="204">
        <v>0</v>
      </c>
      <c r="D807" s="246">
        <v>14.155824964645021</v>
      </c>
      <c r="E807" s="251"/>
      <c r="F807" s="223">
        <f>ROUND(D807*C807*$D$745,0)</f>
        <v>0</v>
      </c>
      <c r="G807" s="246">
        <f>G788</f>
        <v>14.48810823397713</v>
      </c>
      <c r="H807" s="251"/>
      <c r="I807" s="223">
        <f>ROUND(G807*$C807*$G$797,0)</f>
        <v>0</v>
      </c>
      <c r="J807" s="223"/>
      <c r="K807" s="246">
        <f>K788</f>
        <v>14.155824964645021</v>
      </c>
      <c r="L807" s="251"/>
      <c r="M807" s="223">
        <f>ROUND(K807*$C807*$G$797,0)</f>
        <v>0</v>
      </c>
      <c r="N807" s="223"/>
      <c r="O807" s="246" t="str">
        <f>O788</f>
        <v xml:space="preserve"> </v>
      </c>
      <c r="P807" s="251"/>
      <c r="Q807" s="223">
        <f>ROUND(O807*$C807*$G$797,0)</f>
        <v>0</v>
      </c>
      <c r="R807" s="223"/>
      <c r="S807" s="246" t="str">
        <f>S788</f>
        <v xml:space="preserve"> </v>
      </c>
      <c r="T807" s="251"/>
      <c r="U807" s="223">
        <f>ROUND(S807*$C807*$G$797,0)</f>
        <v>0</v>
      </c>
      <c r="V807" s="44"/>
      <c r="W807" s="91"/>
      <c r="X807" s="91"/>
      <c r="Y807" s="91"/>
      <c r="Z807" s="44"/>
      <c r="AA807" s="44"/>
      <c r="AB807" s="44"/>
      <c r="AC807" s="44"/>
      <c r="AD807" s="44"/>
      <c r="AE807" s="44"/>
      <c r="AF807" s="44"/>
      <c r="AG807" s="44"/>
      <c r="AH807" s="44"/>
      <c r="AI807" s="44"/>
      <c r="AJ807" s="44"/>
      <c r="AK807" s="44"/>
      <c r="AL807" s="44"/>
      <c r="AM807" s="44"/>
      <c r="AN807" s="44"/>
      <c r="AO807" s="44"/>
      <c r="AP807" s="44"/>
    </row>
    <row r="808" spans="1:42" hidden="1" x14ac:dyDescent="0.25">
      <c r="A808" s="134" t="s">
        <v>207</v>
      </c>
      <c r="B808" s="149"/>
      <c r="C808" s="204">
        <v>0</v>
      </c>
      <c r="D808" s="250">
        <v>78.06</v>
      </c>
      <c r="E808" s="251"/>
      <c r="F808" s="223">
        <f>ROUND(D808*C808*$D$745,0)</f>
        <v>0</v>
      </c>
      <c r="G808" s="250">
        <f>G789</f>
        <v>79.89</v>
      </c>
      <c r="H808" s="251"/>
      <c r="I808" s="223">
        <f>ROUND(G808*$C808*$G$797,0)</f>
        <v>0</v>
      </c>
      <c r="J808" s="223"/>
      <c r="K808" s="250">
        <f>K789</f>
        <v>78.06</v>
      </c>
      <c r="L808" s="251"/>
      <c r="M808" s="223">
        <f>ROUND(K808*$C808*$G$797,0)</f>
        <v>0</v>
      </c>
      <c r="N808" s="223"/>
      <c r="O808" s="250" t="str">
        <f>O789</f>
        <v xml:space="preserve"> </v>
      </c>
      <c r="P808" s="251"/>
      <c r="Q808" s="223">
        <f>ROUND(O808*$C808*$G$797,0)</f>
        <v>0</v>
      </c>
      <c r="R808" s="223"/>
      <c r="S808" s="250" t="str">
        <f>S789</f>
        <v xml:space="preserve"> </v>
      </c>
      <c r="T808" s="251"/>
      <c r="U808" s="223">
        <f>ROUND(S808*$C808*$G$797,0)</f>
        <v>0</v>
      </c>
      <c r="V808" s="44"/>
      <c r="W808" s="91"/>
      <c r="X808" s="91"/>
      <c r="Y808" s="91"/>
      <c r="Z808" s="44"/>
      <c r="AA808" s="44"/>
      <c r="AB808" s="44"/>
      <c r="AC808" s="44"/>
      <c r="AD808" s="44"/>
      <c r="AE808" s="44"/>
      <c r="AF808" s="44"/>
      <c r="AG808" s="44"/>
      <c r="AH808" s="44"/>
      <c r="AI808" s="44"/>
      <c r="AJ808" s="44"/>
      <c r="AK808" s="44"/>
      <c r="AL808" s="44"/>
      <c r="AM808" s="44"/>
      <c r="AN808" s="44"/>
      <c r="AO808" s="44"/>
      <c r="AP808" s="44"/>
    </row>
    <row r="809" spans="1:42" hidden="1" x14ac:dyDescent="0.25">
      <c r="A809" s="134" t="s">
        <v>208</v>
      </c>
      <c r="B809" s="149"/>
      <c r="C809" s="204">
        <v>0</v>
      </c>
      <c r="D809" s="250">
        <v>156.12</v>
      </c>
      <c r="E809" s="251"/>
      <c r="F809" s="223">
        <f>ROUND(D809*C809*$D$745,0)</f>
        <v>0</v>
      </c>
      <c r="G809" s="250">
        <f>G790</f>
        <v>159.78</v>
      </c>
      <c r="H809" s="251"/>
      <c r="I809" s="223">
        <f>ROUND(G809*$C809*$G$797,0)</f>
        <v>0</v>
      </c>
      <c r="J809" s="223"/>
      <c r="K809" s="250">
        <f>K790</f>
        <v>156.12</v>
      </c>
      <c r="L809" s="251"/>
      <c r="M809" s="223">
        <f>ROUND(K809*$C809*$G$797,0)</f>
        <v>0</v>
      </c>
      <c r="N809" s="223"/>
      <c r="O809" s="250" t="str">
        <f>O790</f>
        <v xml:space="preserve"> </v>
      </c>
      <c r="P809" s="251"/>
      <c r="Q809" s="223">
        <f>ROUND(O809*$C809*$G$797,0)</f>
        <v>0</v>
      </c>
      <c r="R809" s="223"/>
      <c r="S809" s="250" t="str">
        <f>S790</f>
        <v xml:space="preserve"> </v>
      </c>
      <c r="T809" s="251"/>
      <c r="U809" s="223">
        <f>ROUND(S809*$C809*$G$797,0)</f>
        <v>0</v>
      </c>
      <c r="V809" s="44"/>
      <c r="W809" s="91"/>
      <c r="X809" s="91"/>
      <c r="Y809" s="91"/>
      <c r="Z809" s="44"/>
      <c r="AA809" s="44"/>
      <c r="AB809" s="44"/>
      <c r="AC809" s="44"/>
      <c r="AD809" s="44"/>
      <c r="AE809" s="44"/>
      <c r="AF809" s="44"/>
      <c r="AG809" s="44"/>
      <c r="AH809" s="44"/>
      <c r="AI809" s="44"/>
      <c r="AJ809" s="44"/>
      <c r="AK809" s="44"/>
      <c r="AL809" s="44"/>
      <c r="AM809" s="44"/>
      <c r="AN809" s="44"/>
      <c r="AO809" s="44"/>
      <c r="AP809" s="44"/>
    </row>
    <row r="810" spans="1:42" hidden="1" x14ac:dyDescent="0.25">
      <c r="A810" s="134" t="s">
        <v>201</v>
      </c>
      <c r="B810" s="149"/>
      <c r="C810" s="204"/>
      <c r="D810" s="226"/>
      <c r="E810" s="251"/>
      <c r="F810" s="223"/>
      <c r="G810" s="226"/>
      <c r="H810" s="251"/>
      <c r="I810" s="223"/>
      <c r="J810" s="223"/>
      <c r="K810" s="226"/>
      <c r="L810" s="251"/>
      <c r="M810" s="223"/>
      <c r="N810" s="223"/>
      <c r="O810" s="226"/>
      <c r="P810" s="251"/>
      <c r="Q810" s="223"/>
      <c r="R810" s="223"/>
      <c r="S810" s="226"/>
      <c r="T810" s="251"/>
      <c r="U810" s="223"/>
      <c r="V810" s="44"/>
      <c r="W810" s="91"/>
      <c r="X810" s="91"/>
      <c r="Y810" s="91"/>
      <c r="Z810" s="44"/>
      <c r="AA810" s="44"/>
      <c r="AB810" s="44"/>
      <c r="AC810" s="44"/>
      <c r="AD810" s="44"/>
      <c r="AE810" s="44"/>
      <c r="AF810" s="44"/>
      <c r="AG810" s="44"/>
      <c r="AH810" s="44"/>
      <c r="AI810" s="44"/>
      <c r="AJ810" s="44"/>
      <c r="AK810" s="44"/>
      <c r="AL810" s="44"/>
      <c r="AM810" s="44"/>
      <c r="AN810" s="44"/>
      <c r="AO810" s="44"/>
      <c r="AP810" s="44"/>
    </row>
    <row r="811" spans="1:42" hidden="1" x14ac:dyDescent="0.25">
      <c r="A811" s="134" t="s">
        <v>197</v>
      </c>
      <c r="B811" s="149"/>
      <c r="C811" s="204">
        <v>0</v>
      </c>
      <c r="D811" s="250">
        <v>-26.02</v>
      </c>
      <c r="E811" s="251"/>
      <c r="F811" s="223">
        <f>ROUND(D811*C811*$D$745,0)</f>
        <v>0</v>
      </c>
      <c r="G811" s="250">
        <f>G792</f>
        <v>-26.63</v>
      </c>
      <c r="H811" s="251"/>
      <c r="I811" s="223">
        <f>ROUND(G811*$C811*$G$797,0)</f>
        <v>0</v>
      </c>
      <c r="J811" s="223"/>
      <c r="K811" s="250">
        <f>K792</f>
        <v>-26.02</v>
      </c>
      <c r="L811" s="251"/>
      <c r="M811" s="223">
        <f>ROUND(K811*$C811*$G$797,0)</f>
        <v>0</v>
      </c>
      <c r="N811" s="223"/>
      <c r="O811" s="250">
        <f>O792</f>
        <v>0</v>
      </c>
      <c r="P811" s="251"/>
      <c r="Q811" s="223">
        <f>ROUND(O811*$C811*$G$797,0)</f>
        <v>0</v>
      </c>
      <c r="R811" s="223"/>
      <c r="S811" s="250">
        <f>S792</f>
        <v>0</v>
      </c>
      <c r="T811" s="251"/>
      <c r="U811" s="223">
        <f>ROUND(S811*$C811*$G$797,0)</f>
        <v>0</v>
      </c>
      <c r="V811" s="44"/>
      <c r="W811" s="91"/>
      <c r="X811" s="91"/>
      <c r="Y811" s="91"/>
      <c r="Z811" s="44"/>
      <c r="AA811" s="44"/>
      <c r="AB811" s="44"/>
      <c r="AC811" s="44"/>
      <c r="AD811" s="44"/>
      <c r="AE811" s="44"/>
      <c r="AF811" s="44"/>
      <c r="AG811" s="44"/>
      <c r="AH811" s="44"/>
      <c r="AI811" s="44"/>
      <c r="AJ811" s="44"/>
      <c r="AK811" s="44"/>
      <c r="AL811" s="44"/>
      <c r="AM811" s="44"/>
      <c r="AN811" s="44"/>
      <c r="AO811" s="44"/>
      <c r="AP811" s="44"/>
    </row>
    <row r="812" spans="1:42" hidden="1" x14ac:dyDescent="0.25">
      <c r="A812" s="134" t="s">
        <v>202</v>
      </c>
      <c r="B812" s="149"/>
      <c r="C812" s="204">
        <v>0</v>
      </c>
      <c r="D812" s="250">
        <v>-26.02</v>
      </c>
      <c r="E812" s="251"/>
      <c r="F812" s="223">
        <f>ROUND(D812*C812*$D$745,0)</f>
        <v>0</v>
      </c>
      <c r="G812" s="250">
        <f>G793</f>
        <v>-26.63</v>
      </c>
      <c r="H812" s="251"/>
      <c r="I812" s="223">
        <f>ROUND(G812*$C812*$G$797,0)</f>
        <v>0</v>
      </c>
      <c r="J812" s="223"/>
      <c r="K812" s="250">
        <f>K793</f>
        <v>-26.02</v>
      </c>
      <c r="L812" s="251"/>
      <c r="M812" s="223">
        <f>ROUND(K812*$C812*$G$797,0)</f>
        <v>0</v>
      </c>
      <c r="N812" s="223"/>
      <c r="O812" s="250">
        <f>O793</f>
        <v>0</v>
      </c>
      <c r="P812" s="251"/>
      <c r="Q812" s="223">
        <f>ROUND(O812*$C812*$G$797,0)</f>
        <v>0</v>
      </c>
      <c r="R812" s="223"/>
      <c r="S812" s="250">
        <f>S793</f>
        <v>0</v>
      </c>
      <c r="T812" s="251"/>
      <c r="U812" s="223">
        <f>ROUND(S812*$C812*$G$797,0)</f>
        <v>0</v>
      </c>
      <c r="V812" s="44"/>
      <c r="W812" s="91"/>
      <c r="X812" s="91"/>
      <c r="Y812" s="91"/>
      <c r="Z812" s="44"/>
      <c r="AA812" s="44"/>
      <c r="AB812" s="44"/>
      <c r="AC812" s="44"/>
      <c r="AD812" s="44"/>
      <c r="AE812" s="44"/>
      <c r="AF812" s="44"/>
      <c r="AG812" s="44"/>
      <c r="AH812" s="44"/>
      <c r="AI812" s="44"/>
      <c r="AJ812" s="44"/>
      <c r="AK812" s="44"/>
      <c r="AL812" s="44"/>
      <c r="AM812" s="44"/>
      <c r="AN812" s="44"/>
      <c r="AO812" s="44"/>
      <c r="AP812" s="44"/>
    </row>
    <row r="813" spans="1:42" hidden="1" x14ac:dyDescent="0.25">
      <c r="A813" s="206" t="s">
        <v>164</v>
      </c>
      <c r="B813" s="149"/>
      <c r="C813" s="204"/>
      <c r="D813" s="246"/>
      <c r="E813" s="223"/>
      <c r="F813" s="223"/>
      <c r="G813" s="246"/>
      <c r="H813" s="223"/>
      <c r="I813" s="223"/>
      <c r="J813" s="223"/>
      <c r="K813" s="246"/>
      <c r="L813" s="223"/>
      <c r="M813" s="223"/>
      <c r="N813" s="223"/>
      <c r="O813" s="246"/>
      <c r="P813" s="223"/>
      <c r="Q813" s="223"/>
      <c r="R813" s="223"/>
      <c r="S813" s="246"/>
      <c r="T813" s="223"/>
      <c r="U813" s="223"/>
      <c r="V813" s="44"/>
      <c r="W813" s="91"/>
      <c r="X813" s="91"/>
      <c r="Y813" s="91"/>
      <c r="Z813" s="44"/>
      <c r="AA813" s="44"/>
      <c r="AB813" s="44"/>
      <c r="AC813" s="44"/>
      <c r="AD813" s="44"/>
      <c r="AE813" s="44"/>
      <c r="AF813" s="44"/>
      <c r="AG813" s="44"/>
      <c r="AH813" s="44"/>
      <c r="AI813" s="44"/>
      <c r="AJ813" s="44"/>
      <c r="AK813" s="44"/>
      <c r="AL813" s="44"/>
      <c r="AM813" s="44"/>
      <c r="AN813" s="44"/>
      <c r="AO813" s="44"/>
      <c r="AP813" s="44"/>
    </row>
    <row r="814" spans="1:42" hidden="1" x14ac:dyDescent="0.25">
      <c r="A814" s="134" t="s">
        <v>203</v>
      </c>
      <c r="B814" s="149"/>
      <c r="C814" s="204">
        <v>10034</v>
      </c>
      <c r="D814" s="301">
        <v>7.0350000000000001</v>
      </c>
      <c r="E814" s="223" t="s">
        <v>89</v>
      </c>
      <c r="F814" s="223">
        <f>ROUND(D814*C814/100*D797,0)</f>
        <v>-7</v>
      </c>
      <c r="G814" s="301">
        <f>G795</f>
        <v>7.2030000000000003</v>
      </c>
      <c r="H814" s="223" t="s">
        <v>89</v>
      </c>
      <c r="I814" s="223">
        <f>ROUND(G814/100*$C814*$G$797,0)</f>
        <v>-7</v>
      </c>
      <c r="J814" s="223"/>
      <c r="K814" s="301" t="e">
        <f>K795</f>
        <v>#REF!</v>
      </c>
      <c r="L814" s="223" t="s">
        <v>89</v>
      </c>
      <c r="M814" s="223" t="e">
        <f>ROUND(K814/100*$C814*$G$797,0)</f>
        <v>#REF!</v>
      </c>
      <c r="N814" s="223"/>
      <c r="O814" s="301" t="e">
        <f>O795</f>
        <v>#DIV/0!</v>
      </c>
      <c r="P814" s="223" t="s">
        <v>89</v>
      </c>
      <c r="Q814" s="223" t="e">
        <f>ROUND(O814/100*$C814*$G$797,0)</f>
        <v>#DIV/0!</v>
      </c>
      <c r="R814" s="223"/>
      <c r="S814" s="301" t="e">
        <f>S795</f>
        <v>#DIV/0!</v>
      </c>
      <c r="T814" s="223" t="s">
        <v>89</v>
      </c>
      <c r="U814" s="223" t="e">
        <f>ROUND(S814/100*$C814*$G$797,0)</f>
        <v>#DIV/0!</v>
      </c>
      <c r="V814" s="44"/>
      <c r="W814" s="91"/>
      <c r="X814" s="91"/>
      <c r="Y814" s="91"/>
      <c r="Z814" s="44"/>
      <c r="AA814" s="44"/>
      <c r="AB814" s="44"/>
      <c r="AC814" s="44"/>
      <c r="AD814" s="44"/>
      <c r="AE814" s="44"/>
      <c r="AF814" s="44"/>
      <c r="AG814" s="44"/>
      <c r="AH814" s="44"/>
      <c r="AI814" s="44"/>
      <c r="AJ814" s="44"/>
      <c r="AK814" s="44"/>
      <c r="AL814" s="44"/>
      <c r="AM814" s="44"/>
      <c r="AN814" s="44"/>
      <c r="AO814" s="44"/>
      <c r="AP814" s="44"/>
    </row>
    <row r="815" spans="1:42" hidden="1" x14ac:dyDescent="0.25">
      <c r="A815" s="206" t="s">
        <v>133</v>
      </c>
      <c r="B815" s="149"/>
      <c r="C815" s="204">
        <v>0</v>
      </c>
      <c r="D815" s="262">
        <v>57</v>
      </c>
      <c r="E815" s="206" t="s">
        <v>89</v>
      </c>
      <c r="F815" s="223">
        <f>ROUND(D815*C815,0)</f>
        <v>0</v>
      </c>
      <c r="G815" s="262">
        <f>G796</f>
        <v>58</v>
      </c>
      <c r="H815" s="206" t="s">
        <v>89</v>
      </c>
      <c r="I815" s="223">
        <f>ROUND(G815/100*$C815*$G$797,0)</f>
        <v>0</v>
      </c>
      <c r="J815" s="223"/>
      <c r="K815" s="262" t="str">
        <f>K796</f>
        <v xml:space="preserve"> </v>
      </c>
      <c r="L815" s="206" t="s">
        <v>89</v>
      </c>
      <c r="M815" s="223">
        <f>ROUND(K815/100*$C815*$G$797,0)</f>
        <v>0</v>
      </c>
      <c r="N815" s="223"/>
      <c r="O815" s="262" t="e">
        <f>O796</f>
        <v>#DIV/0!</v>
      </c>
      <c r="P815" s="206" t="s">
        <v>89</v>
      </c>
      <c r="Q815" s="223" t="e">
        <f>ROUND(O815/100*$C815*$G$797,0)</f>
        <v>#DIV/0!</v>
      </c>
      <c r="R815" s="223"/>
      <c r="S815" s="262" t="e">
        <f>S796</f>
        <v>#DIV/0!</v>
      </c>
      <c r="T815" s="206" t="s">
        <v>89</v>
      </c>
      <c r="U815" s="223" t="e">
        <f>ROUND(S815/100*$C815*$G$797,0)</f>
        <v>#DIV/0!</v>
      </c>
      <c r="V815" s="44"/>
      <c r="W815" s="91"/>
      <c r="X815" s="91"/>
      <c r="Y815" s="91"/>
      <c r="Z815" s="44"/>
      <c r="AA815" s="44"/>
      <c r="AB815" s="44"/>
      <c r="AC815" s="44"/>
      <c r="AD815" s="44"/>
      <c r="AE815" s="44"/>
      <c r="AF815" s="44"/>
      <c r="AG815" s="44"/>
      <c r="AH815" s="44"/>
      <c r="AI815" s="44"/>
      <c r="AJ815" s="44"/>
      <c r="AK815" s="44"/>
      <c r="AL815" s="44"/>
      <c r="AM815" s="44"/>
      <c r="AN815" s="44"/>
      <c r="AO815" s="44"/>
      <c r="AP815" s="44"/>
    </row>
    <row r="816" spans="1:42" hidden="1" x14ac:dyDescent="0.25">
      <c r="A816" s="206" t="s">
        <v>182</v>
      </c>
      <c r="B816" s="149"/>
      <c r="C816" s="204">
        <v>12</v>
      </c>
      <c r="D816" s="173">
        <v>60</v>
      </c>
      <c r="E816" s="149"/>
      <c r="F816" s="223">
        <f>ROUND(D816*$C816,0)</f>
        <v>720</v>
      </c>
      <c r="G816" s="173">
        <f>$G$764</f>
        <v>60</v>
      </c>
      <c r="H816" s="149"/>
      <c r="I816" s="223">
        <f>ROUND(G816*$C816,0)</f>
        <v>720</v>
      </c>
      <c r="J816" s="223"/>
      <c r="K816" s="173" t="str">
        <f>$K$764</f>
        <v xml:space="preserve"> </v>
      </c>
      <c r="L816" s="149"/>
      <c r="M816" s="223">
        <f>ROUND(K816*$C816,0)</f>
        <v>0</v>
      </c>
      <c r="N816" s="223"/>
      <c r="O816" s="173" t="e">
        <f>$O$764</f>
        <v>#DIV/0!</v>
      </c>
      <c r="P816" s="149"/>
      <c r="Q816" s="223" t="e">
        <f>ROUND(O816*$C816,0)</f>
        <v>#DIV/0!</v>
      </c>
      <c r="R816" s="223"/>
      <c r="S816" s="173" t="e">
        <f>$S$764</f>
        <v>#DIV/0!</v>
      </c>
      <c r="T816" s="149"/>
      <c r="U816" s="223" t="e">
        <f>ROUND(S816*$C816,0)</f>
        <v>#DIV/0!</v>
      </c>
      <c r="V816" s="44"/>
      <c r="W816" s="91"/>
      <c r="X816" s="91"/>
      <c r="Y816" s="91"/>
      <c r="Z816" s="44"/>
      <c r="AA816" s="44"/>
      <c r="AB816" s="44"/>
      <c r="AC816" s="44"/>
      <c r="AD816" s="44"/>
      <c r="AE816" s="44"/>
      <c r="AF816" s="44"/>
      <c r="AG816" s="44"/>
      <c r="AH816" s="44"/>
      <c r="AI816" s="44"/>
      <c r="AJ816" s="44"/>
      <c r="AK816" s="44"/>
      <c r="AL816" s="44"/>
      <c r="AM816" s="44"/>
      <c r="AN816" s="44"/>
      <c r="AO816" s="44"/>
      <c r="AP816" s="44"/>
    </row>
    <row r="817" spans="1:42" hidden="1" x14ac:dyDescent="0.25">
      <c r="A817" s="206" t="s">
        <v>183</v>
      </c>
      <c r="B817" s="149"/>
      <c r="C817" s="204">
        <v>456.00326456013363</v>
      </c>
      <c r="D817" s="227">
        <v>-30</v>
      </c>
      <c r="E817" s="223" t="s">
        <v>89</v>
      </c>
      <c r="F817" s="223">
        <f>ROUND(D817*$C817/100,0)</f>
        <v>-137</v>
      </c>
      <c r="G817" s="227">
        <f>$G$765</f>
        <v>-30</v>
      </c>
      <c r="H817" s="223" t="s">
        <v>89</v>
      </c>
      <c r="I817" s="223">
        <f>ROUND(G817*$C817/100,0)</f>
        <v>-137</v>
      </c>
      <c r="J817" s="223"/>
      <c r="K817" s="227">
        <f>$K$765</f>
        <v>-30</v>
      </c>
      <c r="L817" s="223" t="s">
        <v>89</v>
      </c>
      <c r="M817" s="223">
        <f>ROUND(K817*$C817/100,0)</f>
        <v>-137</v>
      </c>
      <c r="N817" s="223"/>
      <c r="O817" s="227">
        <f>$O$765</f>
        <v>0</v>
      </c>
      <c r="P817" s="223" t="s">
        <v>89</v>
      </c>
      <c r="Q817" s="223">
        <f>ROUND(O817*$C817/100,0)</f>
        <v>0</v>
      </c>
      <c r="R817" s="223"/>
      <c r="S817" s="227">
        <f>$S$765</f>
        <v>0</v>
      </c>
      <c r="T817" s="223" t="s">
        <v>89</v>
      </c>
      <c r="U817" s="223">
        <f>ROUND(S817*$C817/100,0)</f>
        <v>0</v>
      </c>
      <c r="V817" s="44"/>
      <c r="W817" s="91"/>
      <c r="X817" s="91"/>
      <c r="Y817" s="91"/>
      <c r="Z817" s="44"/>
      <c r="AA817" s="44"/>
      <c r="AB817" s="44"/>
      <c r="AC817" s="44"/>
      <c r="AD817" s="44"/>
      <c r="AE817" s="44"/>
      <c r="AF817" s="44"/>
      <c r="AG817" s="44"/>
      <c r="AH817" s="44"/>
      <c r="AI817" s="44"/>
      <c r="AJ817" s="44"/>
      <c r="AK817" s="44"/>
      <c r="AL817" s="44"/>
      <c r="AM817" s="44"/>
      <c r="AN817" s="44"/>
      <c r="AO817" s="44"/>
      <c r="AP817" s="44"/>
    </row>
    <row r="818" spans="1:42" hidden="1" x14ac:dyDescent="0.25">
      <c r="A818" s="149" t="s">
        <v>114</v>
      </c>
      <c r="B818" s="149"/>
      <c r="C818" s="204">
        <f>SUM(C795:C795)</f>
        <v>110142584.89494899</v>
      </c>
      <c r="D818" s="212"/>
      <c r="E818" s="206"/>
      <c r="F818" s="111">
        <f>SUM(F775:F817)</f>
        <v>9699230</v>
      </c>
      <c r="G818" s="212"/>
      <c r="H818" s="206"/>
      <c r="I818" s="111">
        <f>SUM(I775:I817)</f>
        <v>9929958</v>
      </c>
      <c r="J818" s="111"/>
      <c r="K818" s="212"/>
      <c r="L818" s="206"/>
      <c r="M818" s="111" t="e">
        <f>SUM(M775:M817)</f>
        <v>#REF!</v>
      </c>
      <c r="N818" s="111"/>
      <c r="O818" s="212"/>
      <c r="P818" s="206"/>
      <c r="Q818" s="111" t="e">
        <f>SUM(Q775:Q817)</f>
        <v>#DIV/0!</v>
      </c>
      <c r="R818" s="111"/>
      <c r="S818" s="212"/>
      <c r="T818" s="206"/>
      <c r="U818" s="111" t="e">
        <f>SUM(U775:U817)</f>
        <v>#DIV/0!</v>
      </c>
      <c r="V818" s="44"/>
      <c r="W818" s="91"/>
      <c r="X818" s="91"/>
      <c r="Y818" s="91"/>
      <c r="Z818" s="44"/>
      <c r="AA818" s="44"/>
      <c r="AB818" s="44"/>
      <c r="AC818" s="44"/>
      <c r="AD818" s="44"/>
      <c r="AE818" s="44"/>
      <c r="AF818" s="44"/>
      <c r="AG818" s="44"/>
      <c r="AH818" s="44"/>
      <c r="AI818" s="44"/>
      <c r="AJ818" s="44"/>
      <c r="AK818" s="44"/>
      <c r="AL818" s="44"/>
      <c r="AM818" s="44"/>
      <c r="AN818" s="44"/>
      <c r="AO818" s="44"/>
      <c r="AP818" s="44"/>
    </row>
    <row r="819" spans="1:42" hidden="1" x14ac:dyDescent="0.25">
      <c r="A819" s="149" t="s">
        <v>92</v>
      </c>
      <c r="B819" s="149"/>
      <c r="C819" s="248">
        <v>1885731.2072950637</v>
      </c>
      <c r="D819" s="134"/>
      <c r="E819" s="134"/>
      <c r="F819" s="132">
        <v>142267.21150160185</v>
      </c>
      <c r="G819" s="134"/>
      <c r="H819" s="134"/>
      <c r="I819" s="132">
        <f>F819</f>
        <v>142267.21150160185</v>
      </c>
      <c r="J819" s="133"/>
      <c r="K819" s="134"/>
      <c r="L819" s="134"/>
      <c r="M819" s="132" t="e">
        <f>M768/I768*I819</f>
        <v>#DIV/0!</v>
      </c>
      <c r="N819" s="133"/>
      <c r="O819" s="134"/>
      <c r="P819" s="134"/>
      <c r="Q819" s="132" t="e">
        <f>Q768/I768*I819</f>
        <v>#DIV/0!</v>
      </c>
      <c r="R819" s="133"/>
      <c r="S819" s="134"/>
      <c r="T819" s="134"/>
      <c r="U819" s="132" t="e">
        <f>U768/I768*I819</f>
        <v>#DIV/0!</v>
      </c>
      <c r="V819" s="165"/>
      <c r="W819" s="163"/>
      <c r="X819" s="91"/>
      <c r="Y819" s="91"/>
      <c r="Z819" s="44"/>
      <c r="AA819" s="44"/>
      <c r="AB819" s="44"/>
      <c r="AC819" s="44"/>
      <c r="AD819" s="44"/>
      <c r="AE819" s="44"/>
      <c r="AF819" s="44"/>
      <c r="AG819" s="44"/>
      <c r="AH819" s="44"/>
      <c r="AI819" s="44"/>
      <c r="AJ819" s="44"/>
      <c r="AK819" s="44"/>
      <c r="AL819" s="44"/>
      <c r="AM819" s="44"/>
      <c r="AN819" s="44"/>
      <c r="AO819" s="44"/>
      <c r="AP819" s="44"/>
    </row>
    <row r="820" spans="1:42" ht="16.5" hidden="1" thickBot="1" x14ac:dyDescent="0.3">
      <c r="A820" s="149" t="s">
        <v>115</v>
      </c>
      <c r="B820" s="149"/>
      <c r="C820" s="265">
        <f>SUM(C818:C819)</f>
        <v>112028316.10224405</v>
      </c>
      <c r="D820" s="245"/>
      <c r="E820" s="232"/>
      <c r="F820" s="233">
        <f>F818+F819</f>
        <v>9841497.2115016021</v>
      </c>
      <c r="G820" s="245"/>
      <c r="H820" s="232"/>
      <c r="I820" s="233">
        <f>I818+I819</f>
        <v>10072225.211501602</v>
      </c>
      <c r="J820" s="207"/>
      <c r="K820" s="245"/>
      <c r="L820" s="232"/>
      <c r="M820" s="233" t="e">
        <f>M818+M819</f>
        <v>#REF!</v>
      </c>
      <c r="N820" s="233"/>
      <c r="O820" s="245"/>
      <c r="P820" s="232"/>
      <c r="Q820" s="233" t="e">
        <f>Q818+Q819</f>
        <v>#DIV/0!</v>
      </c>
      <c r="R820" s="233"/>
      <c r="S820" s="245"/>
      <c r="T820" s="232"/>
      <c r="U820" s="233" t="e">
        <f>U818+U819</f>
        <v>#DIV/0!</v>
      </c>
      <c r="V820" s="166"/>
      <c r="W820" s="167"/>
      <c r="X820" s="91"/>
      <c r="Y820" s="91"/>
      <c r="Z820" s="44"/>
      <c r="AA820" s="44"/>
      <c r="AB820" s="44"/>
      <c r="AC820" s="44"/>
      <c r="AD820" s="44"/>
      <c r="AE820" s="44"/>
      <c r="AF820" s="44"/>
      <c r="AG820" s="44"/>
      <c r="AH820" s="44"/>
      <c r="AI820" s="44"/>
      <c r="AJ820" s="44"/>
      <c r="AK820" s="44"/>
      <c r="AL820" s="44"/>
      <c r="AM820" s="44"/>
      <c r="AN820" s="44"/>
      <c r="AO820" s="44"/>
      <c r="AP820" s="44"/>
    </row>
    <row r="821" spans="1:42" hidden="1" x14ac:dyDescent="0.25">
      <c r="A821" s="149"/>
      <c r="B821" s="149"/>
      <c r="C821" s="280"/>
      <c r="D821" s="249" t="s">
        <v>0</v>
      </c>
      <c r="E821" s="238"/>
      <c r="F821" s="207"/>
      <c r="G821" s="304" t="s">
        <v>0</v>
      </c>
      <c r="H821" s="238"/>
      <c r="I821" s="131" t="s">
        <v>0</v>
      </c>
      <c r="J821" s="131"/>
      <c r="K821" s="304" t="s">
        <v>0</v>
      </c>
      <c r="L821" s="238"/>
      <c r="M821" s="131" t="s">
        <v>0</v>
      </c>
      <c r="N821" s="131"/>
      <c r="O821" s="304" t="s">
        <v>0</v>
      </c>
      <c r="P821" s="238"/>
      <c r="Q821" s="131" t="s">
        <v>0</v>
      </c>
      <c r="R821" s="131"/>
      <c r="S821" s="304" t="s">
        <v>0</v>
      </c>
      <c r="T821" s="238"/>
      <c r="U821" s="131" t="s">
        <v>0</v>
      </c>
      <c r="V821" s="44"/>
      <c r="W821" s="91"/>
      <c r="X821" s="91"/>
      <c r="Y821" s="91"/>
      <c r="Z821" s="44"/>
      <c r="AA821" s="44"/>
      <c r="AB821" s="44"/>
      <c r="AC821" s="44"/>
      <c r="AD821" s="44"/>
      <c r="AE821" s="44"/>
      <c r="AF821" s="44"/>
      <c r="AG821" s="44"/>
      <c r="AH821" s="44"/>
      <c r="AI821" s="44"/>
      <c r="AJ821" s="44"/>
      <c r="AK821" s="44"/>
      <c r="AL821" s="44"/>
      <c r="AM821" s="44"/>
      <c r="AN821" s="44"/>
      <c r="AO821" s="44"/>
      <c r="AP821" s="44"/>
    </row>
    <row r="822" spans="1:42" hidden="1" x14ac:dyDescent="0.25">
      <c r="A822" s="168" t="s">
        <v>209</v>
      </c>
      <c r="B822" s="149"/>
      <c r="C822" s="169"/>
      <c r="D822" s="226"/>
      <c r="E822" s="149"/>
      <c r="F822" s="111"/>
      <c r="G822" s="226"/>
      <c r="H822" s="149"/>
      <c r="I822" s="111"/>
      <c r="J822" s="111"/>
      <c r="K822" s="226"/>
      <c r="L822" s="149"/>
      <c r="M822" s="111"/>
      <c r="N822" s="111"/>
      <c r="O822" s="226"/>
      <c r="P822" s="149"/>
      <c r="Q822" s="111"/>
      <c r="R822" s="111"/>
      <c r="S822" s="226"/>
      <c r="T822" s="149"/>
      <c r="U822" s="111"/>
      <c r="V822" s="44"/>
      <c r="W822" s="91"/>
      <c r="X822" s="91"/>
      <c r="Y822" s="91"/>
      <c r="Z822" s="44"/>
      <c r="AA822" s="44"/>
      <c r="AB822" s="44"/>
      <c r="AC822" s="44"/>
      <c r="AD822" s="44"/>
      <c r="AE822" s="44"/>
      <c r="AF822" s="44"/>
      <c r="AG822" s="44"/>
      <c r="AH822" s="44"/>
      <c r="AI822" s="44"/>
      <c r="AJ822" s="44"/>
      <c r="AK822" s="44"/>
      <c r="AL822" s="44"/>
      <c r="AM822" s="44"/>
      <c r="AN822" s="44"/>
      <c r="AO822" s="44"/>
      <c r="AP822" s="44"/>
    </row>
    <row r="823" spans="1:42" hidden="1" x14ac:dyDescent="0.25">
      <c r="A823" s="134" t="s">
        <v>210</v>
      </c>
      <c r="B823" s="149"/>
      <c r="C823" s="169"/>
      <c r="D823" s="226"/>
      <c r="E823" s="149"/>
      <c r="F823" s="111"/>
      <c r="G823" s="226"/>
      <c r="H823" s="149"/>
      <c r="I823" s="111"/>
      <c r="J823" s="111"/>
      <c r="K823" s="226"/>
      <c r="L823" s="149"/>
      <c r="M823" s="111"/>
      <c r="N823" s="111"/>
      <c r="O823" s="226"/>
      <c r="P823" s="149"/>
      <c r="Q823" s="111"/>
      <c r="R823" s="111"/>
      <c r="S823" s="226"/>
      <c r="T823" s="149"/>
      <c r="U823" s="111"/>
      <c r="V823" s="44"/>
      <c r="W823" s="91"/>
      <c r="X823" s="91"/>
      <c r="Y823" s="91"/>
      <c r="Z823" s="44"/>
      <c r="AA823" s="44"/>
      <c r="AB823" s="44"/>
      <c r="AC823" s="44"/>
      <c r="AD823" s="44"/>
      <c r="AE823" s="44"/>
      <c r="AF823" s="44"/>
      <c r="AG823" s="44"/>
      <c r="AH823" s="44"/>
      <c r="AI823" s="44"/>
      <c r="AJ823" s="44"/>
      <c r="AK823" s="44"/>
      <c r="AL823" s="44"/>
      <c r="AM823" s="44"/>
      <c r="AN823" s="44"/>
      <c r="AO823" s="44"/>
      <c r="AP823" s="44"/>
    </row>
    <row r="824" spans="1:42" hidden="1" x14ac:dyDescent="0.25">
      <c r="A824" s="206"/>
      <c r="B824" s="149"/>
      <c r="C824" s="169"/>
      <c r="D824" s="226"/>
      <c r="E824" s="149"/>
      <c r="F824" s="246"/>
      <c r="G824" s="226"/>
      <c r="H824" s="149"/>
      <c r="I824" s="291"/>
      <c r="J824" s="291"/>
      <c r="K824" s="226"/>
      <c r="L824" s="149"/>
      <c r="M824" s="291"/>
      <c r="N824" s="291"/>
      <c r="O824" s="226"/>
      <c r="P824" s="149"/>
      <c r="Q824" s="291"/>
      <c r="R824" s="291"/>
      <c r="S824" s="226"/>
      <c r="T824" s="149"/>
      <c r="U824" s="291"/>
      <c r="V824" s="44"/>
      <c r="W824" s="91"/>
      <c r="X824" s="91"/>
      <c r="Y824" s="91"/>
      <c r="Z824" s="44"/>
      <c r="AA824" s="44"/>
      <c r="AB824" s="44"/>
      <c r="AC824" s="44"/>
      <c r="AD824" s="44"/>
      <c r="AE824" s="44"/>
      <c r="AF824" s="44"/>
      <c r="AG824" s="44"/>
      <c r="AH824" s="44"/>
      <c r="AI824" s="44"/>
      <c r="AJ824" s="44"/>
      <c r="AK824" s="44"/>
      <c r="AL824" s="44"/>
      <c r="AM824" s="44"/>
      <c r="AN824" s="44"/>
      <c r="AO824" s="44"/>
      <c r="AP824" s="44"/>
    </row>
    <row r="825" spans="1:42" hidden="1" x14ac:dyDescent="0.25">
      <c r="A825" s="134" t="s">
        <v>188</v>
      </c>
      <c r="B825" s="149"/>
      <c r="C825" s="204"/>
      <c r="D825" s="111" t="s">
        <v>0</v>
      </c>
      <c r="E825" s="149"/>
      <c r="F825" s="149"/>
      <c r="G825" s="111" t="s">
        <v>0</v>
      </c>
      <c r="H825" s="149"/>
      <c r="I825" s="149"/>
      <c r="J825" s="149"/>
      <c r="K825" s="111" t="s">
        <v>0</v>
      </c>
      <c r="L825" s="149"/>
      <c r="M825" s="149"/>
      <c r="N825" s="149"/>
      <c r="O825" s="111" t="s">
        <v>0</v>
      </c>
      <c r="P825" s="149"/>
      <c r="Q825" s="149"/>
      <c r="R825" s="149"/>
      <c r="S825" s="111" t="s">
        <v>0</v>
      </c>
      <c r="T825" s="149"/>
      <c r="U825" s="149"/>
      <c r="V825" s="44"/>
      <c r="W825" s="91"/>
      <c r="X825" s="91"/>
      <c r="Y825" s="91"/>
      <c r="Z825" s="44"/>
      <c r="AA825" s="44"/>
      <c r="AB825" s="44"/>
      <c r="AC825" s="44"/>
      <c r="AD825" s="44"/>
      <c r="AE825" s="44"/>
      <c r="AF825" s="44"/>
      <c r="AG825" s="44"/>
      <c r="AH825" s="44"/>
      <c r="AI825" s="44"/>
      <c r="AJ825" s="44"/>
      <c r="AK825" s="44"/>
      <c r="AL825" s="44"/>
      <c r="AM825" s="44"/>
      <c r="AN825" s="44"/>
      <c r="AO825" s="44"/>
      <c r="AP825" s="44"/>
    </row>
    <row r="826" spans="1:42" hidden="1" x14ac:dyDescent="0.25">
      <c r="A826" s="134" t="s">
        <v>189</v>
      </c>
      <c r="B826" s="149"/>
      <c r="C826" s="204">
        <v>434.48258292673</v>
      </c>
      <c r="D826" s="226">
        <v>0</v>
      </c>
      <c r="E826" s="251"/>
      <c r="F826" s="223">
        <f>ROUND(D826*C826,0)</f>
        <v>0</v>
      </c>
      <c r="G826" s="226">
        <f>$G$721</f>
        <v>0</v>
      </c>
      <c r="H826" s="251"/>
      <c r="I826" s="223">
        <f>ROUND(G826*$C826,0)</f>
        <v>0</v>
      </c>
      <c r="J826" s="223"/>
      <c r="K826" s="226">
        <f>$K$721</f>
        <v>0</v>
      </c>
      <c r="L826" s="251"/>
      <c r="M826" s="223">
        <f>ROUND(K826*$C826,0)</f>
        <v>0</v>
      </c>
      <c r="N826" s="223"/>
      <c r="O826" s="226" t="str">
        <f>$O$721</f>
        <v xml:space="preserve"> </v>
      </c>
      <c r="P826" s="251"/>
      <c r="Q826" s="223">
        <f>ROUND(O826*$C826,0)</f>
        <v>0</v>
      </c>
      <c r="R826" s="223"/>
      <c r="S826" s="226" t="str">
        <f>$S$721</f>
        <v xml:space="preserve"> </v>
      </c>
      <c r="T826" s="251"/>
      <c r="U826" s="223">
        <f>ROUND(S826*$C826,0)</f>
        <v>0</v>
      </c>
      <c r="V826" s="44"/>
      <c r="W826" s="91"/>
      <c r="X826" s="91"/>
      <c r="Y826" s="91"/>
      <c r="Z826" s="44"/>
      <c r="AA826" s="44"/>
      <c r="AB826" s="44"/>
      <c r="AC826" s="44"/>
      <c r="AD826" s="44"/>
      <c r="AE826" s="44"/>
      <c r="AF826" s="44"/>
      <c r="AG826" s="44"/>
      <c r="AH826" s="44"/>
      <c r="AI826" s="44"/>
      <c r="AJ826" s="44"/>
      <c r="AK826" s="44"/>
      <c r="AL826" s="44"/>
      <c r="AM826" s="44"/>
      <c r="AN826" s="44"/>
      <c r="AO826" s="44"/>
      <c r="AP826" s="44"/>
    </row>
    <row r="827" spans="1:42" hidden="1" x14ac:dyDescent="0.25">
      <c r="A827" s="134" t="s">
        <v>190</v>
      </c>
      <c r="B827" s="149"/>
      <c r="C827" s="204">
        <v>0</v>
      </c>
      <c r="D827" s="226"/>
      <c r="E827" s="251"/>
      <c r="F827" s="223"/>
      <c r="G827" s="226"/>
      <c r="H827" s="251"/>
      <c r="I827" s="223"/>
      <c r="J827" s="223"/>
      <c r="K827" s="226"/>
      <c r="L827" s="251"/>
      <c r="M827" s="223"/>
      <c r="N827" s="223"/>
      <c r="O827" s="226"/>
      <c r="P827" s="251"/>
      <c r="Q827" s="223"/>
      <c r="R827" s="223"/>
      <c r="S827" s="226"/>
      <c r="T827" s="251"/>
      <c r="U827" s="223"/>
      <c r="V827" s="44"/>
      <c r="W827" s="91"/>
      <c r="X827" s="91"/>
      <c r="Y827" s="91"/>
      <c r="Z827" s="44"/>
      <c r="AA827" s="44"/>
      <c r="AB827" s="44"/>
      <c r="AC827" s="44"/>
      <c r="AD827" s="44"/>
      <c r="AE827" s="44"/>
      <c r="AF827" s="44"/>
      <c r="AG827" s="44"/>
      <c r="AH827" s="44"/>
      <c r="AI827" s="44"/>
      <c r="AJ827" s="44"/>
      <c r="AK827" s="44"/>
      <c r="AL827" s="44"/>
      <c r="AM827" s="44"/>
      <c r="AN827" s="44"/>
      <c r="AO827" s="44"/>
      <c r="AP827" s="44"/>
    </row>
    <row r="828" spans="1:42" hidden="1" x14ac:dyDescent="0.25">
      <c r="A828" s="134" t="s">
        <v>191</v>
      </c>
      <c r="B828" s="149"/>
      <c r="C828" s="204">
        <v>1120.6084940984899</v>
      </c>
      <c r="D828" s="226">
        <v>0</v>
      </c>
      <c r="E828" s="251"/>
      <c r="F828" s="223">
        <f>ROUND(D828*C828,0)</f>
        <v>0</v>
      </c>
      <c r="G828" s="226">
        <f>$G$723</f>
        <v>0</v>
      </c>
      <c r="H828" s="251"/>
      <c r="I828" s="223">
        <f>ROUND(G828*$C828,0)</f>
        <v>0</v>
      </c>
      <c r="J828" s="223"/>
      <c r="K828" s="226">
        <f>$K$723</f>
        <v>0</v>
      </c>
      <c r="L828" s="251"/>
      <c r="M828" s="223">
        <f>ROUND(K828*$C828,0)</f>
        <v>0</v>
      </c>
      <c r="N828" s="223"/>
      <c r="O828" s="226" t="str">
        <f>$O$723</f>
        <v xml:space="preserve"> </v>
      </c>
      <c r="P828" s="251"/>
      <c r="Q828" s="223">
        <f>ROUND(O828*$C828,0)</f>
        <v>0</v>
      </c>
      <c r="R828" s="223"/>
      <c r="S828" s="226" t="str">
        <f>$S$723</f>
        <v xml:space="preserve"> </v>
      </c>
      <c r="T828" s="251"/>
      <c r="U828" s="223">
        <f>ROUND(S828*$C828,0)</f>
        <v>0</v>
      </c>
      <c r="V828" s="44"/>
      <c r="W828" s="91"/>
      <c r="X828" s="91"/>
      <c r="Y828" s="91"/>
      <c r="Z828" s="44"/>
      <c r="AA828" s="44"/>
      <c r="AB828" s="44"/>
      <c r="AC828" s="44"/>
      <c r="AD828" s="44"/>
      <c r="AE828" s="44"/>
      <c r="AF828" s="44"/>
      <c r="AG828" s="44"/>
      <c r="AH828" s="44"/>
      <c r="AI828" s="44"/>
      <c r="AJ828" s="44"/>
      <c r="AK828" s="44"/>
      <c r="AL828" s="44"/>
      <c r="AM828" s="44"/>
      <c r="AN828" s="44"/>
      <c r="AO828" s="44"/>
      <c r="AP828" s="44"/>
    </row>
    <row r="829" spans="1:42" hidden="1" x14ac:dyDescent="0.25">
      <c r="A829" s="134" t="s">
        <v>192</v>
      </c>
      <c r="B829" s="149"/>
      <c r="C829" s="204">
        <v>116.7917084633</v>
      </c>
      <c r="D829" s="226">
        <v>370</v>
      </c>
      <c r="E829" s="251"/>
      <c r="F829" s="223">
        <f>ROUND(D829*C829,0)</f>
        <v>43213</v>
      </c>
      <c r="G829" s="226">
        <f>$G$724</f>
        <v>379</v>
      </c>
      <c r="H829" s="251"/>
      <c r="I829" s="223">
        <f>ROUND(G829*$C829,0)</f>
        <v>44264</v>
      </c>
      <c r="J829" s="223"/>
      <c r="K829" s="226">
        <f>$K$724</f>
        <v>370</v>
      </c>
      <c r="L829" s="251"/>
      <c r="M829" s="223">
        <f>ROUND(K829*$C829,0)</f>
        <v>43213</v>
      </c>
      <c r="N829" s="223"/>
      <c r="O829" s="226" t="str">
        <f>$O$724</f>
        <v xml:space="preserve"> </v>
      </c>
      <c r="P829" s="251"/>
      <c r="Q829" s="223">
        <f>ROUND(O829*$C829,0)</f>
        <v>0</v>
      </c>
      <c r="R829" s="223"/>
      <c r="S829" s="226" t="str">
        <f>$S$724</f>
        <v xml:space="preserve"> </v>
      </c>
      <c r="T829" s="251"/>
      <c r="U829" s="223">
        <f>ROUND(S829*$C829,0)</f>
        <v>0</v>
      </c>
      <c r="V829" s="44"/>
      <c r="W829" s="91"/>
      <c r="X829" s="91"/>
      <c r="Y829" s="91"/>
      <c r="Z829" s="44"/>
      <c r="AA829" s="44"/>
      <c r="AB829" s="44"/>
      <c r="AC829" s="44"/>
      <c r="AD829" s="44"/>
      <c r="AE829" s="44"/>
      <c r="AF829" s="44"/>
      <c r="AG829" s="44"/>
      <c r="AH829" s="44"/>
      <c r="AI829" s="44"/>
      <c r="AJ829" s="44"/>
      <c r="AK829" s="44"/>
      <c r="AL829" s="44"/>
      <c r="AM829" s="44"/>
      <c r="AN829" s="44"/>
      <c r="AO829" s="44"/>
      <c r="AP829" s="44"/>
    </row>
    <row r="830" spans="1:42" hidden="1" x14ac:dyDescent="0.25">
      <c r="A830" s="134" t="s">
        <v>193</v>
      </c>
      <c r="B830" s="149"/>
      <c r="C830" s="204">
        <v>2.3342464038064201</v>
      </c>
      <c r="D830" s="226">
        <v>1504</v>
      </c>
      <c r="E830" s="251"/>
      <c r="F830" s="223">
        <f>ROUND(D830*C830,0)</f>
        <v>3511</v>
      </c>
      <c r="G830" s="226">
        <f>$G$725</f>
        <v>1539</v>
      </c>
      <c r="H830" s="251"/>
      <c r="I830" s="223">
        <f>ROUND(G830*$C830,0)</f>
        <v>3592</v>
      </c>
      <c r="J830" s="223"/>
      <c r="K830" s="226">
        <f>$K$725</f>
        <v>1504</v>
      </c>
      <c r="L830" s="251"/>
      <c r="M830" s="223">
        <f>ROUND(K830*$C830,0)</f>
        <v>3511</v>
      </c>
      <c r="N830" s="223"/>
      <c r="O830" s="226" t="str">
        <f>$O$725</f>
        <v xml:space="preserve"> </v>
      </c>
      <c r="P830" s="251"/>
      <c r="Q830" s="223">
        <f>ROUND(O830*$C830,0)</f>
        <v>0</v>
      </c>
      <c r="R830" s="223"/>
      <c r="S830" s="226" t="str">
        <f>$S$725</f>
        <v xml:space="preserve"> </v>
      </c>
      <c r="T830" s="251"/>
      <c r="U830" s="223">
        <f>ROUND(S830*$C830,0)</f>
        <v>0</v>
      </c>
      <c r="V830" s="44"/>
      <c r="W830" s="91"/>
      <c r="X830" s="91"/>
      <c r="Y830" s="91"/>
      <c r="Z830" s="44"/>
      <c r="AA830" s="44"/>
      <c r="AB830" s="44"/>
      <c r="AC830" s="44"/>
      <c r="AD830" s="44"/>
      <c r="AE830" s="44"/>
      <c r="AF830" s="44"/>
      <c r="AG830" s="44"/>
      <c r="AH830" s="44"/>
      <c r="AI830" s="44"/>
      <c r="AJ830" s="44"/>
      <c r="AK830" s="44"/>
      <c r="AL830" s="44"/>
      <c r="AM830" s="44"/>
      <c r="AN830" s="44"/>
      <c r="AO830" s="44"/>
      <c r="AP830" s="44"/>
    </row>
    <row r="831" spans="1:42" hidden="1" x14ac:dyDescent="0.25">
      <c r="A831" s="134" t="s">
        <v>90</v>
      </c>
      <c r="B831" s="149"/>
      <c r="C831" s="204">
        <f>SUM(C826:C830)</f>
        <v>1674.2170318923263</v>
      </c>
      <c r="D831" s="226"/>
      <c r="E831" s="251"/>
      <c r="F831" s="223"/>
      <c r="G831" s="226"/>
      <c r="H831" s="251"/>
      <c r="I831" s="223"/>
      <c r="J831" s="223"/>
      <c r="K831" s="226"/>
      <c r="L831" s="251"/>
      <c r="M831" s="223"/>
      <c r="N831" s="223"/>
      <c r="O831" s="226"/>
      <c r="P831" s="251"/>
      <c r="Q831" s="223"/>
      <c r="R831" s="223"/>
      <c r="S831" s="226"/>
      <c r="T831" s="251"/>
      <c r="U831" s="223"/>
      <c r="V831" s="44"/>
      <c r="W831" s="91"/>
      <c r="X831" s="91"/>
      <c r="Y831" s="91"/>
      <c r="Z831" s="44"/>
      <c r="AA831" s="44"/>
      <c r="AB831" s="44"/>
      <c r="AC831" s="44"/>
      <c r="AD831" s="44"/>
      <c r="AE831" s="44"/>
      <c r="AF831" s="44"/>
      <c r="AG831" s="44"/>
      <c r="AH831" s="44"/>
      <c r="AI831" s="44"/>
      <c r="AJ831" s="44"/>
      <c r="AK831" s="44"/>
      <c r="AL831" s="44"/>
      <c r="AM831" s="44"/>
      <c r="AN831" s="44"/>
      <c r="AO831" s="44"/>
      <c r="AP831" s="44"/>
    </row>
    <row r="832" spans="1:42" hidden="1" x14ac:dyDescent="0.25">
      <c r="A832" s="134" t="s">
        <v>194</v>
      </c>
      <c r="B832" s="149"/>
      <c r="C832" s="204">
        <v>12986.161111111121</v>
      </c>
      <c r="D832" s="226"/>
      <c r="E832" s="223"/>
      <c r="F832" s="223"/>
      <c r="G832" s="226"/>
      <c r="H832" s="223"/>
      <c r="I832" s="223"/>
      <c r="J832" s="223"/>
      <c r="K832" s="226"/>
      <c r="L832" s="223"/>
      <c r="M832" s="223"/>
      <c r="N832" s="223"/>
      <c r="O832" s="226"/>
      <c r="P832" s="223"/>
      <c r="Q832" s="223"/>
      <c r="R832" s="223"/>
      <c r="S832" s="226"/>
      <c r="T832" s="223"/>
      <c r="U832" s="223"/>
      <c r="V832" s="44"/>
      <c r="W832" s="91"/>
      <c r="X832" s="91"/>
      <c r="Y832" s="91"/>
      <c r="Z832" s="44"/>
      <c r="AA832" s="44"/>
      <c r="AB832" s="44"/>
      <c r="AC832" s="44"/>
      <c r="AD832" s="44"/>
      <c r="AE832" s="44"/>
      <c r="AF832" s="44"/>
      <c r="AG832" s="44"/>
      <c r="AH832" s="44"/>
      <c r="AI832" s="44"/>
      <c r="AJ832" s="44"/>
      <c r="AK832" s="44"/>
      <c r="AL832" s="44"/>
      <c r="AM832" s="44"/>
      <c r="AN832" s="44"/>
      <c r="AO832" s="44"/>
      <c r="AP832" s="44"/>
    </row>
    <row r="833" spans="1:44" hidden="1" x14ac:dyDescent="0.25">
      <c r="A833" s="134" t="s">
        <v>195</v>
      </c>
      <c r="B833" s="149"/>
      <c r="C833" s="204">
        <v>2055</v>
      </c>
      <c r="D833" s="226"/>
      <c r="E833" s="223"/>
      <c r="F833" s="223"/>
      <c r="G833" s="226"/>
      <c r="H833" s="223"/>
      <c r="I833" s="223"/>
      <c r="J833" s="223"/>
      <c r="K833" s="226"/>
      <c r="L833" s="223"/>
      <c r="M833" s="223"/>
      <c r="N833" s="223"/>
      <c r="O833" s="226"/>
      <c r="P833" s="223"/>
      <c r="Q833" s="223"/>
      <c r="R833" s="223"/>
      <c r="S833" s="226"/>
      <c r="T833" s="223"/>
      <c r="U833" s="223"/>
      <c r="V833" s="44"/>
      <c r="W833" s="91"/>
      <c r="X833" s="91"/>
      <c r="Y833" s="91"/>
      <c r="Z833" s="44"/>
      <c r="AA833" s="44"/>
      <c r="AB833" s="44"/>
      <c r="AC833" s="44"/>
      <c r="AD833" s="44"/>
      <c r="AE833" s="44"/>
      <c r="AF833" s="44"/>
      <c r="AG833" s="44"/>
      <c r="AH833" s="44"/>
      <c r="AI833" s="44"/>
      <c r="AJ833" s="44"/>
      <c r="AK833" s="44"/>
      <c r="AL833" s="44"/>
      <c r="AM833" s="44"/>
      <c r="AN833" s="44"/>
      <c r="AO833" s="44"/>
      <c r="AP833" s="44"/>
    </row>
    <row r="834" spans="1:44" hidden="1" x14ac:dyDescent="0.25">
      <c r="A834" s="134" t="s">
        <v>196</v>
      </c>
      <c r="B834" s="149"/>
      <c r="C834" s="204"/>
      <c r="D834" s="226"/>
      <c r="E834" s="251"/>
      <c r="F834" s="223"/>
      <c r="G834" s="226"/>
      <c r="H834" s="251"/>
      <c r="I834" s="223"/>
      <c r="J834" s="223"/>
      <c r="K834" s="226"/>
      <c r="L834" s="251"/>
      <c r="M834" s="223"/>
      <c r="N834" s="223"/>
      <c r="O834" s="226"/>
      <c r="P834" s="251"/>
      <c r="Q834" s="223"/>
      <c r="R834" s="223"/>
      <c r="S834" s="226"/>
      <c r="T834" s="251"/>
      <c r="U834" s="223"/>
      <c r="V834" s="44"/>
      <c r="W834" s="91"/>
      <c r="X834" s="91"/>
      <c r="Y834" s="91"/>
      <c r="Z834" s="44"/>
      <c r="AA834" s="44"/>
      <c r="AB834" s="44"/>
      <c r="AC834" s="44"/>
      <c r="AD834" s="44"/>
      <c r="AE834" s="44"/>
      <c r="AF834" s="44"/>
      <c r="AG834" s="44"/>
      <c r="AH834" s="44"/>
      <c r="AI834" s="44"/>
      <c r="AJ834" s="44"/>
      <c r="AK834" s="44"/>
      <c r="AL834" s="44"/>
      <c r="AM834" s="44"/>
      <c r="AN834" s="44"/>
      <c r="AO834" s="44"/>
      <c r="AP834" s="44"/>
    </row>
    <row r="835" spans="1:44" hidden="1" x14ac:dyDescent="0.25">
      <c r="A835" s="134" t="s">
        <v>197</v>
      </c>
      <c r="B835" s="149"/>
      <c r="C835" s="204">
        <v>1124.0429012132199</v>
      </c>
      <c r="D835" s="226">
        <v>26.02</v>
      </c>
      <c r="E835" s="251"/>
      <c r="F835" s="223">
        <f>ROUND(D835*C835,0)</f>
        <v>29248</v>
      </c>
      <c r="G835" s="226">
        <f>$G$730</f>
        <v>26.63</v>
      </c>
      <c r="H835" s="251"/>
      <c r="I835" s="223">
        <f>ROUND(G835*$C835,0)</f>
        <v>29933</v>
      </c>
      <c r="J835" s="223"/>
      <c r="K835" s="226">
        <f>$K$730</f>
        <v>26.02</v>
      </c>
      <c r="L835" s="251"/>
      <c r="M835" s="223">
        <f>ROUND(K835*$C835,0)</f>
        <v>29248</v>
      </c>
      <c r="N835" s="223"/>
      <c r="O835" s="226" t="str">
        <f>$O$730</f>
        <v xml:space="preserve"> </v>
      </c>
      <c r="P835" s="251"/>
      <c r="Q835" s="223">
        <f>ROUND(O835*$C835,0)</f>
        <v>0</v>
      </c>
      <c r="R835" s="223"/>
      <c r="S835" s="226" t="str">
        <f>$S$730</f>
        <v xml:space="preserve"> </v>
      </c>
      <c r="T835" s="251"/>
      <c r="U835" s="223">
        <f>ROUND(S835*$C835,0)</f>
        <v>0</v>
      </c>
      <c r="V835" s="44"/>
      <c r="W835" s="91"/>
      <c r="X835" s="91"/>
      <c r="Y835" s="91"/>
      <c r="Z835" s="44"/>
      <c r="AA835" s="44"/>
      <c r="AB835" s="44"/>
      <c r="AC835" s="44"/>
      <c r="AD835" s="44"/>
      <c r="AE835" s="44"/>
      <c r="AF835" s="44"/>
      <c r="AG835" s="44"/>
      <c r="AH835" s="44"/>
      <c r="AI835" s="44"/>
      <c r="AJ835" s="44"/>
      <c r="AK835" s="44"/>
      <c r="AL835" s="44"/>
      <c r="AM835" s="44"/>
      <c r="AN835" s="44"/>
      <c r="AO835" s="44"/>
      <c r="AP835" s="44"/>
    </row>
    <row r="836" spans="1:44" hidden="1" x14ac:dyDescent="0.25">
      <c r="A836" s="134" t="s">
        <v>198</v>
      </c>
      <c r="B836" s="149"/>
      <c r="C836" s="204"/>
      <c r="D836" s="226"/>
      <c r="E836" s="251"/>
      <c r="F836" s="223"/>
      <c r="G836" s="226"/>
      <c r="H836" s="251"/>
      <c r="I836" s="223"/>
      <c r="J836" s="223"/>
      <c r="K836" s="226"/>
      <c r="L836" s="251"/>
      <c r="M836" s="223"/>
      <c r="N836" s="223"/>
      <c r="O836" s="226"/>
      <c r="P836" s="251"/>
      <c r="Q836" s="223"/>
      <c r="R836" s="223"/>
      <c r="S836" s="226"/>
      <c r="T836" s="251"/>
      <c r="U836" s="223"/>
      <c r="V836" s="44"/>
      <c r="W836" s="91"/>
      <c r="X836" s="91"/>
      <c r="Y836" s="91"/>
      <c r="Z836" s="44"/>
      <c r="AA836" s="44"/>
      <c r="AB836" s="44"/>
      <c r="AC836" s="44"/>
      <c r="AD836" s="44"/>
      <c r="AE836" s="44"/>
      <c r="AF836" s="44"/>
      <c r="AG836" s="44"/>
      <c r="AH836" s="44"/>
      <c r="AI836" s="44"/>
      <c r="AJ836" s="44"/>
      <c r="AK836" s="44"/>
      <c r="AL836" s="44"/>
      <c r="AM836" s="44"/>
      <c r="AN836" s="44"/>
      <c r="AO836" s="44"/>
      <c r="AP836" s="44"/>
    </row>
    <row r="837" spans="1:44" hidden="1" x14ac:dyDescent="0.25">
      <c r="A837" s="134" t="s">
        <v>191</v>
      </c>
      <c r="B837" s="149"/>
      <c r="C837" s="204">
        <v>13343.474759320199</v>
      </c>
      <c r="D837" s="226">
        <v>26.02</v>
      </c>
      <c r="E837" s="251"/>
      <c r="F837" s="223">
        <f>ROUND(D837*C837,0)</f>
        <v>347197</v>
      </c>
      <c r="G837" s="226">
        <f>$G$732</f>
        <v>26.63</v>
      </c>
      <c r="H837" s="251"/>
      <c r="I837" s="223">
        <f>ROUND(G837*$C837,0)</f>
        <v>355337</v>
      </c>
      <c r="J837" s="223"/>
      <c r="K837" s="226">
        <f>$K$732</f>
        <v>26.02</v>
      </c>
      <c r="L837" s="251"/>
      <c r="M837" s="223">
        <f>ROUND(K837*$C837,0)</f>
        <v>347197</v>
      </c>
      <c r="N837" s="223"/>
      <c r="O837" s="226" t="str">
        <f>$O$732</f>
        <v xml:space="preserve"> </v>
      </c>
      <c r="P837" s="251"/>
      <c r="Q837" s="223">
        <f>ROUND(O837*$C837,0)</f>
        <v>0</v>
      </c>
      <c r="R837" s="223"/>
      <c r="S837" s="226" t="str">
        <f>$S$732</f>
        <v xml:space="preserve"> </v>
      </c>
      <c r="T837" s="251"/>
      <c r="U837" s="223">
        <f>ROUND(S837*$C837,0)</f>
        <v>0</v>
      </c>
      <c r="V837" s="44"/>
      <c r="W837" s="91"/>
      <c r="X837" s="91"/>
      <c r="Y837" s="91"/>
      <c r="Z837" s="44"/>
      <c r="AA837" s="44"/>
      <c r="AB837" s="44"/>
      <c r="AC837" s="44"/>
      <c r="AD837" s="44"/>
      <c r="AE837" s="44"/>
      <c r="AF837" s="44"/>
      <c r="AG837" s="44"/>
      <c r="AH837" s="44"/>
      <c r="AI837" s="44"/>
      <c r="AJ837" s="44"/>
      <c r="AK837" s="44"/>
      <c r="AL837" s="44"/>
      <c r="AM837" s="44"/>
      <c r="AN837" s="44"/>
      <c r="AO837" s="44"/>
      <c r="AP837" s="44"/>
    </row>
    <row r="838" spans="1:44" hidden="1" x14ac:dyDescent="0.25">
      <c r="A838" s="134" t="s">
        <v>192</v>
      </c>
      <c r="B838" s="149"/>
      <c r="C838" s="204">
        <v>11633.663662691</v>
      </c>
      <c r="D838" s="226">
        <v>18.101388370764003</v>
      </c>
      <c r="E838" s="251"/>
      <c r="F838" s="223">
        <f>ROUND(D838*C838,0)</f>
        <v>210585</v>
      </c>
      <c r="G838" s="226">
        <f>$G$733</f>
        <v>18.526286850528336</v>
      </c>
      <c r="H838" s="251"/>
      <c r="I838" s="223">
        <f>ROUND(G838*$C838,0)</f>
        <v>215529</v>
      </c>
      <c r="J838" s="223"/>
      <c r="K838" s="226">
        <f>$K$733</f>
        <v>18.101388370764003</v>
      </c>
      <c r="L838" s="251"/>
      <c r="M838" s="223">
        <f>ROUND(K838*$C838,0)</f>
        <v>210585</v>
      </c>
      <c r="N838" s="223"/>
      <c r="O838" s="226" t="str">
        <f>$O$733</f>
        <v xml:space="preserve"> </v>
      </c>
      <c r="P838" s="251"/>
      <c r="Q838" s="223">
        <f>ROUND(O838*$C838,0)</f>
        <v>0</v>
      </c>
      <c r="R838" s="223"/>
      <c r="S838" s="226" t="str">
        <f>$S$733</f>
        <v xml:space="preserve"> </v>
      </c>
      <c r="T838" s="251"/>
      <c r="U838" s="223">
        <f>ROUND(S838*$C838,0)</f>
        <v>0</v>
      </c>
      <c r="V838" s="44"/>
      <c r="W838" s="91"/>
      <c r="X838" s="91"/>
      <c r="Y838" s="91"/>
      <c r="Z838" s="44"/>
      <c r="AA838" s="44"/>
      <c r="AB838" s="44"/>
      <c r="AC838" s="44"/>
      <c r="AD838" s="44"/>
      <c r="AE838" s="44"/>
      <c r="AF838" s="44"/>
      <c r="AG838" s="44"/>
      <c r="AH838" s="44"/>
      <c r="AI838" s="44"/>
      <c r="AJ838" s="44"/>
      <c r="AK838" s="44"/>
      <c r="AL838" s="44"/>
      <c r="AM838" s="44"/>
      <c r="AN838" s="44"/>
      <c r="AO838" s="44"/>
      <c r="AP838" s="44"/>
    </row>
    <row r="839" spans="1:44" hidden="1" x14ac:dyDescent="0.25">
      <c r="A839" s="134" t="s">
        <v>193</v>
      </c>
      <c r="B839" s="149"/>
      <c r="C839" s="204">
        <v>854.37523643290297</v>
      </c>
      <c r="D839" s="226">
        <v>14.155824964645021</v>
      </c>
      <c r="E839" s="251"/>
      <c r="F839" s="223">
        <f>ROUND(D839*C839,0)</f>
        <v>12094</v>
      </c>
      <c r="G839" s="226">
        <f>$G$734</f>
        <v>14.48810823397713</v>
      </c>
      <c r="H839" s="251"/>
      <c r="I839" s="223">
        <f>ROUND(G839*$C839,0)</f>
        <v>12378</v>
      </c>
      <c r="J839" s="223"/>
      <c r="K839" s="226">
        <f>$K$734</f>
        <v>14.155824964645021</v>
      </c>
      <c r="L839" s="251"/>
      <c r="M839" s="223">
        <f>ROUND(K839*$C839,0)</f>
        <v>12094</v>
      </c>
      <c r="N839" s="223"/>
      <c r="O839" s="226" t="str">
        <f>$O$734</f>
        <v xml:space="preserve"> </v>
      </c>
      <c r="P839" s="251"/>
      <c r="Q839" s="223">
        <f>ROUND(O839*$C839,0)</f>
        <v>0</v>
      </c>
      <c r="R839" s="223"/>
      <c r="S839" s="226" t="str">
        <f>$S$734</f>
        <v xml:space="preserve"> </v>
      </c>
      <c r="T839" s="251"/>
      <c r="U839" s="223">
        <f>ROUND(S839*$C839,0)</f>
        <v>0</v>
      </c>
      <c r="V839" s="44"/>
      <c r="W839" s="91"/>
      <c r="X839" s="91"/>
      <c r="Y839" s="91"/>
      <c r="Z839" s="44"/>
      <c r="AA839" s="44"/>
      <c r="AB839" s="44"/>
      <c r="AC839" s="44"/>
      <c r="AD839" s="44"/>
      <c r="AE839" s="44"/>
      <c r="AF839" s="44"/>
      <c r="AG839" s="44"/>
      <c r="AH839" s="44"/>
      <c r="AI839" s="44"/>
      <c r="AJ839" s="44"/>
      <c r="AK839" s="44"/>
      <c r="AL839" s="44"/>
      <c r="AM839" s="44"/>
      <c r="AN839" s="44"/>
      <c r="AO839" s="44"/>
      <c r="AP839" s="44"/>
    </row>
    <row r="840" spans="1:44" hidden="1" x14ac:dyDescent="0.25">
      <c r="A840" s="134" t="s">
        <v>199</v>
      </c>
      <c r="B840" s="149"/>
      <c r="C840" s="204">
        <v>272.36067141268398</v>
      </c>
      <c r="D840" s="226">
        <v>78.06</v>
      </c>
      <c r="E840" s="251"/>
      <c r="F840" s="223">
        <f>ROUND(D840*C840,0)</f>
        <v>21260</v>
      </c>
      <c r="G840" s="226">
        <f>$G$735</f>
        <v>79.89</v>
      </c>
      <c r="H840" s="251"/>
      <c r="I840" s="223">
        <f>ROUND(G840*$C840,0)</f>
        <v>21759</v>
      </c>
      <c r="J840" s="223"/>
      <c r="K840" s="226">
        <f>$K$735</f>
        <v>78.06</v>
      </c>
      <c r="L840" s="251"/>
      <c r="M840" s="223">
        <f>ROUND(K840*$C840,0)</f>
        <v>21260</v>
      </c>
      <c r="N840" s="223"/>
      <c r="O840" s="226" t="str">
        <f>$O$735</f>
        <v xml:space="preserve"> </v>
      </c>
      <c r="P840" s="251"/>
      <c r="Q840" s="223">
        <f>ROUND(O840*$C840,0)</f>
        <v>0</v>
      </c>
      <c r="R840" s="223"/>
      <c r="S840" s="226" t="str">
        <f>$S$735</f>
        <v xml:space="preserve"> </v>
      </c>
      <c r="T840" s="251"/>
      <c r="U840" s="223">
        <f>ROUND(S840*$C840,0)</f>
        <v>0</v>
      </c>
      <c r="V840" s="44"/>
      <c r="W840" s="91"/>
      <c r="X840" s="91"/>
      <c r="Y840" s="91"/>
      <c r="Z840" s="44"/>
      <c r="AA840" s="44"/>
      <c r="AB840" s="44"/>
      <c r="AC840" s="44"/>
      <c r="AD840" s="44"/>
      <c r="AE840" s="44"/>
      <c r="AF840" s="44"/>
      <c r="AG840" s="44"/>
      <c r="AH840" s="44"/>
      <c r="AI840" s="44"/>
      <c r="AJ840" s="44"/>
      <c r="AK840" s="44"/>
      <c r="AL840" s="44"/>
      <c r="AM840" s="44"/>
      <c r="AN840" s="44"/>
      <c r="AO840" s="44"/>
      <c r="AP840" s="44"/>
    </row>
    <row r="841" spans="1:44" hidden="1" x14ac:dyDescent="0.25">
      <c r="A841" s="134" t="s">
        <v>200</v>
      </c>
      <c r="B841" s="149"/>
      <c r="C841" s="204">
        <v>388.32518925146098</v>
      </c>
      <c r="D841" s="226">
        <v>156.12</v>
      </c>
      <c r="E841" s="251"/>
      <c r="F841" s="223">
        <f>ROUND(D841*C841,0)</f>
        <v>60625</v>
      </c>
      <c r="G841" s="226">
        <f>$G$736</f>
        <v>159.78</v>
      </c>
      <c r="H841" s="251"/>
      <c r="I841" s="223">
        <f>ROUND(G841*$C841,0)</f>
        <v>62047</v>
      </c>
      <c r="J841" s="223"/>
      <c r="K841" s="226">
        <f>$K$736</f>
        <v>156.12</v>
      </c>
      <c r="L841" s="251"/>
      <c r="M841" s="223">
        <f>ROUND(K841*$C841,0)</f>
        <v>60625</v>
      </c>
      <c r="N841" s="223"/>
      <c r="O841" s="226" t="str">
        <f>$O$736</f>
        <v xml:space="preserve"> </v>
      </c>
      <c r="P841" s="251"/>
      <c r="Q841" s="223">
        <f>ROUND(O841*$C841,0)</f>
        <v>0</v>
      </c>
      <c r="R841" s="223"/>
      <c r="S841" s="226" t="str">
        <f>$S$736</f>
        <v xml:space="preserve"> </v>
      </c>
      <c r="T841" s="251"/>
      <c r="U841" s="223">
        <f>ROUND(S841*$C841,0)</f>
        <v>0</v>
      </c>
      <c r="V841" s="44"/>
      <c r="W841" s="91"/>
      <c r="X841" s="91"/>
      <c r="Y841" s="91"/>
      <c r="Z841" s="44"/>
      <c r="AA841" s="44"/>
      <c r="AB841" s="44"/>
      <c r="AC841" s="44"/>
      <c r="AD841" s="44"/>
      <c r="AE841" s="44"/>
      <c r="AF841" s="44"/>
      <c r="AG841" s="44"/>
      <c r="AH841" s="44"/>
      <c r="AI841" s="44"/>
      <c r="AJ841" s="44"/>
      <c r="AK841" s="44"/>
      <c r="AL841" s="44"/>
      <c r="AM841" s="44"/>
      <c r="AN841" s="44"/>
      <c r="AO841" s="44"/>
      <c r="AP841" s="44"/>
    </row>
    <row r="842" spans="1:44" hidden="1" x14ac:dyDescent="0.25">
      <c r="A842" s="134" t="s">
        <v>201</v>
      </c>
      <c r="B842" s="149"/>
      <c r="C842" s="204"/>
      <c r="D842" s="226"/>
      <c r="E842" s="251"/>
      <c r="F842" s="223"/>
      <c r="G842" s="226"/>
      <c r="H842" s="251"/>
      <c r="I842" s="223"/>
      <c r="J842" s="223"/>
      <c r="K842" s="226"/>
      <c r="L842" s="251"/>
      <c r="M842" s="223"/>
      <c r="N842" s="223"/>
      <c r="O842" s="226"/>
      <c r="P842" s="251"/>
      <c r="Q842" s="223"/>
      <c r="R842" s="223"/>
      <c r="S842" s="226"/>
      <c r="T842" s="251"/>
      <c r="U842" s="223"/>
      <c r="V842" s="44"/>
      <c r="W842" s="91"/>
      <c r="X842" s="91"/>
      <c r="Y842" s="91"/>
      <c r="Z842" s="44"/>
      <c r="AA842" s="44"/>
      <c r="AB842" s="44"/>
      <c r="AC842" s="44"/>
      <c r="AD842" s="44"/>
      <c r="AE842" s="44"/>
      <c r="AF842" s="44"/>
      <c r="AG842" s="44"/>
      <c r="AH842" s="44"/>
      <c r="AI842" s="44"/>
      <c r="AJ842" s="44"/>
      <c r="AK842" s="44"/>
      <c r="AL842" s="44"/>
      <c r="AM842" s="44"/>
      <c r="AN842" s="44"/>
      <c r="AO842" s="44"/>
      <c r="AP842" s="44"/>
    </row>
    <row r="843" spans="1:44" hidden="1" x14ac:dyDescent="0.25">
      <c r="A843" s="134" t="s">
        <v>197</v>
      </c>
      <c r="B843" s="149"/>
      <c r="C843" s="204">
        <v>26.1506861099434</v>
      </c>
      <c r="D843" s="250">
        <v>-26.02</v>
      </c>
      <c r="E843" s="251"/>
      <c r="F843" s="223">
        <f>ROUND(D843*C843,0)</f>
        <v>-680</v>
      </c>
      <c r="G843" s="250">
        <f>-G835</f>
        <v>-26.63</v>
      </c>
      <c r="H843" s="251"/>
      <c r="I843" s="223">
        <f>ROUND(G843*$C843,0)</f>
        <v>-696</v>
      </c>
      <c r="J843" s="223"/>
      <c r="K843" s="250">
        <f>-K835</f>
        <v>-26.02</v>
      </c>
      <c r="L843" s="251"/>
      <c r="M843" s="223">
        <f>ROUND(K843*$C843,0)</f>
        <v>-680</v>
      </c>
      <c r="N843" s="223"/>
      <c r="O843" s="250">
        <f>-O835</f>
        <v>0</v>
      </c>
      <c r="P843" s="251"/>
      <c r="Q843" s="223">
        <f>ROUND(O843*$C843,0)</f>
        <v>0</v>
      </c>
      <c r="R843" s="223"/>
      <c r="S843" s="250">
        <f>-S835</f>
        <v>0</v>
      </c>
      <c r="T843" s="251"/>
      <c r="U843" s="223">
        <f>ROUND(S843*$C843,0)</f>
        <v>0</v>
      </c>
      <c r="V843" s="44"/>
      <c r="W843" s="91"/>
      <c r="X843" s="91"/>
      <c r="Y843" s="91"/>
      <c r="Z843" s="44"/>
      <c r="AA843" s="44"/>
      <c r="AB843" s="44"/>
      <c r="AC843" s="44"/>
      <c r="AD843" s="44"/>
      <c r="AE843" s="44"/>
      <c r="AF843" s="44"/>
      <c r="AG843" s="44"/>
      <c r="AH843" s="44"/>
      <c r="AI843" s="44"/>
      <c r="AJ843" s="44"/>
      <c r="AK843" s="44"/>
      <c r="AL843" s="44"/>
      <c r="AM843" s="44"/>
      <c r="AN843" s="44"/>
      <c r="AO843" s="44"/>
      <c r="AP843" s="44"/>
    </row>
    <row r="844" spans="1:44" hidden="1" x14ac:dyDescent="0.25">
      <c r="A844" s="134" t="s">
        <v>202</v>
      </c>
      <c r="B844" s="149"/>
      <c r="C844" s="204">
        <v>193.01451727485201</v>
      </c>
      <c r="D844" s="250">
        <v>-26.02</v>
      </c>
      <c r="E844" s="251"/>
      <c r="F844" s="223">
        <f>ROUND(D844*C844,0)</f>
        <v>-5022</v>
      </c>
      <c r="G844" s="250">
        <f>-G837</f>
        <v>-26.63</v>
      </c>
      <c r="H844" s="251"/>
      <c r="I844" s="223">
        <f>ROUND(G844*$C844,0)</f>
        <v>-5140</v>
      </c>
      <c r="J844" s="223"/>
      <c r="K844" s="250">
        <f>-K837</f>
        <v>-26.02</v>
      </c>
      <c r="L844" s="251"/>
      <c r="M844" s="223">
        <f>ROUND(K844*$C844,0)</f>
        <v>-5022</v>
      </c>
      <c r="N844" s="223"/>
      <c r="O844" s="250">
        <f>-O837</f>
        <v>0</v>
      </c>
      <c r="P844" s="251"/>
      <c r="Q844" s="223">
        <f>ROUND(O844*$C844,0)</f>
        <v>0</v>
      </c>
      <c r="R844" s="223"/>
      <c r="S844" s="250">
        <f>-S837</f>
        <v>0</v>
      </c>
      <c r="T844" s="251"/>
      <c r="U844" s="223">
        <f>ROUND(S844*$C844,0)</f>
        <v>0</v>
      </c>
      <c r="V844" s="44"/>
      <c r="W844" s="91"/>
      <c r="X844" s="91"/>
      <c r="Y844" s="91"/>
      <c r="Z844" s="44"/>
      <c r="AA844" s="44"/>
      <c r="AB844" s="44"/>
      <c r="AC844" s="44"/>
      <c r="AD844" s="44"/>
      <c r="AE844" s="44"/>
      <c r="AF844" s="44"/>
      <c r="AG844" s="44"/>
      <c r="AH844" s="44"/>
      <c r="AI844" s="44"/>
      <c r="AJ844" s="44"/>
      <c r="AK844" s="44"/>
      <c r="AL844" s="44"/>
      <c r="AM844" s="44"/>
      <c r="AN844" s="44"/>
      <c r="AO844" s="44"/>
      <c r="AP844" s="44"/>
    </row>
    <row r="845" spans="1:44" hidden="1" x14ac:dyDescent="0.25">
      <c r="A845" s="206" t="s">
        <v>164</v>
      </c>
      <c r="B845" s="149"/>
      <c r="C845" s="204"/>
      <c r="D845" s="226"/>
      <c r="E845" s="223"/>
      <c r="F845" s="223"/>
      <c r="G845" s="226"/>
      <c r="H845" s="223"/>
      <c r="I845" s="223"/>
      <c r="J845" s="223"/>
      <c r="K845" s="226"/>
      <c r="L845" s="223"/>
      <c r="M845" s="223"/>
      <c r="N845" s="223"/>
      <c r="O845" s="226"/>
      <c r="P845" s="223"/>
      <c r="Q845" s="223"/>
      <c r="R845" s="223"/>
      <c r="S845" s="226"/>
      <c r="T845" s="223"/>
      <c r="U845" s="223"/>
      <c r="V845" s="44"/>
      <c r="W845" s="91"/>
      <c r="X845" s="91"/>
      <c r="Y845" s="91"/>
      <c r="Z845" s="44"/>
      <c r="AA845" s="44"/>
      <c r="AB845" s="44"/>
      <c r="AC845" s="44"/>
      <c r="AD845" s="44"/>
      <c r="AE845" s="44"/>
      <c r="AF845" s="44"/>
      <c r="AG845" s="44"/>
      <c r="AH845" s="44"/>
      <c r="AI845" s="44"/>
      <c r="AJ845" s="44"/>
      <c r="AK845" s="44"/>
      <c r="AL845" s="44"/>
      <c r="AM845" s="44"/>
      <c r="AN845" s="44"/>
      <c r="AO845" s="44"/>
      <c r="AP845" s="44"/>
    </row>
    <row r="846" spans="1:44" hidden="1" x14ac:dyDescent="0.25">
      <c r="A846" s="134" t="s">
        <v>203</v>
      </c>
      <c r="B846" s="149"/>
      <c r="C846" s="204">
        <v>48181287</v>
      </c>
      <c r="D846" s="307">
        <v>7.0350000000000001</v>
      </c>
      <c r="E846" s="223" t="s">
        <v>89</v>
      </c>
      <c r="F846" s="223">
        <f>ROUND(D846/100*C846,0)</f>
        <v>3389554</v>
      </c>
      <c r="G846" s="307">
        <f>$G$741</f>
        <v>7.2030000000000003</v>
      </c>
      <c r="H846" s="223" t="s">
        <v>89</v>
      </c>
      <c r="I846" s="223">
        <f>ROUND(G846/100*$C846,0)</f>
        <v>3470498</v>
      </c>
      <c r="J846" s="223"/>
      <c r="K846" s="307" t="e">
        <f>$K$741</f>
        <v>#REF!</v>
      </c>
      <c r="L846" s="223" t="s">
        <v>89</v>
      </c>
      <c r="M846" s="223" t="e">
        <f>ROUND(K846/100*$C846,0)</f>
        <v>#REF!</v>
      </c>
      <c r="N846" s="223"/>
      <c r="O846" s="307" t="e">
        <f>$O$741</f>
        <v>#DIV/0!</v>
      </c>
      <c r="P846" s="223" t="s">
        <v>89</v>
      </c>
      <c r="Q846" s="223" t="e">
        <f>ROUND(O846/100*$C846,0)</f>
        <v>#DIV/0!</v>
      </c>
      <c r="R846" s="223"/>
      <c r="S846" s="307" t="e">
        <f>$S$741</f>
        <v>#DIV/0!</v>
      </c>
      <c r="T846" s="223" t="s">
        <v>89</v>
      </c>
      <c r="U846" s="223" t="e">
        <f>ROUND(S846/100*$C846,0)</f>
        <v>#DIV/0!</v>
      </c>
      <c r="V846" s="44"/>
      <c r="W846" s="91"/>
      <c r="X846" s="91"/>
      <c r="Y846" s="91"/>
      <c r="Z846" s="44"/>
      <c r="AA846" s="44"/>
      <c r="AB846" s="44"/>
      <c r="AC846" s="44"/>
      <c r="AD846" s="44"/>
      <c r="AE846" s="44"/>
      <c r="AF846" s="44"/>
      <c r="AG846" s="44"/>
      <c r="AH846" s="44"/>
      <c r="AI846" s="44"/>
      <c r="AJ846" s="44"/>
      <c r="AK846" s="44"/>
      <c r="AL846" s="44"/>
      <c r="AM846" s="44"/>
      <c r="AN846" s="44"/>
      <c r="AO846" s="44"/>
      <c r="AP846" s="44"/>
    </row>
    <row r="847" spans="1:44" hidden="1" x14ac:dyDescent="0.25">
      <c r="A847" s="206" t="s">
        <v>133</v>
      </c>
      <c r="B847" s="149"/>
      <c r="C847" s="204">
        <v>16797</v>
      </c>
      <c r="D847" s="227">
        <v>57</v>
      </c>
      <c r="E847" s="206" t="s">
        <v>89</v>
      </c>
      <c r="F847" s="223">
        <f>ROUND(D847*C847/100,0)</f>
        <v>9574</v>
      </c>
      <c r="G847" s="227">
        <f>$G$742</f>
        <v>58</v>
      </c>
      <c r="H847" s="206" t="s">
        <v>89</v>
      </c>
      <c r="I847" s="223">
        <f>ROUND(G847*$C847/100,0)</f>
        <v>9742</v>
      </c>
      <c r="J847" s="223"/>
      <c r="K847" s="227" t="str">
        <f>$K$742</f>
        <v xml:space="preserve"> </v>
      </c>
      <c r="L847" s="206" t="s">
        <v>89</v>
      </c>
      <c r="M847" s="223">
        <f>ROUND(K847*$C847/100,0)</f>
        <v>0</v>
      </c>
      <c r="N847" s="223"/>
      <c r="O847" s="227" t="e">
        <f>$O$742</f>
        <v>#DIV/0!</v>
      </c>
      <c r="P847" s="206" t="s">
        <v>89</v>
      </c>
      <c r="Q847" s="223" t="e">
        <f>ROUND(O847*$C847/100,0)</f>
        <v>#DIV/0!</v>
      </c>
      <c r="R847" s="223"/>
      <c r="S847" s="227" t="e">
        <f>$S$742</f>
        <v>#DIV/0!</v>
      </c>
      <c r="T847" s="206" t="s">
        <v>89</v>
      </c>
      <c r="U847" s="223" t="e">
        <f>ROUND(S847*$C847/100,0)</f>
        <v>#DIV/0!</v>
      </c>
      <c r="V847" s="44"/>
      <c r="W847" s="91"/>
      <c r="X847" s="91"/>
      <c r="Y847" s="91"/>
      <c r="Z847" s="44"/>
      <c r="AA847" s="44"/>
      <c r="AB847" s="44"/>
      <c r="AC847" s="44"/>
      <c r="AD847" s="44"/>
      <c r="AE847" s="44"/>
      <c r="AF847" s="44"/>
      <c r="AG847" s="44"/>
      <c r="AH847" s="44"/>
      <c r="AI847" s="44"/>
      <c r="AJ847" s="44"/>
      <c r="AK847" s="44"/>
      <c r="AL847" s="44"/>
      <c r="AM847" s="44"/>
      <c r="AN847" s="44"/>
      <c r="AO847" s="44"/>
      <c r="AP847" s="44"/>
    </row>
    <row r="848" spans="1:44" s="120" customFormat="1" hidden="1" x14ac:dyDescent="0.25">
      <c r="A848" s="119" t="s">
        <v>204</v>
      </c>
      <c r="C848" s="121">
        <f>C846</f>
        <v>48181287</v>
      </c>
      <c r="D848" s="128">
        <v>0</v>
      </c>
      <c r="E848" s="122"/>
      <c r="F848" s="123"/>
      <c r="G848" s="308">
        <f>G743</f>
        <v>0</v>
      </c>
      <c r="H848" s="256" t="s">
        <v>89</v>
      </c>
      <c r="I848" s="256">
        <f>ROUND(G848*$C848/100,0)</f>
        <v>0</v>
      </c>
      <c r="J848" s="256"/>
      <c r="K848" s="308" t="str">
        <f>K743</f>
        <v xml:space="preserve"> </v>
      </c>
      <c r="L848" s="256" t="s">
        <v>89</v>
      </c>
      <c r="M848" s="256">
        <f>ROUND(K848*$C848/100,0)</f>
        <v>0</v>
      </c>
      <c r="N848" s="256"/>
      <c r="O848" s="308" t="str">
        <f>O743</f>
        <v xml:space="preserve"> </v>
      </c>
      <c r="P848" s="256" t="s">
        <v>89</v>
      </c>
      <c r="Q848" s="256">
        <f>ROUND(O848*$C848/100,0)</f>
        <v>0</v>
      </c>
      <c r="R848" s="256"/>
      <c r="S848" s="308">
        <f>S743</f>
        <v>0</v>
      </c>
      <c r="T848" s="256" t="s">
        <v>89</v>
      </c>
      <c r="U848" s="256">
        <f>ROUND(S848*$C848/100,0)</f>
        <v>0</v>
      </c>
      <c r="W848" s="112"/>
      <c r="Z848" s="127"/>
      <c r="AA848" s="127"/>
      <c r="AF848" s="122"/>
      <c r="AG848" s="122"/>
      <c r="AH848" s="122"/>
      <c r="AI848" s="122"/>
      <c r="AJ848" s="122"/>
      <c r="AK848" s="122"/>
      <c r="AL848" s="122"/>
      <c r="AM848" s="122"/>
      <c r="AN848" s="122"/>
      <c r="AO848" s="122"/>
      <c r="AP848" s="122"/>
      <c r="AR848" s="126"/>
    </row>
    <row r="849" spans="1:42" hidden="1" x14ac:dyDescent="0.25">
      <c r="A849" s="257" t="s">
        <v>140</v>
      </c>
      <c r="B849" s="149"/>
      <c r="C849" s="204"/>
      <c r="D849" s="220">
        <v>-0.01</v>
      </c>
      <c r="E849" s="149"/>
      <c r="F849" s="223"/>
      <c r="G849" s="220">
        <v>-0.01</v>
      </c>
      <c r="H849" s="149"/>
      <c r="I849" s="223"/>
      <c r="J849" s="223"/>
      <c r="K849" s="220">
        <v>-0.01</v>
      </c>
      <c r="L849" s="149"/>
      <c r="M849" s="223"/>
      <c r="N849" s="223"/>
      <c r="O849" s="220">
        <v>-0.01</v>
      </c>
      <c r="P849" s="149"/>
      <c r="Q849" s="223"/>
      <c r="R849" s="223"/>
      <c r="S849" s="220">
        <v>-0.01</v>
      </c>
      <c r="T849" s="149"/>
      <c r="U849" s="223"/>
      <c r="V849" s="44"/>
      <c r="W849" s="91"/>
      <c r="X849" s="91"/>
      <c r="Y849" s="91"/>
      <c r="Z849" s="44"/>
      <c r="AA849" s="44"/>
      <c r="AB849" s="44"/>
      <c r="AC849" s="44"/>
      <c r="AD849" s="44"/>
      <c r="AE849" s="44"/>
      <c r="AF849" s="44"/>
      <c r="AG849" s="44"/>
      <c r="AH849" s="44"/>
      <c r="AI849" s="44"/>
      <c r="AJ849" s="44"/>
      <c r="AK849" s="44"/>
      <c r="AL849" s="44"/>
      <c r="AM849" s="44"/>
      <c r="AN849" s="44"/>
      <c r="AO849" s="44"/>
      <c r="AP849" s="44"/>
    </row>
    <row r="850" spans="1:42" hidden="1" x14ac:dyDescent="0.25">
      <c r="A850" s="134" t="s">
        <v>124</v>
      </c>
      <c r="B850" s="149"/>
      <c r="C850" s="204">
        <v>0</v>
      </c>
      <c r="D850" s="246">
        <v>0</v>
      </c>
      <c r="E850" s="251"/>
      <c r="F850" s="223">
        <f>ROUND(D850*C850,0)</f>
        <v>0</v>
      </c>
      <c r="G850" s="246">
        <f>G826</f>
        <v>0</v>
      </c>
      <c r="H850" s="251"/>
      <c r="I850" s="223">
        <f>ROUND(G850*$C850*$G$849,0)</f>
        <v>0</v>
      </c>
      <c r="J850" s="223"/>
      <c r="K850" s="246">
        <f>K826</f>
        <v>0</v>
      </c>
      <c r="L850" s="251"/>
      <c r="M850" s="223">
        <f>ROUND(K850*$C850*$G$849,0)</f>
        <v>0</v>
      </c>
      <c r="N850" s="223"/>
      <c r="O850" s="246" t="str">
        <f>O826</f>
        <v xml:space="preserve"> </v>
      </c>
      <c r="P850" s="251"/>
      <c r="Q850" s="223">
        <f>ROUND(O850*$C850*$G$849,0)</f>
        <v>0</v>
      </c>
      <c r="R850" s="223"/>
      <c r="S850" s="246" t="str">
        <f>S826</f>
        <v xml:space="preserve"> </v>
      </c>
      <c r="T850" s="251"/>
      <c r="U850" s="223">
        <f>ROUND(S850*$C850*$G$849,0)</f>
        <v>0</v>
      </c>
      <c r="V850" s="44"/>
      <c r="W850" s="91"/>
      <c r="X850" s="91"/>
      <c r="Y850" s="91"/>
      <c r="Z850" s="44"/>
      <c r="AA850" s="44"/>
      <c r="AB850" s="44"/>
      <c r="AC850" s="44"/>
      <c r="AD850" s="44"/>
      <c r="AE850" s="44"/>
      <c r="AF850" s="44"/>
      <c r="AG850" s="44"/>
      <c r="AH850" s="44"/>
      <c r="AI850" s="44"/>
      <c r="AJ850" s="44"/>
      <c r="AK850" s="44"/>
      <c r="AL850" s="44"/>
      <c r="AM850" s="44"/>
      <c r="AN850" s="44"/>
      <c r="AO850" s="44"/>
      <c r="AP850" s="44"/>
    </row>
    <row r="851" spans="1:42" hidden="1" x14ac:dyDescent="0.25">
      <c r="A851" s="134" t="s">
        <v>125</v>
      </c>
      <c r="B851" s="149"/>
      <c r="C851" s="204"/>
      <c r="D851" s="246"/>
      <c r="E851" s="251"/>
      <c r="F851" s="223"/>
      <c r="G851" s="246"/>
      <c r="H851" s="251"/>
      <c r="I851" s="223"/>
      <c r="J851" s="223"/>
      <c r="K851" s="246"/>
      <c r="L851" s="251"/>
      <c r="M851" s="223"/>
      <c r="N851" s="223"/>
      <c r="O851" s="246"/>
      <c r="P851" s="251"/>
      <c r="Q851" s="223"/>
      <c r="R851" s="223"/>
      <c r="S851" s="246"/>
      <c r="T851" s="251"/>
      <c r="U851" s="223"/>
      <c r="V851" s="44"/>
      <c r="W851" s="91"/>
      <c r="X851" s="91"/>
      <c r="Y851" s="91"/>
      <c r="Z851" s="44"/>
      <c r="AA851" s="44"/>
      <c r="AB851" s="44"/>
      <c r="AC851" s="44"/>
      <c r="AD851" s="44"/>
      <c r="AE851" s="44"/>
      <c r="AF851" s="44"/>
      <c r="AG851" s="44"/>
      <c r="AH851" s="44"/>
      <c r="AI851" s="44"/>
      <c r="AJ851" s="44"/>
      <c r="AK851" s="44"/>
      <c r="AL851" s="44"/>
      <c r="AM851" s="44"/>
      <c r="AN851" s="44"/>
      <c r="AO851" s="44"/>
      <c r="AP851" s="44"/>
    </row>
    <row r="852" spans="1:42" hidden="1" x14ac:dyDescent="0.25">
      <c r="A852" s="134" t="s">
        <v>191</v>
      </c>
      <c r="B852" s="149"/>
      <c r="C852" s="204">
        <v>0</v>
      </c>
      <c r="D852" s="246">
        <v>0</v>
      </c>
      <c r="E852" s="251"/>
      <c r="F852" s="223">
        <f>ROUND(D852*C852,0)</f>
        <v>0</v>
      </c>
      <c r="G852" s="246">
        <f>G828</f>
        <v>0</v>
      </c>
      <c r="H852" s="251"/>
      <c r="I852" s="223">
        <f>ROUND(G852*$C852*$G$849,0)</f>
        <v>0</v>
      </c>
      <c r="J852" s="223"/>
      <c r="K852" s="246">
        <f>K828</f>
        <v>0</v>
      </c>
      <c r="L852" s="251"/>
      <c r="M852" s="223">
        <f>ROUND(K852*$C852*$G$849,0)</f>
        <v>0</v>
      </c>
      <c r="N852" s="223"/>
      <c r="O852" s="246" t="str">
        <f>O828</f>
        <v xml:space="preserve"> </v>
      </c>
      <c r="P852" s="251"/>
      <c r="Q852" s="223">
        <f>ROUND(O852*$C852*$G$849,0)</f>
        <v>0</v>
      </c>
      <c r="R852" s="223"/>
      <c r="S852" s="246" t="str">
        <f>S828</f>
        <v xml:space="preserve"> </v>
      </c>
      <c r="T852" s="251"/>
      <c r="U852" s="223">
        <f>ROUND(S852*$C852*$G$849,0)</f>
        <v>0</v>
      </c>
      <c r="V852" s="44"/>
      <c r="W852" s="91"/>
      <c r="X852" s="91"/>
      <c r="Y852" s="91"/>
      <c r="Z852" s="44"/>
      <c r="AA852" s="44"/>
      <c r="AB852" s="44"/>
      <c r="AC852" s="44"/>
      <c r="AD852" s="44"/>
      <c r="AE852" s="44"/>
      <c r="AF852" s="44"/>
      <c r="AG852" s="44"/>
      <c r="AH852" s="44"/>
      <c r="AI852" s="44"/>
      <c r="AJ852" s="44"/>
      <c r="AK852" s="44"/>
      <c r="AL852" s="44"/>
      <c r="AM852" s="44"/>
      <c r="AN852" s="44"/>
      <c r="AO852" s="44"/>
      <c r="AP852" s="44"/>
    </row>
    <row r="853" spans="1:42" hidden="1" x14ac:dyDescent="0.25">
      <c r="A853" s="134" t="s">
        <v>192</v>
      </c>
      <c r="B853" s="149"/>
      <c r="C853" s="204">
        <v>0</v>
      </c>
      <c r="D853" s="246">
        <v>370</v>
      </c>
      <c r="E853" s="251"/>
      <c r="F853" s="223">
        <f>ROUND(D853*C853,0)</f>
        <v>0</v>
      </c>
      <c r="G853" s="246">
        <f>G829</f>
        <v>379</v>
      </c>
      <c r="H853" s="251"/>
      <c r="I853" s="223">
        <f>ROUND(G853*$C853*$G$849,0)</f>
        <v>0</v>
      </c>
      <c r="J853" s="223"/>
      <c r="K853" s="246">
        <f>K829</f>
        <v>370</v>
      </c>
      <c r="L853" s="251"/>
      <c r="M853" s="223">
        <f>ROUND(K853*$C853*$G$849,0)</f>
        <v>0</v>
      </c>
      <c r="N853" s="223"/>
      <c r="O853" s="246" t="str">
        <f>O829</f>
        <v xml:space="preserve"> </v>
      </c>
      <c r="P853" s="251"/>
      <c r="Q853" s="223">
        <f>ROUND(O853*$C853*$G$849,0)</f>
        <v>0</v>
      </c>
      <c r="R853" s="223"/>
      <c r="S853" s="246" t="str">
        <f>S829</f>
        <v xml:space="preserve"> </v>
      </c>
      <c r="T853" s="251"/>
      <c r="U853" s="223">
        <f>ROUND(S853*$C853*$G$849,0)</f>
        <v>0</v>
      </c>
      <c r="V853" s="44"/>
      <c r="W853" s="91"/>
      <c r="X853" s="91"/>
      <c r="Y853" s="91"/>
      <c r="Z853" s="44"/>
      <c r="AA853" s="44"/>
      <c r="AB853" s="44"/>
      <c r="AC853" s="44"/>
      <c r="AD853" s="44"/>
      <c r="AE853" s="44"/>
      <c r="AF853" s="44"/>
      <c r="AG853" s="44"/>
      <c r="AH853" s="44"/>
      <c r="AI853" s="44"/>
      <c r="AJ853" s="44"/>
      <c r="AK853" s="44"/>
      <c r="AL853" s="44"/>
      <c r="AM853" s="44"/>
      <c r="AN853" s="44"/>
      <c r="AO853" s="44"/>
      <c r="AP853" s="44"/>
    </row>
    <row r="854" spans="1:42" hidden="1" x14ac:dyDescent="0.25">
      <c r="A854" s="134" t="s">
        <v>193</v>
      </c>
      <c r="B854" s="149"/>
      <c r="C854" s="204">
        <v>0</v>
      </c>
      <c r="D854" s="246">
        <v>1504</v>
      </c>
      <c r="E854" s="251"/>
      <c r="F854" s="223">
        <f>ROUND(D854*C854,0)</f>
        <v>0</v>
      </c>
      <c r="G854" s="246">
        <f>G830</f>
        <v>1539</v>
      </c>
      <c r="H854" s="251"/>
      <c r="I854" s="223">
        <f>ROUND(G854*$C854*$G$849,0)</f>
        <v>0</v>
      </c>
      <c r="J854" s="223"/>
      <c r="K854" s="246">
        <f>K830</f>
        <v>1504</v>
      </c>
      <c r="L854" s="251"/>
      <c r="M854" s="223">
        <f>ROUND(K854*$C854*$G$849,0)</f>
        <v>0</v>
      </c>
      <c r="N854" s="223"/>
      <c r="O854" s="246" t="str">
        <f>O830</f>
        <v xml:space="preserve"> </v>
      </c>
      <c r="P854" s="251"/>
      <c r="Q854" s="223">
        <f>ROUND(O854*$C854*$G$849,0)</f>
        <v>0</v>
      </c>
      <c r="R854" s="223"/>
      <c r="S854" s="246" t="str">
        <f>S830</f>
        <v xml:space="preserve"> </v>
      </c>
      <c r="T854" s="251"/>
      <c r="U854" s="223">
        <f>ROUND(S854*$C854*$G$849,0)</f>
        <v>0</v>
      </c>
      <c r="V854" s="44"/>
      <c r="W854" s="91"/>
      <c r="X854" s="91"/>
      <c r="Y854" s="91"/>
      <c r="Z854" s="44"/>
      <c r="AA854" s="44"/>
      <c r="AB854" s="44"/>
      <c r="AC854" s="44"/>
      <c r="AD854" s="44"/>
      <c r="AE854" s="44"/>
      <c r="AF854" s="44"/>
      <c r="AG854" s="44"/>
      <c r="AH854" s="44"/>
      <c r="AI854" s="44"/>
      <c r="AJ854" s="44"/>
      <c r="AK854" s="44"/>
      <c r="AL854" s="44"/>
      <c r="AM854" s="44"/>
      <c r="AN854" s="44"/>
      <c r="AO854" s="44"/>
      <c r="AP854" s="44"/>
    </row>
    <row r="855" spans="1:42" hidden="1" x14ac:dyDescent="0.25">
      <c r="A855" s="134" t="s">
        <v>124</v>
      </c>
      <c r="B855" s="149"/>
      <c r="C855" s="204">
        <v>0</v>
      </c>
      <c r="D855" s="246">
        <v>26.02</v>
      </c>
      <c r="E855" s="251"/>
      <c r="F855" s="223">
        <f>ROUND(D855*C855,0)</f>
        <v>0</v>
      </c>
      <c r="G855" s="246">
        <f>G835</f>
        <v>26.63</v>
      </c>
      <c r="H855" s="251"/>
      <c r="I855" s="223">
        <f>ROUND(G855*$C855*$G$849,0)</f>
        <v>0</v>
      </c>
      <c r="J855" s="223"/>
      <c r="K855" s="246">
        <f>K835</f>
        <v>26.02</v>
      </c>
      <c r="L855" s="251"/>
      <c r="M855" s="223">
        <f>ROUND(K855*$C855*$G$849,0)</f>
        <v>0</v>
      </c>
      <c r="N855" s="223"/>
      <c r="O855" s="246" t="str">
        <f>O835</f>
        <v xml:space="preserve"> </v>
      </c>
      <c r="P855" s="251"/>
      <c r="Q855" s="223">
        <f>ROUND(O855*$C855*$G$849,0)</f>
        <v>0</v>
      </c>
      <c r="R855" s="223"/>
      <c r="S855" s="246" t="str">
        <f>S835</f>
        <v xml:space="preserve"> </v>
      </c>
      <c r="T855" s="251"/>
      <c r="U855" s="223">
        <f>ROUND(S855*$C855*$G$849,0)</f>
        <v>0</v>
      </c>
      <c r="V855" s="44"/>
      <c r="W855" s="91"/>
      <c r="X855" s="91"/>
      <c r="Y855" s="91"/>
      <c r="Z855" s="44"/>
      <c r="AA855" s="44"/>
      <c r="AB855" s="44"/>
      <c r="AC855" s="44"/>
      <c r="AD855" s="44"/>
      <c r="AE855" s="44"/>
      <c r="AF855" s="44"/>
      <c r="AG855" s="44"/>
      <c r="AH855" s="44"/>
      <c r="AI855" s="44"/>
      <c r="AJ855" s="44"/>
      <c r="AK855" s="44"/>
      <c r="AL855" s="44"/>
      <c r="AM855" s="44"/>
      <c r="AN855" s="44"/>
      <c r="AO855" s="44"/>
      <c r="AP855" s="44"/>
    </row>
    <row r="856" spans="1:42" hidden="1" x14ac:dyDescent="0.25">
      <c r="A856" s="134" t="s">
        <v>125</v>
      </c>
      <c r="B856" s="149"/>
      <c r="C856" s="204"/>
      <c r="D856" s="246"/>
      <c r="E856" s="251"/>
      <c r="F856" s="223"/>
      <c r="G856" s="246"/>
      <c r="H856" s="251"/>
      <c r="I856" s="223"/>
      <c r="J856" s="223"/>
      <c r="K856" s="246"/>
      <c r="L856" s="251"/>
      <c r="M856" s="223"/>
      <c r="N856" s="223"/>
      <c r="O856" s="246"/>
      <c r="P856" s="251"/>
      <c r="Q856" s="223"/>
      <c r="R856" s="223"/>
      <c r="S856" s="246"/>
      <c r="T856" s="251"/>
      <c r="U856" s="223"/>
      <c r="V856" s="44"/>
      <c r="W856" s="91"/>
      <c r="X856" s="91"/>
      <c r="Y856" s="91"/>
      <c r="Z856" s="44"/>
      <c r="AA856" s="44"/>
      <c r="AB856" s="44"/>
      <c r="AC856" s="44"/>
      <c r="AD856" s="44"/>
      <c r="AE856" s="44"/>
      <c r="AF856" s="44"/>
      <c r="AG856" s="44"/>
      <c r="AH856" s="44"/>
      <c r="AI856" s="44"/>
      <c r="AJ856" s="44"/>
      <c r="AK856" s="44"/>
      <c r="AL856" s="44"/>
      <c r="AM856" s="44"/>
      <c r="AN856" s="44"/>
      <c r="AO856" s="44"/>
      <c r="AP856" s="44"/>
    </row>
    <row r="857" spans="1:42" hidden="1" x14ac:dyDescent="0.25">
      <c r="A857" s="134" t="s">
        <v>191</v>
      </c>
      <c r="B857" s="149"/>
      <c r="C857" s="204">
        <v>0</v>
      </c>
      <c r="D857" s="246">
        <v>26.02</v>
      </c>
      <c r="E857" s="251"/>
      <c r="F857" s="223">
        <f>ROUND(D857*$C857*$D$745,0)</f>
        <v>0</v>
      </c>
      <c r="G857" s="246">
        <f>G837</f>
        <v>26.63</v>
      </c>
      <c r="H857" s="251"/>
      <c r="I857" s="223">
        <f>ROUND(G857*$C857*$G$849,0)</f>
        <v>0</v>
      </c>
      <c r="J857" s="223"/>
      <c r="K857" s="246">
        <f>K837</f>
        <v>26.02</v>
      </c>
      <c r="L857" s="251"/>
      <c r="M857" s="223">
        <f>ROUND(K857*$C857*$G$849,0)</f>
        <v>0</v>
      </c>
      <c r="N857" s="223"/>
      <c r="O857" s="246" t="str">
        <f>O837</f>
        <v xml:space="preserve"> </v>
      </c>
      <c r="P857" s="251"/>
      <c r="Q857" s="223">
        <f>ROUND(O857*$C857*$G$849,0)</f>
        <v>0</v>
      </c>
      <c r="R857" s="223"/>
      <c r="S857" s="246" t="str">
        <f>S837</f>
        <v xml:space="preserve"> </v>
      </c>
      <c r="T857" s="251"/>
      <c r="U857" s="223">
        <f>ROUND(S857*$C857*$G$849,0)</f>
        <v>0</v>
      </c>
      <c r="V857" s="44"/>
      <c r="W857" s="91"/>
      <c r="X857" s="91"/>
      <c r="Y857" s="91"/>
      <c r="Z857" s="44"/>
      <c r="AA857" s="44"/>
      <c r="AB857" s="44"/>
      <c r="AC857" s="44"/>
      <c r="AD857" s="44"/>
      <c r="AE857" s="44"/>
      <c r="AF857" s="44"/>
      <c r="AG857" s="44"/>
      <c r="AH857" s="44"/>
      <c r="AI857" s="44"/>
      <c r="AJ857" s="44"/>
      <c r="AK857" s="44"/>
      <c r="AL857" s="44"/>
      <c r="AM857" s="44"/>
      <c r="AN857" s="44"/>
      <c r="AO857" s="44"/>
      <c r="AP857" s="44"/>
    </row>
    <row r="858" spans="1:42" hidden="1" x14ac:dyDescent="0.25">
      <c r="A858" s="134" t="s">
        <v>192</v>
      </c>
      <c r="B858" s="149"/>
      <c r="C858" s="204">
        <v>0</v>
      </c>
      <c r="D858" s="246">
        <v>18.101388370764003</v>
      </c>
      <c r="E858" s="251"/>
      <c r="F858" s="223">
        <f>ROUND(D858*$C858*$D$745,0)</f>
        <v>0</v>
      </c>
      <c r="G858" s="246">
        <f>G838</f>
        <v>18.526286850528336</v>
      </c>
      <c r="H858" s="251"/>
      <c r="I858" s="223">
        <f>ROUND(G858*$C858*$G$849,0)</f>
        <v>0</v>
      </c>
      <c r="J858" s="223"/>
      <c r="K858" s="246">
        <f>K838</f>
        <v>18.101388370764003</v>
      </c>
      <c r="L858" s="251"/>
      <c r="M858" s="223">
        <f>ROUND(K858*$C858*$G$849,0)</f>
        <v>0</v>
      </c>
      <c r="N858" s="223"/>
      <c r="O858" s="246" t="str">
        <f>O838</f>
        <v xml:space="preserve"> </v>
      </c>
      <c r="P858" s="251"/>
      <c r="Q858" s="223">
        <f>ROUND(O858*$C858*$G$849,0)</f>
        <v>0</v>
      </c>
      <c r="R858" s="223"/>
      <c r="S858" s="246" t="str">
        <f>S838</f>
        <v xml:space="preserve"> </v>
      </c>
      <c r="T858" s="251"/>
      <c r="U858" s="223">
        <f>ROUND(S858*$C858*$G$849,0)</f>
        <v>0</v>
      </c>
      <c r="V858" s="44"/>
      <c r="W858" s="91"/>
      <c r="X858" s="91"/>
      <c r="Y858" s="91"/>
      <c r="Z858" s="44"/>
      <c r="AA858" s="44"/>
      <c r="AB858" s="44"/>
      <c r="AC858" s="44"/>
      <c r="AD858" s="44"/>
      <c r="AE858" s="44"/>
      <c r="AF858" s="44"/>
      <c r="AG858" s="44"/>
      <c r="AH858" s="44"/>
      <c r="AI858" s="44"/>
      <c r="AJ858" s="44"/>
      <c r="AK858" s="44"/>
      <c r="AL858" s="44"/>
      <c r="AM858" s="44"/>
      <c r="AN858" s="44"/>
      <c r="AO858" s="44"/>
      <c r="AP858" s="44"/>
    </row>
    <row r="859" spans="1:42" hidden="1" x14ac:dyDescent="0.25">
      <c r="A859" s="134" t="s">
        <v>193</v>
      </c>
      <c r="B859" s="149"/>
      <c r="C859" s="204">
        <v>0</v>
      </c>
      <c r="D859" s="246">
        <v>14.155824964645021</v>
      </c>
      <c r="E859" s="251"/>
      <c r="F859" s="223">
        <f>ROUND(D859*$C859*$D$745,0)</f>
        <v>0</v>
      </c>
      <c r="G859" s="246">
        <f>G839</f>
        <v>14.48810823397713</v>
      </c>
      <c r="H859" s="251"/>
      <c r="I859" s="223">
        <f>ROUND(G859*$C859*$G$849,0)</f>
        <v>0</v>
      </c>
      <c r="J859" s="223"/>
      <c r="K859" s="246">
        <f>K839</f>
        <v>14.155824964645021</v>
      </c>
      <c r="L859" s="251"/>
      <c r="M859" s="223">
        <f>ROUND(K859*$C859*$G$849,0)</f>
        <v>0</v>
      </c>
      <c r="N859" s="223"/>
      <c r="O859" s="246" t="str">
        <f>O839</f>
        <v xml:space="preserve"> </v>
      </c>
      <c r="P859" s="251"/>
      <c r="Q859" s="223">
        <f>ROUND(O859*$C859*$G$849,0)</f>
        <v>0</v>
      </c>
      <c r="R859" s="223"/>
      <c r="S859" s="246" t="str">
        <f>S839</f>
        <v xml:space="preserve"> </v>
      </c>
      <c r="T859" s="251"/>
      <c r="U859" s="223">
        <f>ROUND(S859*$C859*$G$849,0)</f>
        <v>0</v>
      </c>
      <c r="V859" s="44"/>
      <c r="W859" s="91"/>
      <c r="X859" s="91"/>
      <c r="Y859" s="91"/>
      <c r="Z859" s="44"/>
      <c r="AA859" s="44"/>
      <c r="AB859" s="44"/>
      <c r="AC859" s="44"/>
      <c r="AD859" s="44"/>
      <c r="AE859" s="44"/>
      <c r="AF859" s="44"/>
      <c r="AG859" s="44"/>
      <c r="AH859" s="44"/>
      <c r="AI859" s="44"/>
      <c r="AJ859" s="44"/>
      <c r="AK859" s="44"/>
      <c r="AL859" s="44"/>
      <c r="AM859" s="44"/>
      <c r="AN859" s="44"/>
      <c r="AO859" s="44"/>
      <c r="AP859" s="44"/>
    </row>
    <row r="860" spans="1:42" hidden="1" x14ac:dyDescent="0.25">
      <c r="A860" s="134" t="s">
        <v>207</v>
      </c>
      <c r="B860" s="149"/>
      <c r="C860" s="204">
        <v>0</v>
      </c>
      <c r="D860" s="250">
        <v>78.06</v>
      </c>
      <c r="E860" s="251"/>
      <c r="F860" s="223">
        <f>ROUND(D860*$C860*$D$745,0)</f>
        <v>0</v>
      </c>
      <c r="G860" s="250">
        <f>G840</f>
        <v>79.89</v>
      </c>
      <c r="H860" s="251"/>
      <c r="I860" s="223">
        <f>ROUND(G860*$C860*$G$849,0)</f>
        <v>0</v>
      </c>
      <c r="J860" s="223"/>
      <c r="K860" s="250">
        <f>K840</f>
        <v>78.06</v>
      </c>
      <c r="L860" s="251"/>
      <c r="M860" s="223">
        <f>ROUND(K860*$C860*$G$849,0)</f>
        <v>0</v>
      </c>
      <c r="N860" s="223"/>
      <c r="O860" s="250" t="str">
        <f>O840</f>
        <v xml:space="preserve"> </v>
      </c>
      <c r="P860" s="251"/>
      <c r="Q860" s="223">
        <f>ROUND(O860*$C860*$G$849,0)</f>
        <v>0</v>
      </c>
      <c r="R860" s="223"/>
      <c r="S860" s="250" t="str">
        <f>S840</f>
        <v xml:space="preserve"> </v>
      </c>
      <c r="T860" s="251"/>
      <c r="U860" s="223">
        <f>ROUND(S860*$C860*$G$849,0)</f>
        <v>0</v>
      </c>
      <c r="V860" s="44"/>
      <c r="W860" s="91"/>
      <c r="X860" s="91"/>
      <c r="Y860" s="91"/>
      <c r="Z860" s="44"/>
      <c r="AA860" s="44"/>
      <c r="AB860" s="44"/>
      <c r="AC860" s="44"/>
      <c r="AD860" s="44"/>
      <c r="AE860" s="44"/>
      <c r="AF860" s="44"/>
      <c r="AG860" s="44"/>
      <c r="AH860" s="44"/>
      <c r="AI860" s="44"/>
      <c r="AJ860" s="44"/>
      <c r="AK860" s="44"/>
      <c r="AL860" s="44"/>
      <c r="AM860" s="44"/>
      <c r="AN860" s="44"/>
      <c r="AO860" s="44"/>
      <c r="AP860" s="44"/>
    </row>
    <row r="861" spans="1:42" hidden="1" x14ac:dyDescent="0.25">
      <c r="A861" s="134" t="s">
        <v>208</v>
      </c>
      <c r="B861" s="149"/>
      <c r="C861" s="204">
        <v>0</v>
      </c>
      <c r="D861" s="250">
        <v>156.12</v>
      </c>
      <c r="E861" s="251"/>
      <c r="F861" s="223">
        <f>ROUND(D861*$C861*$D$745,0)</f>
        <v>0</v>
      </c>
      <c r="G861" s="250">
        <f>G841</f>
        <v>159.78</v>
      </c>
      <c r="H861" s="251"/>
      <c r="I861" s="223">
        <f>ROUND(G861*$C861*$G$849,0)</f>
        <v>0</v>
      </c>
      <c r="J861" s="223"/>
      <c r="K861" s="250">
        <f>K841</f>
        <v>156.12</v>
      </c>
      <c r="L861" s="251"/>
      <c r="M861" s="223">
        <f>ROUND(K861*$C861*$G$849,0)</f>
        <v>0</v>
      </c>
      <c r="N861" s="223"/>
      <c r="O861" s="250" t="str">
        <f>O841</f>
        <v xml:space="preserve"> </v>
      </c>
      <c r="P861" s="251"/>
      <c r="Q861" s="223">
        <f>ROUND(O861*$C861*$G$849,0)</f>
        <v>0</v>
      </c>
      <c r="R861" s="223"/>
      <c r="S861" s="250" t="str">
        <f>S841</f>
        <v xml:space="preserve"> </v>
      </c>
      <c r="T861" s="251"/>
      <c r="U861" s="223">
        <f>ROUND(S861*$C861*$G$849,0)</f>
        <v>0</v>
      </c>
      <c r="V861" s="44"/>
      <c r="W861" s="91"/>
      <c r="X861" s="91"/>
      <c r="Y861" s="91"/>
      <c r="Z861" s="44"/>
      <c r="AA861" s="44"/>
      <c r="AB861" s="44"/>
      <c r="AC861" s="44"/>
      <c r="AD861" s="44"/>
      <c r="AE861" s="44"/>
      <c r="AF861" s="44"/>
      <c r="AG861" s="44"/>
      <c r="AH861" s="44"/>
      <c r="AI861" s="44"/>
      <c r="AJ861" s="44"/>
      <c r="AK861" s="44"/>
      <c r="AL861" s="44"/>
      <c r="AM861" s="44"/>
      <c r="AN861" s="44"/>
      <c r="AO861" s="44"/>
      <c r="AP861" s="44"/>
    </row>
    <row r="862" spans="1:42" hidden="1" x14ac:dyDescent="0.25">
      <c r="A862" s="134" t="s">
        <v>201</v>
      </c>
      <c r="B862" s="149"/>
      <c r="C862" s="204"/>
      <c r="D862" s="226"/>
      <c r="E862" s="251"/>
      <c r="F862" s="223"/>
      <c r="G862" s="226"/>
      <c r="H862" s="251"/>
      <c r="I862" s="223"/>
      <c r="J862" s="223"/>
      <c r="K862" s="226"/>
      <c r="L862" s="251"/>
      <c r="M862" s="223"/>
      <c r="N862" s="223"/>
      <c r="O862" s="226"/>
      <c r="P862" s="251"/>
      <c r="Q862" s="223"/>
      <c r="R862" s="223"/>
      <c r="S862" s="226"/>
      <c r="T862" s="251"/>
      <c r="U862" s="223"/>
      <c r="V862" s="44"/>
      <c r="W862" s="91"/>
      <c r="X862" s="91"/>
      <c r="Y862" s="91"/>
      <c r="Z862" s="44"/>
      <c r="AA862" s="44"/>
      <c r="AB862" s="44"/>
      <c r="AC862" s="44"/>
      <c r="AD862" s="44"/>
      <c r="AE862" s="44"/>
      <c r="AF862" s="44"/>
      <c r="AG862" s="44"/>
      <c r="AH862" s="44"/>
      <c r="AI862" s="44"/>
      <c r="AJ862" s="44"/>
      <c r="AK862" s="44"/>
      <c r="AL862" s="44"/>
      <c r="AM862" s="44"/>
      <c r="AN862" s="44"/>
      <c r="AO862" s="44"/>
      <c r="AP862" s="44"/>
    </row>
    <row r="863" spans="1:42" hidden="1" x14ac:dyDescent="0.25">
      <c r="A863" s="134" t="s">
        <v>197</v>
      </c>
      <c r="B863" s="149"/>
      <c r="C863" s="204">
        <v>0</v>
      </c>
      <c r="D863" s="250">
        <v>-26.02</v>
      </c>
      <c r="E863" s="251"/>
      <c r="F863" s="223">
        <f>ROUND(D863*$C863*$D$745,0)</f>
        <v>0</v>
      </c>
      <c r="G863" s="250">
        <f>G843</f>
        <v>-26.63</v>
      </c>
      <c r="H863" s="251"/>
      <c r="I863" s="223">
        <f>ROUND(G863*$C863*$G$849,0)</f>
        <v>0</v>
      </c>
      <c r="J863" s="223"/>
      <c r="K863" s="250">
        <f>K843</f>
        <v>-26.02</v>
      </c>
      <c r="L863" s="251"/>
      <c r="M863" s="223">
        <f>ROUND(K863*$C863*$G$849,0)</f>
        <v>0</v>
      </c>
      <c r="N863" s="223"/>
      <c r="O863" s="250">
        <f>O843</f>
        <v>0</v>
      </c>
      <c r="P863" s="251"/>
      <c r="Q863" s="223">
        <f>ROUND(O863*$C863*$G$849,0)</f>
        <v>0</v>
      </c>
      <c r="R863" s="223"/>
      <c r="S863" s="250">
        <f>S843</f>
        <v>0</v>
      </c>
      <c r="T863" s="251"/>
      <c r="U863" s="223">
        <f>ROUND(S863*$C863*$G$849,0)</f>
        <v>0</v>
      </c>
      <c r="V863" s="44"/>
      <c r="W863" s="91"/>
      <c r="X863" s="91"/>
      <c r="Y863" s="91"/>
      <c r="Z863" s="44"/>
      <c r="AA863" s="44"/>
      <c r="AB863" s="44"/>
      <c r="AC863" s="44"/>
      <c r="AD863" s="44"/>
      <c r="AE863" s="44"/>
      <c r="AF863" s="44"/>
      <c r="AG863" s="44"/>
      <c r="AH863" s="44"/>
      <c r="AI863" s="44"/>
      <c r="AJ863" s="44"/>
      <c r="AK863" s="44"/>
      <c r="AL863" s="44"/>
      <c r="AM863" s="44"/>
      <c r="AN863" s="44"/>
      <c r="AO863" s="44"/>
      <c r="AP863" s="44"/>
    </row>
    <row r="864" spans="1:42" hidden="1" x14ac:dyDescent="0.25">
      <c r="A864" s="134" t="s">
        <v>202</v>
      </c>
      <c r="B864" s="149"/>
      <c r="C864" s="204">
        <v>0</v>
      </c>
      <c r="D864" s="250">
        <v>-26.02</v>
      </c>
      <c r="E864" s="251"/>
      <c r="F864" s="223">
        <f>ROUND(D864*$C864*$D$745,0)</f>
        <v>0</v>
      </c>
      <c r="G864" s="250">
        <f>G844</f>
        <v>-26.63</v>
      </c>
      <c r="H864" s="251"/>
      <c r="I864" s="223">
        <f>ROUND(G864*$C864*$G$849,0)</f>
        <v>0</v>
      </c>
      <c r="J864" s="223"/>
      <c r="K864" s="250">
        <f>K844</f>
        <v>-26.02</v>
      </c>
      <c r="L864" s="251"/>
      <c r="M864" s="223">
        <f>ROUND(K864*$C864*$G$849,0)</f>
        <v>0</v>
      </c>
      <c r="N864" s="223"/>
      <c r="O864" s="250">
        <f>O844</f>
        <v>0</v>
      </c>
      <c r="P864" s="251"/>
      <c r="Q864" s="223">
        <f>ROUND(O864*$C864*$G$849,0)</f>
        <v>0</v>
      </c>
      <c r="R864" s="223"/>
      <c r="S864" s="250">
        <f>S844</f>
        <v>0</v>
      </c>
      <c r="T864" s="251"/>
      <c r="U864" s="223">
        <f>ROUND(S864*$C864*$G$849,0)</f>
        <v>0</v>
      </c>
      <c r="V864" s="44"/>
      <c r="W864" s="91"/>
      <c r="X864" s="91"/>
      <c r="Y864" s="91"/>
      <c r="Z864" s="44"/>
      <c r="AA864" s="44"/>
      <c r="AB864" s="44"/>
      <c r="AC864" s="44"/>
      <c r="AD864" s="44"/>
      <c r="AE864" s="44"/>
      <c r="AF864" s="44"/>
      <c r="AG864" s="44"/>
      <c r="AH864" s="44"/>
      <c r="AI864" s="44"/>
      <c r="AJ864" s="44"/>
      <c r="AK864" s="44"/>
      <c r="AL864" s="44"/>
      <c r="AM864" s="44"/>
      <c r="AN864" s="44"/>
      <c r="AO864" s="44"/>
      <c r="AP864" s="44"/>
    </row>
    <row r="865" spans="1:44" hidden="1" x14ac:dyDescent="0.25">
      <c r="A865" s="206" t="s">
        <v>164</v>
      </c>
      <c r="B865" s="149"/>
      <c r="C865" s="204"/>
      <c r="D865" s="246"/>
      <c r="E865" s="223"/>
      <c r="F865" s="223"/>
      <c r="G865" s="246"/>
      <c r="H865" s="223"/>
      <c r="I865" s="223"/>
      <c r="J865" s="223"/>
      <c r="K865" s="246"/>
      <c r="L865" s="223"/>
      <c r="M865" s="223"/>
      <c r="N865" s="223"/>
      <c r="O865" s="246"/>
      <c r="P865" s="223"/>
      <c r="Q865" s="223"/>
      <c r="R865" s="223"/>
      <c r="S865" s="246"/>
      <c r="T865" s="223"/>
      <c r="U865" s="223"/>
      <c r="V865" s="44"/>
      <c r="W865" s="91"/>
      <c r="X865" s="91"/>
      <c r="Y865" s="91"/>
      <c r="Z865" s="44"/>
      <c r="AA865" s="44"/>
      <c r="AB865" s="44"/>
      <c r="AC865" s="44"/>
      <c r="AD865" s="44"/>
      <c r="AE865" s="44"/>
      <c r="AF865" s="44"/>
      <c r="AG865" s="44"/>
      <c r="AH865" s="44"/>
      <c r="AI865" s="44"/>
      <c r="AJ865" s="44"/>
      <c r="AK865" s="44"/>
      <c r="AL865" s="44"/>
      <c r="AM865" s="44"/>
      <c r="AN865" s="44"/>
      <c r="AO865" s="44"/>
      <c r="AP865" s="44"/>
    </row>
    <row r="866" spans="1:44" hidden="1" x14ac:dyDescent="0.25">
      <c r="A866" s="134" t="s">
        <v>203</v>
      </c>
      <c r="B866" s="149"/>
      <c r="C866" s="204">
        <v>0</v>
      </c>
      <c r="D866" s="301">
        <v>7.0350000000000001</v>
      </c>
      <c r="E866" s="223" t="s">
        <v>89</v>
      </c>
      <c r="F866" s="223">
        <f>ROUND(D866/100*C866*$D$745,0)</f>
        <v>0</v>
      </c>
      <c r="G866" s="301">
        <f>G846</f>
        <v>7.2030000000000003</v>
      </c>
      <c r="H866" s="223" t="s">
        <v>89</v>
      </c>
      <c r="I866" s="223">
        <f>ROUND(G866/100*$C866*$G$849,0)</f>
        <v>0</v>
      </c>
      <c r="J866" s="223"/>
      <c r="K866" s="301" t="e">
        <f>K846</f>
        <v>#REF!</v>
      </c>
      <c r="L866" s="223" t="s">
        <v>89</v>
      </c>
      <c r="M866" s="223" t="e">
        <f>ROUND(K866/100*$C866*$G$849,0)</f>
        <v>#REF!</v>
      </c>
      <c r="N866" s="223"/>
      <c r="O866" s="301" t="e">
        <f>O846</f>
        <v>#DIV/0!</v>
      </c>
      <c r="P866" s="223" t="s">
        <v>89</v>
      </c>
      <c r="Q866" s="223" t="e">
        <f>ROUND(O866/100*$C866*$G$849,0)</f>
        <v>#DIV/0!</v>
      </c>
      <c r="R866" s="223"/>
      <c r="S866" s="301" t="e">
        <f>S846</f>
        <v>#DIV/0!</v>
      </c>
      <c r="T866" s="223" t="s">
        <v>89</v>
      </c>
      <c r="U866" s="223" t="e">
        <f>ROUND(S866/100*$C866*$G$849,0)</f>
        <v>#DIV/0!</v>
      </c>
      <c r="V866" s="44"/>
      <c r="W866" s="91"/>
      <c r="X866" s="91"/>
      <c r="Y866" s="91"/>
      <c r="Z866" s="44"/>
      <c r="AA866" s="44"/>
      <c r="AB866" s="44"/>
      <c r="AC866" s="44"/>
      <c r="AD866" s="44"/>
      <c r="AE866" s="44"/>
      <c r="AF866" s="44"/>
      <c r="AG866" s="44"/>
      <c r="AH866" s="44"/>
      <c r="AI866" s="44"/>
      <c r="AJ866" s="44"/>
      <c r="AK866" s="44"/>
      <c r="AL866" s="44"/>
      <c r="AM866" s="44"/>
      <c r="AN866" s="44"/>
      <c r="AO866" s="44"/>
      <c r="AP866" s="44"/>
    </row>
    <row r="867" spans="1:44" hidden="1" x14ac:dyDescent="0.25">
      <c r="A867" s="206" t="s">
        <v>133</v>
      </c>
      <c r="B867" s="149"/>
      <c r="C867" s="204">
        <v>0</v>
      </c>
      <c r="D867" s="262">
        <v>57</v>
      </c>
      <c r="E867" s="206" t="s">
        <v>89</v>
      </c>
      <c r="F867" s="223">
        <f>ROUND(D867/100*C867*$D$745,0)</f>
        <v>0</v>
      </c>
      <c r="G867" s="262">
        <f>G847</f>
        <v>58</v>
      </c>
      <c r="H867" s="206" t="s">
        <v>89</v>
      </c>
      <c r="I867" s="223">
        <f>ROUND(G867/100*$C867*$G$849,0)</f>
        <v>0</v>
      </c>
      <c r="J867" s="223"/>
      <c r="K867" s="262" t="str">
        <f>K847</f>
        <v xml:space="preserve"> </v>
      </c>
      <c r="L867" s="206" t="s">
        <v>89</v>
      </c>
      <c r="M867" s="223">
        <f>ROUND(K867/100*$C867*$G$849,0)</f>
        <v>0</v>
      </c>
      <c r="N867" s="223"/>
      <c r="O867" s="262" t="e">
        <f>O847</f>
        <v>#DIV/0!</v>
      </c>
      <c r="P867" s="206" t="s">
        <v>89</v>
      </c>
      <c r="Q867" s="223" t="e">
        <f>ROUND(O867/100*$C867*$G$849,0)</f>
        <v>#DIV/0!</v>
      </c>
      <c r="R867" s="223"/>
      <c r="S867" s="262" t="e">
        <f>S847</f>
        <v>#DIV/0!</v>
      </c>
      <c r="T867" s="206" t="s">
        <v>89</v>
      </c>
      <c r="U867" s="223" t="e">
        <f>ROUND(S867/100*$C867*$G$849,0)</f>
        <v>#DIV/0!</v>
      </c>
      <c r="V867" s="44"/>
      <c r="W867" s="91"/>
      <c r="X867" s="91"/>
      <c r="Y867" s="91"/>
      <c r="Z867" s="44"/>
      <c r="AA867" s="44"/>
      <c r="AB867" s="44"/>
      <c r="AC867" s="44"/>
      <c r="AD867" s="44"/>
      <c r="AE867" s="44"/>
      <c r="AF867" s="44"/>
      <c r="AG867" s="44"/>
      <c r="AH867" s="44"/>
      <c r="AI867" s="44"/>
      <c r="AJ867" s="44"/>
      <c r="AK867" s="44"/>
      <c r="AL867" s="44"/>
      <c r="AM867" s="44"/>
      <c r="AN867" s="44"/>
      <c r="AO867" s="44"/>
      <c r="AP867" s="44"/>
    </row>
    <row r="868" spans="1:44" hidden="1" x14ac:dyDescent="0.25">
      <c r="A868" s="206" t="s">
        <v>182</v>
      </c>
      <c r="B868" s="149"/>
      <c r="C868" s="204">
        <v>0</v>
      </c>
      <c r="D868" s="173">
        <v>60</v>
      </c>
      <c r="E868" s="149"/>
      <c r="F868" s="223">
        <f>ROUND(D868*$C868,0)</f>
        <v>0</v>
      </c>
      <c r="G868" s="173">
        <f>$G$764</f>
        <v>60</v>
      </c>
      <c r="H868" s="149"/>
      <c r="I868" s="223">
        <f>ROUND(G868*$C868,0)</f>
        <v>0</v>
      </c>
      <c r="J868" s="223"/>
      <c r="K868" s="173" t="str">
        <f>$K$764</f>
        <v xml:space="preserve"> </v>
      </c>
      <c r="L868" s="149"/>
      <c r="M868" s="223">
        <f>ROUND(K868*$C868,0)</f>
        <v>0</v>
      </c>
      <c r="N868" s="223"/>
      <c r="O868" s="173" t="e">
        <f>$O$764</f>
        <v>#DIV/0!</v>
      </c>
      <c r="P868" s="149"/>
      <c r="Q868" s="223" t="e">
        <f>ROUND(O868*$C868,0)</f>
        <v>#DIV/0!</v>
      </c>
      <c r="R868" s="223"/>
      <c r="S868" s="173" t="e">
        <f>$S$764</f>
        <v>#DIV/0!</v>
      </c>
      <c r="T868" s="149"/>
      <c r="U868" s="223" t="e">
        <f>ROUND(S868*$C868,0)</f>
        <v>#DIV/0!</v>
      </c>
      <c r="V868" s="44"/>
      <c r="W868" s="243" t="s">
        <v>0</v>
      </c>
      <c r="X868" s="91"/>
      <c r="Y868" s="91"/>
      <c r="Z868" s="44"/>
      <c r="AA868" s="44"/>
      <c r="AB868" s="44"/>
      <c r="AC868" s="44"/>
      <c r="AD868" s="44"/>
      <c r="AE868" s="44"/>
      <c r="AF868" s="44"/>
      <c r="AG868" s="44"/>
      <c r="AH868" s="44"/>
      <c r="AI868" s="44"/>
      <c r="AJ868" s="44"/>
      <c r="AK868" s="44"/>
      <c r="AL868" s="44"/>
      <c r="AM868" s="44"/>
      <c r="AN868" s="44"/>
      <c r="AO868" s="44"/>
      <c r="AP868" s="44"/>
    </row>
    <row r="869" spans="1:44" hidden="1" x14ac:dyDescent="0.25">
      <c r="A869" s="206" t="s">
        <v>183</v>
      </c>
      <c r="B869" s="149"/>
      <c r="C869" s="204">
        <v>0</v>
      </c>
      <c r="D869" s="227">
        <v>-30</v>
      </c>
      <c r="E869" s="223" t="s">
        <v>89</v>
      </c>
      <c r="F869" s="223">
        <f>ROUND(D869*$C869/100,0)</f>
        <v>0</v>
      </c>
      <c r="G869" s="227">
        <f>$G$765</f>
        <v>-30</v>
      </c>
      <c r="H869" s="223" t="s">
        <v>89</v>
      </c>
      <c r="I869" s="223">
        <f>ROUND(G869*$C869/100,0)</f>
        <v>0</v>
      </c>
      <c r="J869" s="223"/>
      <c r="K869" s="227">
        <f>$K$765</f>
        <v>-30</v>
      </c>
      <c r="L869" s="223" t="s">
        <v>89</v>
      </c>
      <c r="M869" s="223">
        <f>ROUND(K869*$C869/100,0)</f>
        <v>0</v>
      </c>
      <c r="N869" s="223"/>
      <c r="O869" s="227">
        <f>$O$765</f>
        <v>0</v>
      </c>
      <c r="P869" s="223" t="s">
        <v>89</v>
      </c>
      <c r="Q869" s="223">
        <f>ROUND(O869*$C869/100,0)</f>
        <v>0</v>
      </c>
      <c r="R869" s="223"/>
      <c r="S869" s="227">
        <f>$S$765</f>
        <v>0</v>
      </c>
      <c r="T869" s="223" t="s">
        <v>89</v>
      </c>
      <c r="U869" s="223">
        <f>ROUND(S869*$C869/100,0)</f>
        <v>0</v>
      </c>
      <c r="V869" s="44"/>
      <c r="W869" s="91"/>
      <c r="X869" s="91"/>
      <c r="Y869" s="91"/>
      <c r="Z869" s="44"/>
      <c r="AA869" s="44"/>
      <c r="AB869" s="44"/>
      <c r="AC869" s="44"/>
      <c r="AD869" s="44"/>
      <c r="AE869" s="44"/>
      <c r="AF869" s="44"/>
      <c r="AG869" s="44"/>
      <c r="AH869" s="44"/>
      <c r="AI869" s="44"/>
      <c r="AJ869" s="44"/>
      <c r="AK869" s="44"/>
      <c r="AL869" s="44"/>
      <c r="AM869" s="44"/>
      <c r="AN869" s="44"/>
      <c r="AO869" s="44"/>
      <c r="AP869" s="44"/>
    </row>
    <row r="870" spans="1:44" s="120" customFormat="1" hidden="1" x14ac:dyDescent="0.25">
      <c r="A870" s="119" t="s">
        <v>204</v>
      </c>
      <c r="C870" s="121">
        <f>C866</f>
        <v>0</v>
      </c>
      <c r="D870" s="128">
        <v>0</v>
      </c>
      <c r="E870" s="122"/>
      <c r="F870" s="123"/>
      <c r="G870" s="308">
        <f>G766</f>
        <v>0</v>
      </c>
      <c r="H870" s="256" t="s">
        <v>89</v>
      </c>
      <c r="I870" s="223">
        <f>ROUND(G870/100*$C870*$G$849,0)</f>
        <v>0</v>
      </c>
      <c r="J870" s="223"/>
      <c r="K870" s="308" t="str">
        <f>K766</f>
        <v xml:space="preserve"> </v>
      </c>
      <c r="L870" s="256" t="s">
        <v>89</v>
      </c>
      <c r="M870" s="223">
        <f>ROUND(K870/100*$C870*$G$849,0)</f>
        <v>0</v>
      </c>
      <c r="N870" s="223"/>
      <c r="O870" s="308" t="str">
        <f>O766</f>
        <v xml:space="preserve"> </v>
      </c>
      <c r="P870" s="256" t="s">
        <v>89</v>
      </c>
      <c r="Q870" s="223">
        <f>ROUND(O870/100*$C870*$G$849,0)</f>
        <v>0</v>
      </c>
      <c r="R870" s="223"/>
      <c r="S870" s="308">
        <f>S766</f>
        <v>0</v>
      </c>
      <c r="T870" s="256" t="s">
        <v>89</v>
      </c>
      <c r="U870" s="223">
        <f>ROUND(S870/100*$C870*$G$849,0)</f>
        <v>0</v>
      </c>
      <c r="W870" s="112"/>
      <c r="Z870" s="127"/>
      <c r="AA870" s="127"/>
      <c r="AF870" s="122"/>
      <c r="AG870" s="122"/>
      <c r="AH870" s="122"/>
      <c r="AI870" s="122"/>
      <c r="AJ870" s="122"/>
      <c r="AK870" s="122"/>
      <c r="AL870" s="122"/>
      <c r="AM870" s="122"/>
      <c r="AN870" s="122"/>
      <c r="AO870" s="122"/>
      <c r="AP870" s="122"/>
      <c r="AR870" s="126"/>
    </row>
    <row r="871" spans="1:44" hidden="1" x14ac:dyDescent="0.25">
      <c r="A871" s="149" t="s">
        <v>114</v>
      </c>
      <c r="B871" s="149"/>
      <c r="C871" s="204">
        <f>SUM(C846:C846)</f>
        <v>48181287</v>
      </c>
      <c r="D871" s="212"/>
      <c r="E871" s="206"/>
      <c r="F871" s="111">
        <f>SUM(F826:F869)</f>
        <v>4121159</v>
      </c>
      <c r="G871" s="212"/>
      <c r="H871" s="206"/>
      <c r="I871" s="111">
        <f>SUM(I826:I870)</f>
        <v>4219243</v>
      </c>
      <c r="J871" s="111"/>
      <c r="K871" s="212"/>
      <c r="L871" s="206"/>
      <c r="M871" s="111" t="e">
        <f>SUM(M826:M870)</f>
        <v>#REF!</v>
      </c>
      <c r="N871" s="111"/>
      <c r="O871" s="212"/>
      <c r="P871" s="206"/>
      <c r="Q871" s="111" t="e">
        <f>SUM(Q826:Q870)</f>
        <v>#DIV/0!</v>
      </c>
      <c r="R871" s="111"/>
      <c r="S871" s="212"/>
      <c r="T871" s="206"/>
      <c r="U871" s="111" t="e">
        <f>SUM(U826:U870)</f>
        <v>#DIV/0!</v>
      </c>
      <c r="V871" s="44"/>
      <c r="W871" s="91"/>
      <c r="X871" s="91"/>
      <c r="Y871" s="91"/>
      <c r="Z871" s="44"/>
      <c r="AA871" s="44"/>
      <c r="AB871" s="44"/>
      <c r="AC871" s="44"/>
      <c r="AD871" s="44"/>
      <c r="AE871" s="44"/>
      <c r="AF871" s="44"/>
      <c r="AG871" s="44"/>
      <c r="AH871" s="44"/>
      <c r="AI871" s="44"/>
      <c r="AJ871" s="44"/>
      <c r="AK871" s="44"/>
      <c r="AL871" s="44"/>
      <c r="AM871" s="44"/>
      <c r="AN871" s="44"/>
      <c r="AO871" s="44"/>
      <c r="AP871" s="44"/>
    </row>
    <row r="872" spans="1:44" hidden="1" x14ac:dyDescent="0.25">
      <c r="A872" s="149" t="s">
        <v>92</v>
      </c>
      <c r="B872" s="149"/>
      <c r="C872" s="248">
        <v>665268.792704936</v>
      </c>
      <c r="D872" s="134"/>
      <c r="E872" s="134"/>
      <c r="F872" s="132">
        <v>50732.788498398135</v>
      </c>
      <c r="G872" s="134"/>
      <c r="H872" s="134"/>
      <c r="I872" s="132">
        <f>F872</f>
        <v>50732.788498398135</v>
      </c>
      <c r="J872" s="133"/>
      <c r="K872" s="134"/>
      <c r="L872" s="134"/>
      <c r="M872" s="132" t="e">
        <f>M768/I768*I872</f>
        <v>#DIV/0!</v>
      </c>
      <c r="N872" s="133"/>
      <c r="O872" s="134"/>
      <c r="P872" s="134"/>
      <c r="Q872" s="132" t="e">
        <f>Q768/I768*I872</f>
        <v>#DIV/0!</v>
      </c>
      <c r="R872" s="133"/>
      <c r="S872" s="134"/>
      <c r="T872" s="134"/>
      <c r="U872" s="132" t="e">
        <f>U768/I768*I872</f>
        <v>#DIV/0!</v>
      </c>
      <c r="V872" s="165"/>
      <c r="W872" s="163"/>
      <c r="X872" s="91"/>
      <c r="Y872" s="91"/>
      <c r="Z872" s="44"/>
      <c r="AA872" s="44"/>
      <c r="AB872" s="44"/>
      <c r="AC872" s="44"/>
      <c r="AD872" s="44"/>
      <c r="AE872" s="44"/>
      <c r="AF872" s="44"/>
      <c r="AG872" s="44"/>
      <c r="AH872" s="44"/>
      <c r="AI872" s="44"/>
      <c r="AJ872" s="44"/>
      <c r="AK872" s="44"/>
      <c r="AL872" s="44"/>
      <c r="AM872" s="44"/>
      <c r="AN872" s="44"/>
      <c r="AO872" s="44"/>
      <c r="AP872" s="44"/>
    </row>
    <row r="873" spans="1:44" ht="16.5" hidden="1" thickBot="1" x14ac:dyDescent="0.3">
      <c r="A873" s="149" t="s">
        <v>115</v>
      </c>
      <c r="B873" s="149"/>
      <c r="C873" s="265">
        <f>SUM(C871:C872)</f>
        <v>48846555.792704932</v>
      </c>
      <c r="D873" s="245"/>
      <c r="E873" s="232"/>
      <c r="F873" s="233">
        <f>F871+F872</f>
        <v>4171891.7884983979</v>
      </c>
      <c r="G873" s="245"/>
      <c r="H873" s="232"/>
      <c r="I873" s="233">
        <f>I871+I872</f>
        <v>4269975.7884983979</v>
      </c>
      <c r="J873" s="207"/>
      <c r="K873" s="245"/>
      <c r="L873" s="232"/>
      <c r="M873" s="233" t="e">
        <f>M871+M872</f>
        <v>#REF!</v>
      </c>
      <c r="N873" s="233"/>
      <c r="O873" s="245"/>
      <c r="P873" s="232"/>
      <c r="Q873" s="233" t="e">
        <f>Q871+Q872</f>
        <v>#DIV/0!</v>
      </c>
      <c r="R873" s="233"/>
      <c r="S873" s="245"/>
      <c r="T873" s="232"/>
      <c r="U873" s="233" t="e">
        <f>U871+U872</f>
        <v>#DIV/0!</v>
      </c>
      <c r="V873" s="166"/>
      <c r="W873" s="167"/>
      <c r="X873" s="91"/>
      <c r="Y873" s="91"/>
      <c r="Z873" s="44"/>
      <c r="AA873" s="44"/>
      <c r="AB873" s="44"/>
      <c r="AC873" s="44"/>
      <c r="AD873" s="44"/>
      <c r="AE873" s="44"/>
      <c r="AF873" s="44"/>
      <c r="AG873" s="44"/>
      <c r="AH873" s="44"/>
      <c r="AI873" s="44"/>
      <c r="AJ873" s="44"/>
      <c r="AK873" s="44"/>
      <c r="AL873" s="44"/>
      <c r="AM873" s="44"/>
      <c r="AN873" s="44"/>
      <c r="AO873" s="44"/>
      <c r="AP873" s="44"/>
    </row>
    <row r="874" spans="1:44" hidden="1" x14ac:dyDescent="0.25">
      <c r="A874" s="149"/>
      <c r="B874" s="149"/>
      <c r="C874" s="280"/>
      <c r="D874" s="249"/>
      <c r="E874" s="238"/>
      <c r="F874" s="207"/>
      <c r="G874" s="249"/>
      <c r="H874" s="238"/>
      <c r="I874" s="207"/>
      <c r="J874" s="207"/>
      <c r="K874" s="249"/>
      <c r="L874" s="238"/>
      <c r="M874" s="207"/>
      <c r="N874" s="207"/>
      <c r="O874" s="249"/>
      <c r="P874" s="238"/>
      <c r="Q874" s="207"/>
      <c r="R874" s="207"/>
      <c r="S874" s="249"/>
      <c r="T874" s="238"/>
      <c r="U874" s="207"/>
      <c r="V874" s="309"/>
      <c r="W874" s="309"/>
      <c r="X874" s="309"/>
      <c r="Y874" s="91"/>
      <c r="Z874" s="44"/>
      <c r="AA874" s="44"/>
      <c r="AB874" s="44"/>
      <c r="AC874" s="44"/>
      <c r="AD874" s="44"/>
      <c r="AE874" s="44"/>
      <c r="AF874" s="44"/>
      <c r="AG874" s="44"/>
      <c r="AH874" s="44"/>
      <c r="AI874" s="44"/>
      <c r="AJ874" s="44"/>
      <c r="AK874" s="44"/>
      <c r="AL874" s="44"/>
      <c r="AM874" s="44"/>
      <c r="AN874" s="44"/>
      <c r="AO874" s="44"/>
      <c r="AP874" s="44"/>
    </row>
    <row r="875" spans="1:44" hidden="1" x14ac:dyDescent="0.25">
      <c r="A875" s="149"/>
      <c r="B875" s="149"/>
      <c r="C875" s="280"/>
      <c r="D875" s="249"/>
      <c r="E875" s="238"/>
      <c r="F875" s="207"/>
      <c r="G875" s="249"/>
      <c r="H875" s="238"/>
      <c r="I875" s="207"/>
      <c r="J875" s="207"/>
      <c r="K875" s="249"/>
      <c r="L875" s="238"/>
      <c r="M875" s="207"/>
      <c r="N875" s="207"/>
      <c r="O875" s="249"/>
      <c r="P875" s="238"/>
      <c r="Q875" s="207"/>
      <c r="R875" s="207"/>
      <c r="S875" s="249"/>
      <c r="T875" s="238"/>
      <c r="U875" s="207"/>
      <c r="V875" s="166"/>
      <c r="W875" s="166"/>
      <c r="X875" s="166"/>
      <c r="Y875" s="243"/>
      <c r="Z875" s="44"/>
      <c r="AA875" s="44"/>
      <c r="AB875" s="44"/>
      <c r="AC875" s="44"/>
      <c r="AD875" s="44"/>
      <c r="AE875" s="44"/>
      <c r="AF875" s="44"/>
      <c r="AG875" s="44"/>
      <c r="AH875" s="44"/>
      <c r="AI875" s="44"/>
      <c r="AJ875" s="44"/>
      <c r="AK875" s="44"/>
      <c r="AL875" s="44"/>
      <c r="AM875" s="44"/>
      <c r="AN875" s="44"/>
      <c r="AO875" s="44"/>
      <c r="AP875" s="44"/>
    </row>
    <row r="876" spans="1:44" hidden="1" x14ac:dyDescent="0.25">
      <c r="A876" s="179"/>
      <c r="B876" s="289"/>
      <c r="C876" s="179"/>
      <c r="D876" s="149"/>
      <c r="E876" s="179"/>
      <c r="F876" s="290" t="s">
        <v>0</v>
      </c>
      <c r="G876" s="179"/>
      <c r="H876" s="179"/>
      <c r="I876" s="179"/>
      <c r="J876" s="179"/>
      <c r="K876" s="179"/>
      <c r="L876" s="179"/>
      <c r="M876" s="179"/>
      <c r="N876" s="179"/>
      <c r="O876" s="179"/>
      <c r="P876" s="179"/>
      <c r="Q876" s="179"/>
      <c r="R876" s="179"/>
      <c r="S876" s="179"/>
      <c r="T876" s="179"/>
      <c r="U876" s="179"/>
      <c r="V876" s="44"/>
      <c r="W876" s="91"/>
      <c r="X876" s="91"/>
      <c r="Y876" s="91"/>
      <c r="Z876" s="44"/>
      <c r="AA876" s="44"/>
      <c r="AB876" s="44"/>
      <c r="AC876" s="44"/>
      <c r="AD876" s="44"/>
      <c r="AE876" s="44"/>
      <c r="AF876" s="44"/>
      <c r="AG876" s="44"/>
      <c r="AH876" s="44"/>
      <c r="AI876" s="44"/>
      <c r="AJ876" s="44"/>
      <c r="AK876" s="44"/>
      <c r="AL876" s="44"/>
      <c r="AM876" s="44"/>
      <c r="AN876" s="44"/>
      <c r="AO876" s="44"/>
      <c r="AP876" s="44"/>
    </row>
    <row r="877" spans="1:44" x14ac:dyDescent="0.25">
      <c r="A877" s="168" t="s">
        <v>211</v>
      </c>
      <c r="B877" s="149"/>
      <c r="C877" s="149"/>
      <c r="D877" s="111"/>
      <c r="E877" s="149"/>
      <c r="F877" s="149"/>
      <c r="G877" s="111"/>
      <c r="H877" s="149"/>
      <c r="I877" s="149"/>
      <c r="J877" s="149"/>
      <c r="K877" s="111"/>
      <c r="L877" s="149"/>
      <c r="M877" s="149"/>
      <c r="N877" s="149"/>
      <c r="O877" s="111"/>
      <c r="P877" s="149"/>
      <c r="Q877" s="149"/>
      <c r="R877" s="149"/>
      <c r="S877" s="111"/>
      <c r="T877" s="149"/>
      <c r="U877" s="149"/>
      <c r="V877" s="44"/>
      <c r="W877" s="91"/>
      <c r="X877" s="91"/>
      <c r="Y877" s="91"/>
      <c r="Z877" s="44"/>
      <c r="AA877" s="44"/>
      <c r="AB877" s="44"/>
      <c r="AC877" s="44"/>
      <c r="AD877" s="44"/>
      <c r="AE877" s="44"/>
      <c r="AF877" s="44"/>
      <c r="AG877" s="44"/>
      <c r="AH877" s="44"/>
      <c r="AI877" s="44"/>
      <c r="AJ877" s="44"/>
      <c r="AK877" s="44"/>
      <c r="AL877" s="44"/>
      <c r="AM877" s="44"/>
      <c r="AN877" s="44"/>
      <c r="AO877" s="44"/>
      <c r="AP877" s="44"/>
    </row>
    <row r="878" spans="1:44" x14ac:dyDescent="0.25">
      <c r="A878" s="299" t="s">
        <v>212</v>
      </c>
      <c r="B878" s="149"/>
      <c r="C878" s="149"/>
      <c r="D878" s="111"/>
      <c r="E878" s="149"/>
      <c r="F878" s="149"/>
      <c r="G878" s="111"/>
      <c r="H878" s="149"/>
      <c r="I878" s="149"/>
      <c r="J878" s="149"/>
      <c r="K878" s="111"/>
      <c r="L878" s="149"/>
      <c r="M878" s="149"/>
      <c r="N878" s="149"/>
      <c r="O878" s="111"/>
      <c r="P878" s="149"/>
      <c r="Q878" s="149"/>
      <c r="R878" s="149"/>
      <c r="S878" s="111"/>
      <c r="T878" s="149"/>
      <c r="U878" s="149"/>
      <c r="V878" s="44"/>
      <c r="W878" s="91"/>
      <c r="X878" s="91"/>
      <c r="Y878" s="91"/>
      <c r="Z878" s="44"/>
      <c r="AA878" s="44"/>
      <c r="AB878" s="44"/>
      <c r="AC878" s="44"/>
      <c r="AD878" s="44"/>
      <c r="AE878" s="44"/>
      <c r="AF878" s="44"/>
      <c r="AG878" s="44"/>
      <c r="AH878" s="44"/>
      <c r="AI878" s="44"/>
      <c r="AJ878" s="44"/>
      <c r="AK878" s="44"/>
      <c r="AL878" s="44"/>
      <c r="AM878" s="44"/>
      <c r="AN878" s="44"/>
      <c r="AO878" s="44"/>
      <c r="AP878" s="44"/>
    </row>
    <row r="879" spans="1:44" x14ac:dyDescent="0.25">
      <c r="A879" s="206"/>
      <c r="B879" s="149"/>
      <c r="C879" s="149"/>
      <c r="D879" s="111"/>
      <c r="E879" s="149"/>
      <c r="F879" s="149"/>
      <c r="G879" s="111"/>
      <c r="H879" s="149"/>
      <c r="I879" s="149"/>
      <c r="J879" s="149"/>
      <c r="K879" s="111"/>
      <c r="L879" s="149"/>
      <c r="M879" s="149"/>
      <c r="N879" s="149"/>
      <c r="O879" s="111"/>
      <c r="P879" s="149"/>
      <c r="Q879" s="149"/>
      <c r="R879" s="149"/>
      <c r="S879" s="111"/>
      <c r="T879" s="149"/>
      <c r="U879" s="149"/>
      <c r="V879" s="44"/>
      <c r="W879" s="91"/>
      <c r="X879" s="91"/>
      <c r="Y879" s="91"/>
      <c r="Z879" s="44"/>
      <c r="AA879" s="44"/>
      <c r="AB879" s="44"/>
      <c r="AC879" s="44"/>
      <c r="AD879" s="44"/>
      <c r="AE879" s="44"/>
      <c r="AF879" s="44"/>
      <c r="AG879" s="44"/>
      <c r="AH879" s="44"/>
      <c r="AI879" s="44"/>
      <c r="AJ879" s="44"/>
      <c r="AK879" s="44"/>
      <c r="AL879" s="44"/>
      <c r="AM879" s="44"/>
      <c r="AN879" s="44"/>
      <c r="AO879" s="44"/>
      <c r="AP879" s="44"/>
    </row>
    <row r="880" spans="1:44" x14ac:dyDescent="0.25">
      <c r="A880" s="206" t="s">
        <v>127</v>
      </c>
      <c r="B880" s="149"/>
      <c r="C880" s="204"/>
      <c r="D880" s="111"/>
      <c r="E880" s="149"/>
      <c r="F880" s="149"/>
      <c r="G880" s="111"/>
      <c r="H880" s="149"/>
      <c r="I880" s="149"/>
      <c r="J880" s="149"/>
      <c r="K880" s="111"/>
      <c r="L880" s="149"/>
      <c r="M880" s="149"/>
      <c r="N880" s="149"/>
      <c r="O880" s="111"/>
      <c r="P880" s="149"/>
      <c r="Q880" s="149"/>
      <c r="R880" s="149"/>
      <c r="S880" s="111"/>
      <c r="T880" s="149"/>
      <c r="U880" s="149"/>
      <c r="V880" s="44"/>
      <c r="W880" s="91"/>
      <c r="X880" s="91"/>
      <c r="Y880" s="91"/>
      <c r="Z880" s="44"/>
      <c r="AA880" s="44"/>
      <c r="AB880" s="44"/>
      <c r="AC880" s="44"/>
      <c r="AD880" s="44"/>
      <c r="AE880" s="44"/>
      <c r="AF880" s="44"/>
      <c r="AG880" s="44"/>
      <c r="AH880" s="44"/>
      <c r="AI880" s="44"/>
      <c r="AJ880" s="44"/>
      <c r="AK880" s="44"/>
      <c r="AL880" s="44"/>
      <c r="AM880" s="44"/>
      <c r="AN880" s="44"/>
      <c r="AO880" s="44"/>
      <c r="AP880" s="44"/>
    </row>
    <row r="881" spans="1:44" x14ac:dyDescent="0.25">
      <c r="A881" s="206" t="s">
        <v>213</v>
      </c>
      <c r="B881" s="149"/>
      <c r="C881" s="204">
        <v>12</v>
      </c>
      <c r="D881" s="246">
        <v>1411</v>
      </c>
      <c r="E881" s="223"/>
      <c r="F881" s="111">
        <f>ROUND(D881*C881,0)</f>
        <v>16932</v>
      </c>
      <c r="G881" s="246">
        <f>G960</f>
        <v>1442</v>
      </c>
      <c r="H881" s="223"/>
      <c r="I881" s="111">
        <f>ROUND(G881*$C881,0)</f>
        <v>17304</v>
      </c>
      <c r="J881" s="111"/>
      <c r="K881" s="246">
        <f>K960</f>
        <v>1411</v>
      </c>
      <c r="L881" s="223"/>
      <c r="M881" s="111">
        <v>16932</v>
      </c>
      <c r="N881" s="111"/>
      <c r="O881" s="246" t="str">
        <f>O960</f>
        <v xml:space="preserve"> </v>
      </c>
      <c r="P881" s="223"/>
      <c r="Q881" s="111">
        <v>0</v>
      </c>
      <c r="R881" s="111"/>
      <c r="S881" s="246" t="str">
        <f>S960</f>
        <v xml:space="preserve"> </v>
      </c>
      <c r="T881" s="223"/>
      <c r="U881" s="111">
        <v>0</v>
      </c>
      <c r="W881" s="52"/>
      <c r="Z881" s="44"/>
      <c r="AA881" s="44"/>
      <c r="AB881" s="44"/>
      <c r="AC881" s="44"/>
      <c r="AD881" s="44"/>
      <c r="AE881" s="44"/>
      <c r="AF881" s="44"/>
      <c r="AG881" s="44"/>
      <c r="AH881" s="44"/>
      <c r="AI881" s="44"/>
      <c r="AJ881" s="44"/>
      <c r="AK881" s="44"/>
      <c r="AL881" s="44"/>
      <c r="AM881" s="44"/>
      <c r="AN881" s="44"/>
      <c r="AO881" s="44"/>
      <c r="AP881" s="44"/>
    </row>
    <row r="882" spans="1:44" x14ac:dyDescent="0.25">
      <c r="A882" s="206" t="s">
        <v>214</v>
      </c>
      <c r="B882" s="149"/>
      <c r="C882" s="204">
        <v>0</v>
      </c>
      <c r="D882" s="246">
        <v>1703</v>
      </c>
      <c r="E882" s="251"/>
      <c r="F882" s="111">
        <f>ROUND(D882*C882,0)</f>
        <v>0</v>
      </c>
      <c r="G882" s="246">
        <f>G961</f>
        <v>1743</v>
      </c>
      <c r="H882" s="251"/>
      <c r="I882" s="111">
        <f>ROUND(G882*$C882,0)</f>
        <v>0</v>
      </c>
      <c r="J882" s="111"/>
      <c r="K882" s="246">
        <f>K961</f>
        <v>1703</v>
      </c>
      <c r="L882" s="251"/>
      <c r="M882" s="111">
        <v>0</v>
      </c>
      <c r="N882" s="111"/>
      <c r="O882" s="246" t="str">
        <f>O961</f>
        <v xml:space="preserve"> </v>
      </c>
      <c r="P882" s="251"/>
      <c r="Q882" s="111">
        <v>0</v>
      </c>
      <c r="R882" s="111"/>
      <c r="S882" s="246" t="str">
        <f>S961</f>
        <v xml:space="preserve"> </v>
      </c>
      <c r="T882" s="251"/>
      <c r="U882" s="111">
        <v>0</v>
      </c>
      <c r="W882" s="52"/>
      <c r="Z882" s="44"/>
      <c r="AA882" s="44"/>
      <c r="AB882" s="44"/>
      <c r="AC882" s="44"/>
      <c r="AD882" s="44"/>
      <c r="AE882" s="44"/>
      <c r="AF882" s="44"/>
      <c r="AG882" s="44"/>
      <c r="AH882" s="44"/>
      <c r="AI882" s="44"/>
      <c r="AJ882" s="44"/>
      <c r="AK882" s="44"/>
      <c r="AL882" s="44"/>
      <c r="AM882" s="44"/>
      <c r="AN882" s="44"/>
      <c r="AO882" s="44"/>
      <c r="AP882" s="44"/>
    </row>
    <row r="883" spans="1:44" x14ac:dyDescent="0.25">
      <c r="A883" s="206" t="s">
        <v>128</v>
      </c>
      <c r="B883" s="149"/>
      <c r="C883" s="204">
        <f>SUM(C881:C882)</f>
        <v>12</v>
      </c>
      <c r="D883" s="246"/>
      <c r="E883" s="223"/>
      <c r="F883" s="111" t="s">
        <v>0</v>
      </c>
      <c r="G883" s="246" t="str">
        <f>W924</f>
        <v xml:space="preserve"> </v>
      </c>
      <c r="H883" s="223"/>
      <c r="I883" s="111" t="s">
        <v>0</v>
      </c>
      <c r="J883" s="111"/>
      <c r="K883" s="246">
        <f>Z924</f>
        <v>0</v>
      </c>
      <c r="L883" s="223"/>
      <c r="M883" s="111" t="s">
        <v>0</v>
      </c>
      <c r="N883" s="111"/>
      <c r="O883" s="246">
        <f>AD924</f>
        <v>0</v>
      </c>
      <c r="P883" s="223"/>
      <c r="Q883" s="111" t="s">
        <v>0</v>
      </c>
      <c r="R883" s="111"/>
      <c r="S883" s="246">
        <f>AH924</f>
        <v>0</v>
      </c>
      <c r="T883" s="223"/>
      <c r="U883" s="111" t="s">
        <v>0</v>
      </c>
      <c r="Z883" s="44"/>
      <c r="AA883" s="44"/>
      <c r="AB883" s="44"/>
      <c r="AC883" s="44"/>
      <c r="AD883" s="44"/>
      <c r="AE883" s="44"/>
      <c r="AF883" s="44"/>
      <c r="AG883" s="44"/>
      <c r="AH883" s="44"/>
      <c r="AI883" s="44"/>
      <c r="AJ883" s="44"/>
      <c r="AK883" s="44"/>
      <c r="AL883" s="44"/>
      <c r="AM883" s="44"/>
      <c r="AN883" s="44"/>
      <c r="AO883" s="44"/>
      <c r="AP883" s="44"/>
    </row>
    <row r="884" spans="1:44" x14ac:dyDescent="0.25">
      <c r="A884" s="206" t="s">
        <v>215</v>
      </c>
      <c r="B884" s="149"/>
      <c r="C884" s="204">
        <v>23896</v>
      </c>
      <c r="D884" s="246">
        <v>1.1200000000000001</v>
      </c>
      <c r="E884" s="223"/>
      <c r="F884" s="111">
        <f>ROUND(D884*C884,0)</f>
        <v>26764</v>
      </c>
      <c r="G884" s="246">
        <f>G963</f>
        <v>1.1499999999999999</v>
      </c>
      <c r="H884" s="223"/>
      <c r="I884" s="111">
        <f>ROUND(G884*$C884,0)</f>
        <v>27480</v>
      </c>
      <c r="J884" s="111"/>
      <c r="K884" s="246">
        <f>K963</f>
        <v>1.1200000000000001</v>
      </c>
      <c r="L884" s="223"/>
      <c r="M884" s="111">
        <v>26764</v>
      </c>
      <c r="N884" s="111"/>
      <c r="O884" s="246" t="str">
        <f>O963</f>
        <v xml:space="preserve"> </v>
      </c>
      <c r="P884" s="223"/>
      <c r="Q884" s="111">
        <v>0</v>
      </c>
      <c r="R884" s="111"/>
      <c r="S884" s="246" t="str">
        <f>S963</f>
        <v xml:space="preserve"> </v>
      </c>
      <c r="T884" s="223"/>
      <c r="U884" s="111">
        <v>0</v>
      </c>
      <c r="W884" s="52"/>
      <c r="Z884" s="44"/>
      <c r="AA884" s="44"/>
      <c r="AB884" s="44"/>
      <c r="AC884" s="44"/>
      <c r="AD884" s="44"/>
      <c r="AE884" s="44"/>
      <c r="AF884" s="44"/>
      <c r="AG884" s="44"/>
      <c r="AH884" s="44"/>
      <c r="AI884" s="44"/>
      <c r="AJ884" s="44"/>
      <c r="AK884" s="44"/>
      <c r="AL884" s="44"/>
      <c r="AM884" s="44"/>
      <c r="AN884" s="44"/>
      <c r="AO884" s="44"/>
      <c r="AP884" s="44"/>
    </row>
    <row r="885" spans="1:44" x14ac:dyDescent="0.25">
      <c r="A885" s="206" t="s">
        <v>216</v>
      </c>
      <c r="B885" s="149"/>
      <c r="C885" s="204">
        <v>0</v>
      </c>
      <c r="D885" s="246">
        <v>1.01</v>
      </c>
      <c r="E885" s="223"/>
      <c r="F885" s="111">
        <f>ROUND(D885*C885,0)</f>
        <v>0</v>
      </c>
      <c r="G885" s="246">
        <f>G964</f>
        <v>1.03</v>
      </c>
      <c r="H885" s="223"/>
      <c r="I885" s="111">
        <f>ROUND(G885*$C885,0)</f>
        <v>0</v>
      </c>
      <c r="J885" s="111"/>
      <c r="K885" s="246">
        <f>K964</f>
        <v>1.01</v>
      </c>
      <c r="L885" s="223"/>
      <c r="M885" s="111">
        <v>0</v>
      </c>
      <c r="N885" s="111"/>
      <c r="O885" s="246" t="str">
        <f>O964</f>
        <v xml:space="preserve"> </v>
      </c>
      <c r="P885" s="223"/>
      <c r="Q885" s="111">
        <v>0</v>
      </c>
      <c r="R885" s="111"/>
      <c r="S885" s="246" t="str">
        <f>S964</f>
        <v xml:space="preserve"> </v>
      </c>
      <c r="T885" s="223"/>
      <c r="U885" s="111">
        <v>0</v>
      </c>
      <c r="Z885" s="44"/>
      <c r="AA885" s="44"/>
      <c r="AB885" s="44"/>
      <c r="AC885" s="44"/>
      <c r="AD885" s="44"/>
      <c r="AE885" s="44"/>
      <c r="AF885" s="44"/>
      <c r="AG885" s="44"/>
      <c r="AH885" s="44"/>
      <c r="AI885" s="44"/>
      <c r="AJ885" s="44"/>
      <c r="AK885" s="44"/>
      <c r="AL885" s="44"/>
      <c r="AM885" s="44"/>
      <c r="AN885" s="44"/>
      <c r="AO885" s="44"/>
      <c r="AP885" s="44"/>
    </row>
    <row r="886" spans="1:44" x14ac:dyDescent="0.25">
      <c r="A886" s="134" t="s">
        <v>142</v>
      </c>
      <c r="B886" s="149"/>
      <c r="C886" s="204">
        <v>19015</v>
      </c>
      <c r="D886" s="246">
        <v>7.97</v>
      </c>
      <c r="E886" s="223"/>
      <c r="F886" s="111">
        <f>ROUND(D886*C886,0)</f>
        <v>151550</v>
      </c>
      <c r="G886" s="246">
        <f>G965</f>
        <v>8.16</v>
      </c>
      <c r="H886" s="223"/>
      <c r="I886" s="111">
        <f>ROUND(G886*$C886,0)</f>
        <v>155162</v>
      </c>
      <c r="J886" s="111"/>
      <c r="K886" s="246" t="e">
        <f>K965</f>
        <v>#DIV/0!</v>
      </c>
      <c r="L886" s="223"/>
      <c r="M886" s="111" t="e">
        <v>#DIV/0!</v>
      </c>
      <c r="N886" s="111"/>
      <c r="O886" s="246" t="e">
        <f>O965</f>
        <v>#DIV/0!</v>
      </c>
      <c r="P886" s="223"/>
      <c r="Q886" s="111" t="e">
        <v>#DIV/0!</v>
      </c>
      <c r="R886" s="111"/>
      <c r="S886" s="246" t="e">
        <f>S965</f>
        <v>#DIV/0!</v>
      </c>
      <c r="T886" s="223"/>
      <c r="U886" s="111" t="e">
        <v>#DIV/0!</v>
      </c>
      <c r="Z886" s="44"/>
      <c r="AA886" s="44"/>
      <c r="AB886" s="44"/>
      <c r="AC886" s="44"/>
      <c r="AD886" s="44"/>
      <c r="AE886" s="44"/>
      <c r="AF886" s="44"/>
      <c r="AG886" s="44"/>
      <c r="AH886" s="44"/>
      <c r="AI886" s="44"/>
      <c r="AJ886" s="44"/>
      <c r="AK886" s="44"/>
      <c r="AL886" s="44"/>
      <c r="AM886" s="44"/>
      <c r="AN886" s="44"/>
      <c r="AO886" s="44"/>
      <c r="AP886" s="44"/>
    </row>
    <row r="887" spans="1:44" x14ac:dyDescent="0.25">
      <c r="A887" s="206" t="s">
        <v>164</v>
      </c>
      <c r="B887" s="149"/>
      <c r="C887" s="204"/>
      <c r="D887" s="246"/>
      <c r="E887" s="223"/>
      <c r="F887" s="111"/>
      <c r="G887" s="246"/>
      <c r="H887" s="223"/>
      <c r="I887" s="111"/>
      <c r="J887" s="111"/>
      <c r="K887" s="246"/>
      <c r="L887" s="223"/>
      <c r="M887" s="111"/>
      <c r="N887" s="111"/>
      <c r="O887" s="246"/>
      <c r="P887" s="223"/>
      <c r="Q887" s="111"/>
      <c r="R887" s="111"/>
      <c r="S887" s="246"/>
      <c r="T887" s="223"/>
      <c r="U887" s="111"/>
      <c r="Z887" s="44"/>
      <c r="AA887" s="44"/>
      <c r="AB887" s="44"/>
      <c r="AC887" s="44"/>
      <c r="AD887" s="44"/>
      <c r="AE887" s="44"/>
      <c r="AF887" s="44"/>
      <c r="AG887" s="44"/>
      <c r="AH887" s="44"/>
      <c r="AI887" s="44"/>
      <c r="AJ887" s="44"/>
      <c r="AK887" s="44"/>
      <c r="AL887" s="44"/>
      <c r="AM887" s="44"/>
      <c r="AN887" s="44"/>
      <c r="AO887" s="44"/>
      <c r="AP887" s="44"/>
    </row>
    <row r="888" spans="1:44" x14ac:dyDescent="0.25">
      <c r="A888" s="206" t="s">
        <v>203</v>
      </c>
      <c r="B888" s="149"/>
      <c r="C888" s="204">
        <v>2245825</v>
      </c>
      <c r="D888" s="310">
        <v>4.7409999999999997</v>
      </c>
      <c r="E888" s="223" t="s">
        <v>89</v>
      </c>
      <c r="F888" s="111">
        <f>ROUND(D888/100*C888,0)</f>
        <v>106475</v>
      </c>
      <c r="G888" s="310">
        <f>G967</f>
        <v>4.8520000000000003</v>
      </c>
      <c r="H888" s="223" t="s">
        <v>89</v>
      </c>
      <c r="I888" s="111">
        <f>ROUND(G888/100*$C888,0)</f>
        <v>108967</v>
      </c>
      <c r="J888" s="111"/>
      <c r="K888" s="310" t="str">
        <f>K967</f>
        <v xml:space="preserve"> </v>
      </c>
      <c r="L888" s="223" t="s">
        <v>0</v>
      </c>
      <c r="M888" s="111">
        <v>0</v>
      </c>
      <c r="N888" s="111"/>
      <c r="O888" s="310" t="e">
        <f>O967</f>
        <v>#DIV/0!</v>
      </c>
      <c r="P888" s="223" t="s">
        <v>89</v>
      </c>
      <c r="Q888" s="111" t="e">
        <v>#DIV/0!</v>
      </c>
      <c r="R888" s="111"/>
      <c r="S888" s="310" t="e">
        <f>S967</f>
        <v>#DIV/0!</v>
      </c>
      <c r="T888" s="223" t="s">
        <v>89</v>
      </c>
      <c r="U888" s="111" t="e">
        <v>#DIV/0!</v>
      </c>
      <c r="Z888" s="44"/>
      <c r="AA888" s="44"/>
      <c r="AB888" s="44"/>
      <c r="AC888" s="44"/>
      <c r="AD888" s="44"/>
      <c r="AE888" s="44"/>
      <c r="AF888" s="44"/>
      <c r="AG888" s="44"/>
      <c r="AH888" s="44"/>
      <c r="AI888" s="44"/>
      <c r="AJ888" s="44"/>
      <c r="AK888" s="44"/>
      <c r="AL888" s="44"/>
      <c r="AM888" s="44"/>
      <c r="AN888" s="44"/>
      <c r="AO888" s="44"/>
      <c r="AP888" s="44"/>
    </row>
    <row r="889" spans="1:44" x14ac:dyDescent="0.25">
      <c r="A889" s="206" t="s">
        <v>133</v>
      </c>
      <c r="B889" s="149"/>
      <c r="C889" s="204">
        <v>0</v>
      </c>
      <c r="D889" s="246">
        <v>0.56000000000000005</v>
      </c>
      <c r="E889" s="223"/>
      <c r="F889" s="111">
        <f>ROUND(D889*C889,0)</f>
        <v>0</v>
      </c>
      <c r="G889" s="246">
        <f>G968</f>
        <v>0.56999999999999995</v>
      </c>
      <c r="H889" s="223"/>
      <c r="I889" s="111">
        <f>ROUND(G889*$C889,0)</f>
        <v>0</v>
      </c>
      <c r="J889" s="111"/>
      <c r="K889" s="246" t="str">
        <f>K968</f>
        <v xml:space="preserve"> </v>
      </c>
      <c r="L889" s="223"/>
      <c r="M889" s="111">
        <v>0</v>
      </c>
      <c r="N889" s="111"/>
      <c r="O889" s="246" t="e">
        <f>O968</f>
        <v>#DIV/0!</v>
      </c>
      <c r="P889" s="223"/>
      <c r="Q889" s="111" t="e">
        <v>#DIV/0!</v>
      </c>
      <c r="R889" s="111"/>
      <c r="S889" s="246" t="e">
        <f>S968</f>
        <v>#DIV/0!</v>
      </c>
      <c r="T889" s="223"/>
      <c r="U889" s="111" t="e">
        <v>#DIV/0!</v>
      </c>
      <c r="V889" s="204"/>
      <c r="Z889" s="44"/>
      <c r="AA889" s="44"/>
      <c r="AB889" s="44"/>
      <c r="AC889" s="44"/>
      <c r="AD889" s="44"/>
      <c r="AE889" s="44"/>
      <c r="AF889" s="44"/>
      <c r="AG889" s="44"/>
      <c r="AH889" s="44"/>
      <c r="AI889" s="44"/>
      <c r="AJ889" s="44"/>
      <c r="AK889" s="44"/>
      <c r="AL889" s="44"/>
      <c r="AM889" s="44"/>
      <c r="AN889" s="44"/>
      <c r="AO889" s="44"/>
      <c r="AP889" s="44"/>
    </row>
    <row r="890" spans="1:44" x14ac:dyDescent="0.25">
      <c r="A890" s="134" t="s">
        <v>166</v>
      </c>
      <c r="B890" s="149"/>
      <c r="C890" s="204">
        <v>0</v>
      </c>
      <c r="D890" s="311">
        <v>5.9999999999999995E-4</v>
      </c>
      <c r="E890" s="223"/>
      <c r="F890" s="111">
        <f>ROUND(D890*C890,0)</f>
        <v>0</v>
      </c>
      <c r="G890" s="311">
        <v>5.9999999999999995E-4</v>
      </c>
      <c r="H890" s="223"/>
      <c r="I890" s="111">
        <f>ROUND(G890*$C890,0)</f>
        <v>0</v>
      </c>
      <c r="J890" s="111"/>
      <c r="K890" s="311">
        <v>0</v>
      </c>
      <c r="L890" s="223"/>
      <c r="M890" s="111">
        <v>0</v>
      </c>
      <c r="N890" s="111"/>
      <c r="O890" s="311" t="e">
        <f>O889/G889*G890</f>
        <v>#DIV/0!</v>
      </c>
      <c r="P890" s="223"/>
      <c r="Q890" s="111">
        <v>0</v>
      </c>
      <c r="R890" s="111"/>
      <c r="S890" s="311" t="e">
        <f>S889/G889*G890</f>
        <v>#DIV/0!</v>
      </c>
      <c r="T890" s="223"/>
      <c r="U890" s="111">
        <v>0</v>
      </c>
      <c r="V890" s="204"/>
      <c r="Z890" s="44"/>
      <c r="AA890" s="44"/>
      <c r="AB890" s="44"/>
      <c r="AC890" s="44"/>
      <c r="AD890" s="44"/>
      <c r="AE890" s="44"/>
      <c r="AF890" s="44"/>
      <c r="AG890" s="44"/>
      <c r="AH890" s="44"/>
      <c r="AI890" s="44"/>
      <c r="AJ890" s="44"/>
      <c r="AK890" s="44"/>
      <c r="AL890" s="44"/>
      <c r="AM890" s="44"/>
      <c r="AN890" s="44"/>
      <c r="AO890" s="44"/>
      <c r="AP890" s="44"/>
    </row>
    <row r="891" spans="1:44" x14ac:dyDescent="0.25">
      <c r="A891" s="134" t="s">
        <v>173</v>
      </c>
      <c r="B891" s="149"/>
      <c r="C891" s="204">
        <v>4985</v>
      </c>
      <c r="D891" s="222">
        <v>3.9849999999999999</v>
      </c>
      <c r="E891" s="223"/>
      <c r="F891" s="223">
        <f>ROUND(D891*$C891,0)</f>
        <v>19865</v>
      </c>
      <c r="G891" s="222">
        <f>ROUND(G886/2,3)</f>
        <v>4.08</v>
      </c>
      <c r="H891" s="223"/>
      <c r="I891" s="223">
        <f>ROUND($C891*G891,0)</f>
        <v>20339</v>
      </c>
      <c r="J891" s="223"/>
      <c r="K891" s="222" t="e">
        <f>ROUND(K886/2,3)</f>
        <v>#DIV/0!</v>
      </c>
      <c r="L891" s="223"/>
      <c r="M891" s="111" t="e">
        <v>#DIV/0!</v>
      </c>
      <c r="N891" s="223"/>
      <c r="O891" s="222" t="e">
        <f>ROUND(O886/2,3)</f>
        <v>#DIV/0!</v>
      </c>
      <c r="P891" s="223"/>
      <c r="Q891" s="111" t="e">
        <v>#DIV/0!</v>
      </c>
      <c r="R891" s="223"/>
      <c r="S891" s="222" t="e">
        <f>ROUND(S886/2,3)</f>
        <v>#DIV/0!</v>
      </c>
      <c r="T891" s="223"/>
      <c r="U891" s="111" t="e">
        <v>#DIV/0!</v>
      </c>
      <c r="Z891" s="44"/>
      <c r="AA891" s="44"/>
      <c r="AB891" s="44"/>
      <c r="AC891" s="44"/>
      <c r="AD891" s="44"/>
      <c r="AE891" s="44"/>
      <c r="AF891" s="44"/>
      <c r="AG891" s="44"/>
      <c r="AH891" s="44"/>
      <c r="AI891" s="44"/>
      <c r="AJ891" s="44"/>
      <c r="AK891" s="44"/>
      <c r="AL891" s="44"/>
      <c r="AM891" s="44"/>
      <c r="AN891" s="44"/>
      <c r="AO891" s="44"/>
      <c r="AP891" s="44"/>
    </row>
    <row r="892" spans="1:44" x14ac:dyDescent="0.25">
      <c r="A892" s="134" t="s">
        <v>174</v>
      </c>
      <c r="B892" s="149"/>
      <c r="C892" s="204">
        <v>100</v>
      </c>
      <c r="D892" s="222">
        <v>31.88</v>
      </c>
      <c r="E892" s="223"/>
      <c r="F892" s="223">
        <f>ROUND(D892*$C892,0)</f>
        <v>3188</v>
      </c>
      <c r="G892" s="222">
        <f>G886*4</f>
        <v>32.64</v>
      </c>
      <c r="H892" s="223"/>
      <c r="I892" s="223">
        <f>ROUND($C892*G892,0)</f>
        <v>3264</v>
      </c>
      <c r="J892" s="223"/>
      <c r="K892" s="222" t="e">
        <f>K886*4</f>
        <v>#DIV/0!</v>
      </c>
      <c r="L892" s="223"/>
      <c r="M892" s="111" t="e">
        <v>#DIV/0!</v>
      </c>
      <c r="N892" s="223"/>
      <c r="O892" s="222" t="e">
        <f>O886*4</f>
        <v>#DIV/0!</v>
      </c>
      <c r="P892" s="223"/>
      <c r="Q892" s="111" t="e">
        <v>#DIV/0!</v>
      </c>
      <c r="R892" s="223"/>
      <c r="S892" s="222" t="e">
        <f>S886*4</f>
        <v>#DIV/0!</v>
      </c>
      <c r="T892" s="223"/>
      <c r="U892" s="111" t="e">
        <v>#DIV/0!</v>
      </c>
      <c r="Z892" s="44"/>
      <c r="AA892" s="44"/>
      <c r="AB892" s="44"/>
      <c r="AC892" s="44"/>
      <c r="AD892" s="44"/>
      <c r="AE892" s="44"/>
      <c r="AF892" s="44"/>
      <c r="AG892" s="44"/>
      <c r="AH892" s="44"/>
      <c r="AI892" s="44"/>
      <c r="AJ892" s="44"/>
      <c r="AK892" s="44"/>
      <c r="AL892" s="44"/>
      <c r="AM892" s="44"/>
      <c r="AN892" s="44"/>
      <c r="AO892" s="44"/>
      <c r="AP892" s="44"/>
    </row>
    <row r="893" spans="1:44" x14ac:dyDescent="0.25">
      <c r="A893" s="92" t="s">
        <v>175</v>
      </c>
      <c r="B893" s="179"/>
      <c r="C893" s="204">
        <v>175</v>
      </c>
      <c r="D893" s="312">
        <v>18.963999999999999</v>
      </c>
      <c r="E893" s="223" t="s">
        <v>89</v>
      </c>
      <c r="F893" s="223">
        <f>ROUND($C893*D893/100,0)</f>
        <v>33</v>
      </c>
      <c r="G893" s="312">
        <f>(G888+G894)*4</f>
        <v>19.408000000000001</v>
      </c>
      <c r="H893" s="223" t="s">
        <v>89</v>
      </c>
      <c r="I893" s="223">
        <f>ROUND($C893*G893/100,0)</f>
        <v>34</v>
      </c>
      <c r="J893" s="223"/>
      <c r="K893" s="312" t="s">
        <v>0</v>
      </c>
      <c r="L893" s="223" t="s">
        <v>0</v>
      </c>
      <c r="M893" s="111">
        <v>0</v>
      </c>
      <c r="N893" s="223"/>
      <c r="O893" s="312" t="e">
        <f>(O888+O894)*4</f>
        <v>#DIV/0!</v>
      </c>
      <c r="P893" s="223" t="s">
        <v>89</v>
      </c>
      <c r="Q893" s="111" t="e">
        <v>#DIV/0!</v>
      </c>
      <c r="R893" s="223"/>
      <c r="S893" s="312" t="e">
        <f>(S888+S894)*4</f>
        <v>#DIV/0!</v>
      </c>
      <c r="T893" s="223" t="s">
        <v>89</v>
      </c>
      <c r="U893" s="111" t="e">
        <v>#DIV/0!</v>
      </c>
      <c r="Z893" s="44"/>
      <c r="AA893" s="44"/>
      <c r="AB893" s="44"/>
      <c r="AC893" s="44"/>
      <c r="AD893" s="44"/>
      <c r="AE893" s="44"/>
      <c r="AF893" s="44"/>
      <c r="AG893" s="44"/>
      <c r="AH893" s="44"/>
      <c r="AI893" s="44"/>
      <c r="AJ893" s="44"/>
      <c r="AK893" s="44"/>
      <c r="AL893" s="44"/>
      <c r="AM893" s="44"/>
      <c r="AN893" s="44"/>
      <c r="AO893" s="44"/>
      <c r="AP893" s="44"/>
    </row>
    <row r="894" spans="1:44" s="120" customFormat="1" hidden="1" x14ac:dyDescent="0.25">
      <c r="A894" s="119" t="s">
        <v>204</v>
      </c>
      <c r="C894" s="121">
        <f>C888</f>
        <v>2245825</v>
      </c>
      <c r="D894" s="128">
        <v>0</v>
      </c>
      <c r="E894" s="122"/>
      <c r="F894" s="123"/>
      <c r="G894" s="313">
        <f>G949</f>
        <v>0</v>
      </c>
      <c r="H894" s="256" t="s">
        <v>89</v>
      </c>
      <c r="I894" s="123">
        <f>ROUND(G894/100*$C894,0)</f>
        <v>0</v>
      </c>
      <c r="J894" s="123"/>
      <c r="K894" s="313" t="str">
        <f>K949</f>
        <v xml:space="preserve"> </v>
      </c>
      <c r="L894" s="256" t="s">
        <v>0</v>
      </c>
      <c r="M894" s="111">
        <v>0</v>
      </c>
      <c r="N894" s="123"/>
      <c r="O894" s="313" t="str">
        <f>O949</f>
        <v xml:space="preserve"> </v>
      </c>
      <c r="P894" s="256" t="s">
        <v>0</v>
      </c>
      <c r="Q894" s="111">
        <v>0</v>
      </c>
      <c r="R894" s="123"/>
      <c r="S894" s="313">
        <f>S949</f>
        <v>0</v>
      </c>
      <c r="T894" s="256" t="s">
        <v>89</v>
      </c>
      <c r="U894" s="111">
        <v>0</v>
      </c>
      <c r="W894" s="112"/>
      <c r="Z894" s="127"/>
      <c r="AA894" s="127"/>
      <c r="AF894" s="122"/>
      <c r="AG894" s="122"/>
      <c r="AH894" s="122"/>
      <c r="AI894" s="122"/>
      <c r="AJ894" s="122"/>
      <c r="AK894" s="122"/>
      <c r="AL894" s="122"/>
      <c r="AM894" s="122"/>
      <c r="AN894" s="122"/>
      <c r="AO894" s="122"/>
      <c r="AP894" s="122"/>
      <c r="AR894" s="126"/>
    </row>
    <row r="895" spans="1:44" x14ac:dyDescent="0.25">
      <c r="A895" s="149" t="s">
        <v>114</v>
      </c>
      <c r="B895" s="149"/>
      <c r="C895" s="204">
        <f>C894</f>
        <v>2245825</v>
      </c>
      <c r="D895" s="212"/>
      <c r="E895" s="149"/>
      <c r="F895" s="111">
        <f>SUM(F881:F893)</f>
        <v>324807</v>
      </c>
      <c r="G895" s="212"/>
      <c r="H895" s="149"/>
      <c r="I895" s="111">
        <f>SUM(I881:I894)</f>
        <v>332550</v>
      </c>
      <c r="J895" s="111"/>
      <c r="K895" s="212"/>
      <c r="L895" s="149"/>
      <c r="M895" s="111" t="e">
        <f>SUM(M881:M894)</f>
        <v>#DIV/0!</v>
      </c>
      <c r="N895" s="111"/>
      <c r="O895" s="212"/>
      <c r="P895" s="149"/>
      <c r="Q895" s="111" t="e">
        <f>SUM(Q881:Q894)</f>
        <v>#DIV/0!</v>
      </c>
      <c r="R895" s="111"/>
      <c r="S895" s="212"/>
      <c r="T895" s="149"/>
      <c r="U895" s="111" t="e">
        <f>SUM(U881:U894)</f>
        <v>#DIV/0!</v>
      </c>
      <c r="Z895" s="44"/>
      <c r="AA895" s="44"/>
      <c r="AB895" s="44"/>
      <c r="AC895" s="44"/>
      <c r="AD895" s="44"/>
      <c r="AE895" s="44"/>
      <c r="AF895" s="44"/>
      <c r="AG895" s="44"/>
      <c r="AH895" s="44"/>
      <c r="AI895" s="44"/>
      <c r="AJ895" s="44"/>
      <c r="AK895" s="44"/>
      <c r="AL895" s="44"/>
      <c r="AM895" s="44"/>
      <c r="AN895" s="44"/>
      <c r="AO895" s="44"/>
      <c r="AP895" s="44"/>
    </row>
    <row r="896" spans="1:44" x14ac:dyDescent="0.25">
      <c r="A896" s="149" t="s">
        <v>92</v>
      </c>
      <c r="B896" s="149"/>
      <c r="C896" s="204">
        <v>6982.7291342675553</v>
      </c>
      <c r="D896" s="134"/>
      <c r="E896" s="134"/>
      <c r="F896" s="230">
        <v>1009.9054190115011</v>
      </c>
      <c r="G896" s="134"/>
      <c r="H896" s="134"/>
      <c r="I896" s="230">
        <f>F896</f>
        <v>1009.9054190115011</v>
      </c>
      <c r="J896" s="207"/>
      <c r="K896" s="134"/>
      <c r="L896" s="134"/>
      <c r="M896" s="314" t="e">
        <f>$I$896*V954/(V954+$W$954+$X$954)</f>
        <v>#DIV/0!</v>
      </c>
      <c r="N896" s="133"/>
      <c r="O896" s="134"/>
      <c r="P896" s="134"/>
      <c r="Q896" s="314" t="e">
        <f>$I$896*W954/(V954+$W$954+$X$954)</f>
        <v>#DIV/0!</v>
      </c>
      <c r="R896" s="133"/>
      <c r="S896" s="134"/>
      <c r="T896" s="134"/>
      <c r="U896" s="314" t="e">
        <f>$I$896*X954/($V$954+$W$954+$X$954)</f>
        <v>#DIV/0!</v>
      </c>
      <c r="Z896" s="44"/>
      <c r="AA896" s="44"/>
      <c r="AB896" s="44"/>
      <c r="AC896" s="44"/>
      <c r="AD896" s="44"/>
      <c r="AE896" s="44"/>
      <c r="AF896" s="44"/>
      <c r="AG896" s="44"/>
      <c r="AH896" s="44"/>
      <c r="AI896" s="44"/>
      <c r="AJ896" s="44"/>
      <c r="AK896" s="44"/>
      <c r="AL896" s="44"/>
      <c r="AM896" s="44"/>
      <c r="AN896" s="44"/>
      <c r="AO896" s="44"/>
      <c r="AP896" s="44"/>
    </row>
    <row r="897" spans="1:45" ht="16.5" thickBot="1" x14ac:dyDescent="0.3">
      <c r="A897" s="149" t="s">
        <v>115</v>
      </c>
      <c r="B897" s="149"/>
      <c r="C897" s="315">
        <f>SUM(C895)+C896</f>
        <v>2252807.7291342677</v>
      </c>
      <c r="D897" s="245"/>
      <c r="E897" s="232"/>
      <c r="F897" s="233">
        <f>F895+F896</f>
        <v>325816.90541901148</v>
      </c>
      <c r="G897" s="245"/>
      <c r="H897" s="232"/>
      <c r="I897" s="233">
        <f>I895+I896</f>
        <v>333559.90541901148</v>
      </c>
      <c r="J897" s="233"/>
      <c r="K897" s="245"/>
      <c r="L897" s="232"/>
      <c r="M897" s="233" t="e">
        <f>M895+M896</f>
        <v>#DIV/0!</v>
      </c>
      <c r="N897" s="233"/>
      <c r="O897" s="245"/>
      <c r="P897" s="232"/>
      <c r="Q897" s="233" t="e">
        <f>Q895+Q896</f>
        <v>#DIV/0!</v>
      </c>
      <c r="R897" s="233"/>
      <c r="S897" s="245"/>
      <c r="T897" s="232"/>
      <c r="U897" s="233" t="e">
        <f>U895+U896</f>
        <v>#DIV/0!</v>
      </c>
      <c r="V897" s="139" t="s">
        <v>94</v>
      </c>
      <c r="W897" s="316">
        <v>333313.81917975377</v>
      </c>
      <c r="X897" s="141">
        <v>1.6941448609556001E-2</v>
      </c>
      <c r="Y897" s="142"/>
      <c r="Z897" s="44"/>
      <c r="AA897" s="44"/>
      <c r="AB897" s="44"/>
      <c r="AC897" s="44"/>
      <c r="AD897" s="44"/>
      <c r="AE897" s="44"/>
      <c r="AF897" s="44"/>
      <c r="AG897" s="44"/>
      <c r="AH897" s="44"/>
      <c r="AI897" s="44"/>
      <c r="AJ897" s="44"/>
      <c r="AK897" s="44"/>
      <c r="AL897" s="44"/>
      <c r="AM897" s="44"/>
      <c r="AN897" s="44"/>
      <c r="AO897" s="44"/>
      <c r="AP897" s="44"/>
    </row>
    <row r="898" spans="1:45" ht="16.5" thickTop="1" x14ac:dyDescent="0.25">
      <c r="A898" s="149"/>
      <c r="B898" s="149"/>
      <c r="C898" s="169"/>
      <c r="D898" s="226"/>
      <c r="E898" s="149"/>
      <c r="F898" s="111"/>
      <c r="G898" s="226"/>
      <c r="H898" s="149"/>
      <c r="I898" s="246"/>
      <c r="J898" s="246"/>
      <c r="K898" s="226"/>
      <c r="L898" s="149"/>
      <c r="M898" s="246"/>
      <c r="N898" s="246"/>
      <c r="O898" s="226"/>
      <c r="P898" s="149"/>
      <c r="Q898" s="246"/>
      <c r="R898" s="246"/>
      <c r="S898" s="226"/>
      <c r="T898" s="149"/>
      <c r="U898" s="246"/>
      <c r="V898" s="150" t="s">
        <v>96</v>
      </c>
      <c r="W898" s="151">
        <f>W897-I897</f>
        <v>-246.08623925771099</v>
      </c>
      <c r="X898" s="240" t="s">
        <v>0</v>
      </c>
      <c r="Y898" s="84"/>
      <c r="Z898" s="44"/>
      <c r="AA898" s="44"/>
      <c r="AB898" s="44"/>
      <c r="AC898" s="44"/>
      <c r="AD898" s="44"/>
      <c r="AE898" s="44"/>
      <c r="AF898" s="44"/>
      <c r="AG898" s="44"/>
      <c r="AH898" s="44"/>
      <c r="AI898" s="44"/>
      <c r="AJ898" s="44"/>
      <c r="AK898" s="44"/>
      <c r="AL898" s="44"/>
      <c r="AM898" s="44"/>
      <c r="AN898" s="44"/>
      <c r="AO898" s="44"/>
      <c r="AP898" s="44"/>
    </row>
    <row r="899" spans="1:45" x14ac:dyDescent="0.25">
      <c r="A899" s="168" t="s">
        <v>217</v>
      </c>
      <c r="B899" s="149"/>
      <c r="C899" s="149"/>
      <c r="D899" s="111"/>
      <c r="E899" s="149"/>
      <c r="F899" s="149"/>
      <c r="G899" s="111"/>
      <c r="H899" s="149"/>
      <c r="I899" s="149"/>
      <c r="J899" s="149"/>
      <c r="K899" s="111"/>
      <c r="L899" s="149"/>
      <c r="M899" s="149"/>
      <c r="N899" s="149"/>
      <c r="O899" s="111"/>
      <c r="P899" s="149"/>
      <c r="Q899" s="149"/>
      <c r="R899" s="149"/>
      <c r="S899" s="111"/>
      <c r="T899" s="149"/>
      <c r="U899" s="149"/>
      <c r="V899" s="44"/>
      <c r="W899" s="91"/>
      <c r="X899" s="91"/>
      <c r="Y899" s="91"/>
      <c r="Z899" s="44"/>
      <c r="AA899" s="44"/>
      <c r="AB899" s="44"/>
      <c r="AC899" s="44"/>
      <c r="AD899" s="44"/>
      <c r="AE899" s="44"/>
      <c r="AF899" s="44"/>
      <c r="AG899" s="44"/>
      <c r="AH899" s="44"/>
      <c r="AI899" s="44"/>
      <c r="AJ899" s="44"/>
      <c r="AK899" s="44"/>
      <c r="AL899" s="44"/>
      <c r="AM899" s="44"/>
      <c r="AN899" s="44"/>
      <c r="AO899" s="44"/>
      <c r="AP899" s="44"/>
    </row>
    <row r="900" spans="1:45" x14ac:dyDescent="0.25">
      <c r="A900" s="134" t="s">
        <v>218</v>
      </c>
      <c r="B900" s="149"/>
      <c r="C900" s="149"/>
      <c r="D900" s="111"/>
      <c r="E900" s="149"/>
      <c r="F900" s="149"/>
      <c r="G900" s="111"/>
      <c r="H900" s="149"/>
      <c r="I900" s="149"/>
      <c r="J900" s="149"/>
      <c r="K900" s="111"/>
      <c r="L900" s="149"/>
      <c r="M900" s="149"/>
      <c r="N900" s="149"/>
      <c r="O900" s="111"/>
      <c r="P900" s="149"/>
      <c r="Q900" s="149"/>
      <c r="R900" s="149"/>
      <c r="S900" s="111"/>
      <c r="T900" s="149"/>
      <c r="U900" s="149"/>
      <c r="V900" s="44"/>
      <c r="W900" s="91"/>
      <c r="X900" s="91"/>
      <c r="Y900" s="91"/>
      <c r="Z900" s="44"/>
      <c r="AA900" s="44"/>
      <c r="AB900" s="44"/>
      <c r="AC900" s="44"/>
      <c r="AD900" s="44"/>
      <c r="AE900" s="44"/>
      <c r="AF900" s="44"/>
      <c r="AG900" s="44"/>
      <c r="AH900" s="44"/>
      <c r="AI900" s="44"/>
      <c r="AJ900" s="44"/>
      <c r="AK900" s="44"/>
      <c r="AL900" s="44"/>
      <c r="AM900" s="44"/>
      <c r="AN900" s="44"/>
      <c r="AO900" s="44"/>
      <c r="AP900" s="44"/>
    </row>
    <row r="901" spans="1:45" x14ac:dyDescent="0.25">
      <c r="A901" s="206"/>
      <c r="B901" s="149"/>
      <c r="C901" s="149"/>
      <c r="D901" s="111"/>
      <c r="E901" s="149"/>
      <c r="F901" s="149"/>
      <c r="G901" s="111"/>
      <c r="H901" s="149"/>
      <c r="I901" s="149"/>
      <c r="J901" s="149"/>
      <c r="K901" s="111"/>
      <c r="L901" s="149"/>
      <c r="M901" s="149"/>
      <c r="N901" s="149"/>
      <c r="O901" s="111"/>
      <c r="P901" s="149"/>
      <c r="Q901" s="149"/>
      <c r="R901" s="149"/>
      <c r="S901" s="111"/>
      <c r="T901" s="149"/>
      <c r="U901" s="149"/>
      <c r="V901" s="44"/>
      <c r="W901" s="91"/>
      <c r="X901" s="91"/>
      <c r="Y901" s="91"/>
      <c r="Z901" s="44"/>
      <c r="AA901" s="44"/>
      <c r="AB901" s="44"/>
      <c r="AC901" s="44"/>
      <c r="AD901" s="44"/>
      <c r="AE901" s="44"/>
      <c r="AF901" s="44"/>
      <c r="AG901" s="44"/>
      <c r="AH901" s="44"/>
      <c r="AI901" s="44"/>
      <c r="AJ901" s="44"/>
      <c r="AK901" s="44"/>
      <c r="AL901" s="44"/>
      <c r="AM901" s="44"/>
      <c r="AN901" s="44"/>
      <c r="AO901" s="44"/>
      <c r="AP901" s="44"/>
    </row>
    <row r="902" spans="1:45" x14ac:dyDescent="0.25">
      <c r="A902" s="206" t="s">
        <v>127</v>
      </c>
      <c r="B902" s="149"/>
      <c r="C902" s="204"/>
      <c r="D902" s="111"/>
      <c r="E902" s="149"/>
      <c r="F902" s="149"/>
      <c r="G902" s="111"/>
      <c r="H902" s="149"/>
      <c r="I902" s="149"/>
      <c r="J902" s="149"/>
      <c r="K902" s="111"/>
      <c r="L902" s="149"/>
      <c r="M902" s="149"/>
      <c r="N902" s="149"/>
      <c r="O902" s="111"/>
      <c r="P902" s="149"/>
      <c r="Q902" s="149"/>
      <c r="R902" s="149"/>
      <c r="S902" s="111"/>
      <c r="T902" s="149"/>
      <c r="U902" s="149"/>
      <c r="V902" s="44"/>
      <c r="W902" s="91"/>
      <c r="X902" s="91"/>
      <c r="Y902" s="91"/>
      <c r="Z902" s="44"/>
      <c r="AA902" s="44"/>
      <c r="AB902" s="44"/>
      <c r="AC902" s="44"/>
      <c r="AD902" s="44"/>
      <c r="AE902" s="44"/>
      <c r="AF902" s="44"/>
      <c r="AG902" s="44"/>
      <c r="AH902" s="44"/>
      <c r="AI902" s="44"/>
      <c r="AJ902" s="44"/>
      <c r="AK902" s="44"/>
      <c r="AL902" s="44"/>
      <c r="AM902" s="44"/>
      <c r="AN902" s="44"/>
      <c r="AO902" s="44"/>
      <c r="AP902" s="44"/>
    </row>
    <row r="903" spans="1:45" x14ac:dyDescent="0.25">
      <c r="A903" s="206" t="s">
        <v>213</v>
      </c>
      <c r="B903" s="149"/>
      <c r="C903" s="204">
        <f t="shared" ref="C903:C908" si="141">C922+C1091</f>
        <v>781.84848484848533</v>
      </c>
      <c r="D903" s="226"/>
      <c r="E903" s="223"/>
      <c r="F903" s="111">
        <f>F922+F1091</f>
        <v>1107359</v>
      </c>
      <c r="G903" s="226"/>
      <c r="H903" s="223"/>
      <c r="I903" s="111">
        <f>I922+I1091</f>
        <v>1131987</v>
      </c>
      <c r="J903" s="111"/>
      <c r="K903" s="226"/>
      <c r="L903" s="223"/>
      <c r="M903" s="111">
        <f>M922+M1091</f>
        <v>1107359</v>
      </c>
      <c r="N903" s="111"/>
      <c r="O903" s="226"/>
      <c r="P903" s="223"/>
      <c r="Q903" s="111">
        <f>Q922+Q1091</f>
        <v>0</v>
      </c>
      <c r="R903" s="111"/>
      <c r="S903" s="226"/>
      <c r="T903" s="223"/>
      <c r="U903" s="111">
        <f>U922+U1091</f>
        <v>0</v>
      </c>
      <c r="W903" s="52" t="s">
        <v>0</v>
      </c>
      <c r="X903" s="92"/>
      <c r="Y903" s="92"/>
      <c r="AG903" s="211"/>
      <c r="AH903" s="211"/>
      <c r="AN903" s="44"/>
      <c r="AO903" s="44"/>
      <c r="AP903" s="44"/>
      <c r="AQ903" s="44"/>
      <c r="AR903" s="44"/>
      <c r="AS903" s="44"/>
    </row>
    <row r="904" spans="1:45" x14ac:dyDescent="0.25">
      <c r="A904" s="206" t="s">
        <v>214</v>
      </c>
      <c r="B904" s="149"/>
      <c r="C904" s="204">
        <f t="shared" si="141"/>
        <v>12.033333333333299</v>
      </c>
      <c r="D904" s="226"/>
      <c r="E904" s="251"/>
      <c r="F904" s="111">
        <f>F923+F1092</f>
        <v>32237</v>
      </c>
      <c r="G904" s="226"/>
      <c r="H904" s="251"/>
      <c r="I904" s="111">
        <f>I923+I1092</f>
        <v>34283</v>
      </c>
      <c r="J904" s="111"/>
      <c r="K904" s="226"/>
      <c r="L904" s="251"/>
      <c r="M904" s="111">
        <f>M923+M1092</f>
        <v>32237</v>
      </c>
      <c r="N904" s="111"/>
      <c r="O904" s="226"/>
      <c r="P904" s="251"/>
      <c r="Q904" s="111">
        <f>Q923+Q1092</f>
        <v>0</v>
      </c>
      <c r="R904" s="111"/>
      <c r="S904" s="226"/>
      <c r="T904" s="251"/>
      <c r="U904" s="111">
        <f>U923+U1092</f>
        <v>0</v>
      </c>
      <c r="W904" s="52" t="s">
        <v>0</v>
      </c>
      <c r="X904" s="92"/>
      <c r="Y904" s="92"/>
      <c r="Z904" s="178"/>
      <c r="AA904" s="178"/>
      <c r="AB904" s="178"/>
      <c r="AC904" s="178"/>
      <c r="AD904" s="178"/>
      <c r="AE904" s="178"/>
      <c r="AF904" s="80"/>
      <c r="AG904" s="211"/>
      <c r="AH904" s="211"/>
      <c r="AN904" s="44"/>
      <c r="AO904" s="44"/>
      <c r="AP904" s="44"/>
      <c r="AQ904" s="44"/>
      <c r="AR904" s="44"/>
      <c r="AS904" s="44"/>
    </row>
    <row r="905" spans="1:45" x14ac:dyDescent="0.25">
      <c r="A905" s="206" t="s">
        <v>128</v>
      </c>
      <c r="B905" s="149"/>
      <c r="C905" s="204">
        <f t="shared" si="141"/>
        <v>793.88181818181874</v>
      </c>
      <c r="D905" s="226"/>
      <c r="E905" s="223"/>
      <c r="F905" s="111"/>
      <c r="G905" s="226"/>
      <c r="H905" s="223"/>
      <c r="I905" s="111"/>
      <c r="J905" s="111"/>
      <c r="K905" s="226"/>
      <c r="L905" s="223"/>
      <c r="M905" s="111"/>
      <c r="N905" s="111"/>
      <c r="O905" s="226"/>
      <c r="P905" s="223"/>
      <c r="Q905" s="111"/>
      <c r="R905" s="111"/>
      <c r="S905" s="226"/>
      <c r="T905" s="223"/>
      <c r="U905" s="111"/>
      <c r="W905" s="205"/>
      <c r="X905" s="92"/>
      <c r="Y905" s="92"/>
      <c r="Z905" s="178"/>
      <c r="AA905" s="178"/>
      <c r="AB905" s="178"/>
      <c r="AC905" s="178"/>
      <c r="AD905" s="178"/>
      <c r="AE905" s="178"/>
      <c r="AF905" s="80"/>
      <c r="AN905" s="44"/>
      <c r="AO905" s="44"/>
      <c r="AP905" s="44"/>
      <c r="AQ905" s="44"/>
      <c r="AR905" s="44"/>
      <c r="AS905" s="44"/>
    </row>
    <row r="906" spans="1:45" x14ac:dyDescent="0.25">
      <c r="A906" s="206" t="s">
        <v>215</v>
      </c>
      <c r="B906" s="149"/>
      <c r="C906" s="204">
        <f t="shared" si="141"/>
        <v>1152406.7586206889</v>
      </c>
      <c r="D906" s="226"/>
      <c r="E906" s="223"/>
      <c r="F906" s="111">
        <f>F925+F1094</f>
        <v>1163685</v>
      </c>
      <c r="G906" s="226"/>
      <c r="H906" s="223"/>
      <c r="I906" s="111">
        <f>I925+I1094</f>
        <v>1193640</v>
      </c>
      <c r="J906" s="111"/>
      <c r="K906" s="226"/>
      <c r="L906" s="223"/>
      <c r="M906" s="111">
        <f>M925+M1094</f>
        <v>1163685</v>
      </c>
      <c r="N906" s="111"/>
      <c r="O906" s="226"/>
      <c r="P906" s="223"/>
      <c r="Q906" s="111">
        <f>Q925+Q1094</f>
        <v>0</v>
      </c>
      <c r="R906" s="111"/>
      <c r="S906" s="226"/>
      <c r="T906" s="223"/>
      <c r="U906" s="111">
        <f>U925+U1094</f>
        <v>0</v>
      </c>
      <c r="W906" s="52" t="s">
        <v>0</v>
      </c>
      <c r="X906" s="92"/>
      <c r="Y906" s="92"/>
      <c r="Z906" s="178"/>
      <c r="AA906" s="178"/>
      <c r="AB906" s="178"/>
      <c r="AC906" s="178"/>
      <c r="AD906" s="178"/>
      <c r="AE906" s="178"/>
      <c r="AF906" s="80"/>
      <c r="AN906" s="44"/>
      <c r="AO906" s="44"/>
      <c r="AP906" s="44"/>
      <c r="AQ906" s="44"/>
      <c r="AR906" s="44"/>
      <c r="AS906" s="44"/>
    </row>
    <row r="907" spans="1:45" x14ac:dyDescent="0.25">
      <c r="A907" s="206" t="s">
        <v>216</v>
      </c>
      <c r="B907" s="149"/>
      <c r="C907" s="204">
        <f t="shared" si="141"/>
        <v>703485</v>
      </c>
      <c r="D907" s="226"/>
      <c r="E907" s="223"/>
      <c r="F907" s="111">
        <f>F926+F1095</f>
        <v>175871</v>
      </c>
      <c r="G907" s="226"/>
      <c r="H907" s="223"/>
      <c r="I907" s="111">
        <f>I926+I1095</f>
        <v>182906</v>
      </c>
      <c r="J907" s="111"/>
      <c r="K907" s="226"/>
      <c r="L907" s="223"/>
      <c r="M907" s="111">
        <f>M926+M1095</f>
        <v>175871</v>
      </c>
      <c r="N907" s="111"/>
      <c r="O907" s="226"/>
      <c r="P907" s="223"/>
      <c r="Q907" s="111">
        <f>Q926+Q1095</f>
        <v>0</v>
      </c>
      <c r="R907" s="111"/>
      <c r="S907" s="226"/>
      <c r="T907" s="223"/>
      <c r="U907" s="111">
        <f>U926+U1095</f>
        <v>0</v>
      </c>
      <c r="W907" s="52" t="s">
        <v>0</v>
      </c>
      <c r="X907" s="92"/>
      <c r="Y907" s="92"/>
      <c r="Z907" s="178"/>
      <c r="AA907" s="178"/>
      <c r="AB907" s="178"/>
      <c r="AC907" s="178"/>
      <c r="AD907" s="178"/>
      <c r="AE907" s="178"/>
      <c r="AF907" s="80"/>
      <c r="AN907" s="44"/>
      <c r="AO907" s="44"/>
      <c r="AP907" s="44"/>
      <c r="AQ907" s="44"/>
      <c r="AR907" s="44"/>
      <c r="AS907" s="44"/>
    </row>
    <row r="908" spans="1:45" x14ac:dyDescent="0.25">
      <c r="A908" s="134" t="s">
        <v>142</v>
      </c>
      <c r="B908" s="149"/>
      <c r="C908" s="204">
        <f t="shared" si="141"/>
        <v>1624150.3448275861</v>
      </c>
      <c r="D908" s="226"/>
      <c r="E908" s="223"/>
      <c r="F908" s="111">
        <f>F927+F1096</f>
        <v>12753358</v>
      </c>
      <c r="G908" s="226"/>
      <c r="H908" s="223"/>
      <c r="I908" s="111">
        <f>I927+I1096</f>
        <v>13055100</v>
      </c>
      <c r="J908" s="111"/>
      <c r="K908" s="226"/>
      <c r="L908" s="223"/>
      <c r="M908" s="111" t="e">
        <f>M927+M1096</f>
        <v>#DIV/0!</v>
      </c>
      <c r="N908" s="111"/>
      <c r="O908" s="226"/>
      <c r="P908" s="223"/>
      <c r="Q908" s="111" t="e">
        <f>Q927+Q1096</f>
        <v>#DIV/0!</v>
      </c>
      <c r="R908" s="111"/>
      <c r="S908" s="226"/>
      <c r="T908" s="223"/>
      <c r="U908" s="111" t="e">
        <f>U927+U1096</f>
        <v>#DIV/0!</v>
      </c>
      <c r="W908" s="52" t="s">
        <v>0</v>
      </c>
      <c r="X908" s="92"/>
      <c r="Y908" s="92"/>
      <c r="Z908" s="178"/>
      <c r="AA908" s="178"/>
      <c r="AB908" s="178"/>
      <c r="AC908" s="178"/>
      <c r="AD908" s="178"/>
      <c r="AE908" s="178"/>
      <c r="AF908" s="80"/>
      <c r="AN908" s="44"/>
      <c r="AO908" s="44"/>
      <c r="AP908" s="44"/>
      <c r="AQ908" s="44"/>
      <c r="AR908" s="44"/>
      <c r="AS908" s="44"/>
    </row>
    <row r="909" spans="1:45" x14ac:dyDescent="0.25">
      <c r="A909" s="206" t="s">
        <v>164</v>
      </c>
      <c r="B909" s="149"/>
      <c r="C909" s="204"/>
      <c r="D909" s="226"/>
      <c r="E909" s="223"/>
      <c r="F909" s="111"/>
      <c r="G909" s="226"/>
      <c r="H909" s="223"/>
      <c r="I909" s="111"/>
      <c r="J909" s="111"/>
      <c r="K909" s="226"/>
      <c r="L909" s="223"/>
      <c r="M909" s="111"/>
      <c r="N909" s="111"/>
      <c r="O909" s="226"/>
      <c r="P909" s="223"/>
      <c r="Q909" s="111"/>
      <c r="R909" s="111"/>
      <c r="S909" s="226"/>
      <c r="T909" s="223"/>
      <c r="U909" s="111"/>
      <c r="W909" s="205"/>
      <c r="AI909" s="44"/>
      <c r="AJ909" s="44"/>
      <c r="AK909" s="44"/>
      <c r="AL909" s="44"/>
      <c r="AM909" s="44"/>
      <c r="AN909" s="44"/>
      <c r="AO909" s="44"/>
      <c r="AP909" s="44"/>
    </row>
    <row r="910" spans="1:45" x14ac:dyDescent="0.25">
      <c r="A910" s="206" t="s">
        <v>203</v>
      </c>
      <c r="B910" s="149"/>
      <c r="C910" s="204">
        <f>C929+C1098</f>
        <v>869720303.16002488</v>
      </c>
      <c r="D910" s="317"/>
      <c r="E910" s="223"/>
      <c r="F910" s="111">
        <f>F929+F1098</f>
        <v>40771202</v>
      </c>
      <c r="G910" s="318"/>
      <c r="H910" s="223"/>
      <c r="I910" s="111">
        <f>I929+I1098</f>
        <v>41726660</v>
      </c>
      <c r="J910" s="111"/>
      <c r="K910" s="318"/>
      <c r="L910" s="223"/>
      <c r="M910" s="111">
        <f>M929+M1098</f>
        <v>0</v>
      </c>
      <c r="N910" s="111"/>
      <c r="O910" s="318"/>
      <c r="P910" s="223"/>
      <c r="Q910" s="111" t="e">
        <f>Q929+Q1098</f>
        <v>#DIV/0!</v>
      </c>
      <c r="R910" s="111"/>
      <c r="S910" s="318"/>
      <c r="T910" s="223"/>
      <c r="U910" s="111" t="e">
        <f>U929+U1098</f>
        <v>#DIV/0!</v>
      </c>
      <c r="W910" s="52" t="s">
        <v>0</v>
      </c>
      <c r="AI910" s="44"/>
      <c r="AJ910" s="44"/>
      <c r="AK910" s="44"/>
      <c r="AL910" s="44"/>
      <c r="AM910" s="44"/>
      <c r="AN910" s="44"/>
      <c r="AO910" s="44"/>
      <c r="AP910" s="44"/>
    </row>
    <row r="911" spans="1:45" x14ac:dyDescent="0.25">
      <c r="A911" s="206" t="s">
        <v>133</v>
      </c>
      <c r="B911" s="149"/>
      <c r="C911" s="204">
        <f>C930+C1099</f>
        <v>359083.13939393929</v>
      </c>
      <c r="D911" s="226"/>
      <c r="E911" s="223"/>
      <c r="F911" s="111">
        <f>F930+F1099</f>
        <v>197256</v>
      </c>
      <c r="G911" s="226"/>
      <c r="H911" s="223"/>
      <c r="I911" s="111">
        <f>I930+I1099</f>
        <v>200846</v>
      </c>
      <c r="J911" s="111"/>
      <c r="K911" s="226"/>
      <c r="L911" s="223"/>
      <c r="M911" s="111">
        <f>M930+M1099</f>
        <v>0</v>
      </c>
      <c r="N911" s="111"/>
      <c r="O911" s="226"/>
      <c r="P911" s="223"/>
      <c r="Q911" s="111" t="e">
        <f>Q930+Q1099</f>
        <v>#DIV/0!</v>
      </c>
      <c r="R911" s="111"/>
      <c r="S911" s="226"/>
      <c r="T911" s="223"/>
      <c r="U911" s="111" t="e">
        <f>U930+U1099</f>
        <v>#DIV/0!</v>
      </c>
      <c r="V911" s="205"/>
      <c r="W911" s="52" t="s">
        <v>0</v>
      </c>
      <c r="AI911" s="44"/>
      <c r="AJ911" s="44"/>
      <c r="AK911" s="44"/>
      <c r="AL911" s="44"/>
      <c r="AM911" s="44"/>
      <c r="AN911" s="44"/>
      <c r="AO911" s="44"/>
      <c r="AP911" s="44"/>
    </row>
    <row r="912" spans="1:45" s="120" customFormat="1" hidden="1" x14ac:dyDescent="0.25">
      <c r="A912" s="119" t="s">
        <v>204</v>
      </c>
      <c r="C912" s="214">
        <f>C932+C1115</f>
        <v>411242303.16002488</v>
      </c>
      <c r="D912" s="128"/>
      <c r="E912" s="122"/>
      <c r="F912" s="123"/>
      <c r="G912" s="110"/>
      <c r="H912" s="122"/>
      <c r="I912" s="123">
        <f>I932+I1115</f>
        <v>29970919</v>
      </c>
      <c r="J912" s="123"/>
      <c r="K912" s="110"/>
      <c r="L912" s="122"/>
      <c r="M912" s="123" t="e">
        <f>M932+M1115</f>
        <v>#DIV/0!</v>
      </c>
      <c r="N912" s="123"/>
      <c r="O912" s="110"/>
      <c r="P912" s="122"/>
      <c r="Q912" s="123" t="e">
        <f>Q932+Q1115</f>
        <v>#DIV/0!</v>
      </c>
      <c r="R912" s="123"/>
      <c r="S912" s="110"/>
      <c r="T912" s="122"/>
      <c r="U912" s="123" t="e">
        <f>U932+U1115</f>
        <v>#DIV/0!</v>
      </c>
      <c r="W912" s="112"/>
      <c r="Z912" s="127"/>
      <c r="AA912" s="127"/>
      <c r="AF912" s="122"/>
      <c r="AG912" s="122"/>
      <c r="AH912" s="122"/>
      <c r="AI912" s="122"/>
      <c r="AJ912" s="122"/>
      <c r="AK912" s="122"/>
      <c r="AL912" s="122"/>
      <c r="AM912" s="122"/>
      <c r="AN912" s="122"/>
      <c r="AO912" s="122"/>
      <c r="AP912" s="122"/>
      <c r="AR912" s="126"/>
    </row>
    <row r="913" spans="1:44" x14ac:dyDescent="0.25">
      <c r="A913" s="149" t="s">
        <v>114</v>
      </c>
      <c r="B913" s="149"/>
      <c r="C913" s="204">
        <f>C932+C1102</f>
        <v>869720303.16002488</v>
      </c>
      <c r="D913" s="251"/>
      <c r="E913" s="149"/>
      <c r="F913" s="111">
        <f>F932+F1102</f>
        <v>56200968</v>
      </c>
      <c r="G913" s="111"/>
      <c r="H913" s="149"/>
      <c r="I913" s="111">
        <f>I932+I1102</f>
        <v>57525422</v>
      </c>
      <c r="J913" s="111"/>
      <c r="K913" s="111"/>
      <c r="L913" s="149"/>
      <c r="M913" s="111" t="e">
        <f>M932+M1102</f>
        <v>#DIV/0!</v>
      </c>
      <c r="N913" s="111"/>
      <c r="O913" s="111"/>
      <c r="P913" s="149"/>
      <c r="Q913" s="111" t="e">
        <f>Q932+Q1102</f>
        <v>#DIV/0!</v>
      </c>
      <c r="R913" s="111"/>
      <c r="S913" s="111"/>
      <c r="T913" s="149"/>
      <c r="U913" s="111" t="e">
        <f>U932+U1102</f>
        <v>#DIV/0!</v>
      </c>
      <c r="AI913" s="44"/>
      <c r="AJ913" s="44"/>
      <c r="AK913" s="44"/>
      <c r="AL913" s="44"/>
      <c r="AM913" s="44"/>
      <c r="AN913" s="44"/>
      <c r="AO913" s="44"/>
      <c r="AP913" s="44"/>
    </row>
    <row r="914" spans="1:44" x14ac:dyDescent="0.25">
      <c r="A914" s="149" t="s">
        <v>92</v>
      </c>
      <c r="B914" s="149"/>
      <c r="C914" s="229">
        <f>C933+C1103</f>
        <v>3474016.6711449809</v>
      </c>
      <c r="D914" s="134"/>
      <c r="E914" s="134"/>
      <c r="F914" s="314">
        <f>F933+F1103</f>
        <v>239959.44409985474</v>
      </c>
      <c r="G914" s="134"/>
      <c r="H914" s="134"/>
      <c r="I914" s="314">
        <f>I933+I1103</f>
        <v>239959.44409985474</v>
      </c>
      <c r="J914" s="133"/>
      <c r="K914" s="134"/>
      <c r="L914" s="134"/>
      <c r="M914" s="314" t="e">
        <f>M933+M1103</f>
        <v>#DIV/0!</v>
      </c>
      <c r="N914" s="133"/>
      <c r="O914" s="134"/>
      <c r="P914" s="134"/>
      <c r="Q914" s="314" t="e">
        <f>Q933+Q1103</f>
        <v>#DIV/0!</v>
      </c>
      <c r="R914" s="133"/>
      <c r="S914" s="134"/>
      <c r="T914" s="134"/>
      <c r="U914" s="314" t="e">
        <f>U933+U1103</f>
        <v>#DIV/0!</v>
      </c>
      <c r="Z914" s="154"/>
      <c r="AA914" s="154"/>
      <c r="AI914" s="44"/>
      <c r="AJ914" s="44"/>
      <c r="AK914" s="44"/>
      <c r="AL914" s="44"/>
      <c r="AM914" s="44"/>
      <c r="AN914" s="44"/>
      <c r="AO914" s="44"/>
      <c r="AP914" s="44"/>
    </row>
    <row r="915" spans="1:44" ht="16.5" thickBot="1" x14ac:dyDescent="0.3">
      <c r="A915" s="149" t="s">
        <v>115</v>
      </c>
      <c r="B915" s="149"/>
      <c r="C915" s="319">
        <f>SUM(C913:C914)</f>
        <v>873194319.83116984</v>
      </c>
      <c r="D915" s="245"/>
      <c r="E915" s="232"/>
      <c r="F915" s="320">
        <f>F913+F914</f>
        <v>56440927.444099858</v>
      </c>
      <c r="G915" s="245"/>
      <c r="H915" s="232"/>
      <c r="I915" s="320">
        <f>I913+I914</f>
        <v>57765381.444099858</v>
      </c>
      <c r="J915" s="133"/>
      <c r="K915" s="245"/>
      <c r="L915" s="232"/>
      <c r="M915" s="320" t="e">
        <f>M913+M914</f>
        <v>#DIV/0!</v>
      </c>
      <c r="N915" s="133"/>
      <c r="O915" s="245"/>
      <c r="P915" s="232"/>
      <c r="Q915" s="320" t="e">
        <f>Q913+Q914</f>
        <v>#DIV/0!</v>
      </c>
      <c r="R915" s="133"/>
      <c r="S915" s="245"/>
      <c r="T915" s="232"/>
      <c r="U915" s="320" t="e">
        <f>U913+U914</f>
        <v>#DIV/0!</v>
      </c>
      <c r="V915" s="139" t="s">
        <v>94</v>
      </c>
      <c r="W915" s="316">
        <v>58099015.069449544</v>
      </c>
      <c r="X915" s="141">
        <v>1.6941448609556001E-2</v>
      </c>
      <c r="Y915" s="142"/>
      <c r="AI915" s="44"/>
      <c r="AJ915" s="44"/>
      <c r="AK915" s="44"/>
      <c r="AL915" s="44"/>
      <c r="AM915" s="44"/>
      <c r="AN915" s="44"/>
      <c r="AO915" s="44"/>
      <c r="AP915" s="44"/>
    </row>
    <row r="916" spans="1:44" ht="16.5" thickTop="1" x14ac:dyDescent="0.25">
      <c r="A916" s="149"/>
      <c r="B916" s="149"/>
      <c r="C916" s="169"/>
      <c r="D916" s="226" t="s">
        <v>0</v>
      </c>
      <c r="E916" s="149"/>
      <c r="F916" s="111"/>
      <c r="G916" s="250" t="s">
        <v>0</v>
      </c>
      <c r="H916" s="149"/>
      <c r="I916" s="111" t="s">
        <v>0</v>
      </c>
      <c r="J916" s="111"/>
      <c r="K916" s="250" t="s">
        <v>0</v>
      </c>
      <c r="L916" s="149"/>
      <c r="M916" s="111" t="s">
        <v>0</v>
      </c>
      <c r="N916" s="111"/>
      <c r="O916" s="250" t="s">
        <v>0</v>
      </c>
      <c r="P916" s="149"/>
      <c r="Q916" s="111" t="s">
        <v>0</v>
      </c>
      <c r="R916" s="111"/>
      <c r="S916" s="250" t="s">
        <v>0</v>
      </c>
      <c r="T916" s="149"/>
      <c r="U916" s="111" t="s">
        <v>0</v>
      </c>
      <c r="V916" s="150" t="s">
        <v>96</v>
      </c>
      <c r="W916" s="151">
        <f>W915-I915-I897</f>
        <v>73.719930674065836</v>
      </c>
      <c r="X916" s="282" t="s">
        <v>0</v>
      </c>
      <c r="Y916" s="241"/>
      <c r="AI916" s="44"/>
      <c r="AJ916" s="44"/>
      <c r="AK916" s="44"/>
      <c r="AL916" s="44"/>
      <c r="AM916" s="44"/>
      <c r="AN916" s="44"/>
      <c r="AO916" s="44"/>
      <c r="AP916" s="44"/>
    </row>
    <row r="917" spans="1:44" x14ac:dyDescent="0.25">
      <c r="A917" s="149"/>
      <c r="B917" s="149"/>
      <c r="C917" s="169"/>
      <c r="D917" s="226"/>
      <c r="E917" s="149"/>
      <c r="F917" s="111" t="s">
        <v>0</v>
      </c>
      <c r="G917" s="226"/>
      <c r="H917" s="149"/>
      <c r="I917" s="246"/>
      <c r="J917" s="246"/>
      <c r="K917" s="226"/>
      <c r="L917" s="149"/>
      <c r="M917" s="246"/>
      <c r="N917" s="246"/>
      <c r="O917" s="226"/>
      <c r="P917" s="149"/>
      <c r="Q917" s="246"/>
      <c r="R917" s="246"/>
      <c r="S917" s="226"/>
      <c r="T917" s="149"/>
      <c r="U917" s="246"/>
      <c r="X917" s="91"/>
      <c r="Y917" s="91"/>
      <c r="Z917" s="44"/>
      <c r="AA917" s="44"/>
      <c r="AB917" s="44"/>
      <c r="AC917" s="44"/>
      <c r="AD917" s="44"/>
      <c r="AE917" s="44"/>
      <c r="AF917" s="44"/>
      <c r="AG917" s="44"/>
      <c r="AH917" s="44"/>
      <c r="AI917" s="44"/>
      <c r="AJ917" s="44"/>
      <c r="AK917" s="44"/>
      <c r="AL917" s="44"/>
      <c r="AM917" s="44"/>
      <c r="AN917" s="44"/>
      <c r="AO917" s="44"/>
      <c r="AP917" s="44"/>
    </row>
    <row r="918" spans="1:44" x14ac:dyDescent="0.25">
      <c r="A918" s="168" t="s">
        <v>217</v>
      </c>
      <c r="B918" s="149"/>
      <c r="C918" s="149"/>
      <c r="D918" s="111"/>
      <c r="E918" s="149"/>
      <c r="F918" s="149"/>
      <c r="G918" s="111"/>
      <c r="H918" s="149"/>
      <c r="I918" s="149"/>
      <c r="J918" s="149"/>
      <c r="K918" s="111"/>
      <c r="L918" s="149"/>
      <c r="M918" s="149"/>
      <c r="N918" s="149"/>
      <c r="O918" s="111"/>
      <c r="P918" s="149"/>
      <c r="Q918" s="149"/>
      <c r="R918" s="149"/>
      <c r="S918" s="111"/>
      <c r="T918" s="149"/>
      <c r="U918" s="149"/>
      <c r="V918" s="146"/>
      <c r="W918" s="91"/>
      <c r="X918" s="91"/>
      <c r="Y918" s="91"/>
      <c r="Z918" s="44"/>
      <c r="AA918" s="44"/>
      <c r="AB918" s="44"/>
      <c r="AC918" s="44"/>
      <c r="AD918" s="44"/>
      <c r="AE918" s="44"/>
      <c r="AF918" s="44"/>
      <c r="AG918" s="44"/>
      <c r="AH918" s="44"/>
      <c r="AI918" s="44"/>
      <c r="AJ918" s="44"/>
      <c r="AK918" s="44"/>
      <c r="AL918" s="44"/>
      <c r="AM918" s="44"/>
      <c r="AN918" s="44"/>
      <c r="AO918" s="44"/>
      <c r="AP918" s="44"/>
    </row>
    <row r="919" spans="1:44" x14ac:dyDescent="0.25">
      <c r="A919" s="134" t="s">
        <v>219</v>
      </c>
      <c r="B919" s="149"/>
      <c r="C919" s="149"/>
      <c r="D919" s="111"/>
      <c r="E919" s="149"/>
      <c r="F919" s="149"/>
      <c r="G919" s="111"/>
      <c r="H919" s="149"/>
      <c r="I919" s="149"/>
      <c r="J919" s="149"/>
      <c r="K919" s="111"/>
      <c r="L919" s="149"/>
      <c r="M919" s="149"/>
      <c r="N919" s="149"/>
      <c r="O919" s="111"/>
      <c r="P919" s="149"/>
      <c r="Q919" s="149"/>
      <c r="R919" s="149"/>
      <c r="S919" s="111"/>
      <c r="T919" s="149"/>
      <c r="U919" s="149"/>
      <c r="V919" s="44"/>
      <c r="X919" s="91"/>
      <c r="Y919" s="91"/>
      <c r="Z919" s="44"/>
      <c r="AA919" s="44"/>
      <c r="AB919" s="44"/>
      <c r="AC919" s="44"/>
      <c r="AD919" s="44"/>
      <c r="AE919" s="44"/>
      <c r="AF919" s="44"/>
      <c r="AG919" s="44"/>
      <c r="AH919" s="44"/>
      <c r="AI919" s="44"/>
      <c r="AJ919" s="44"/>
      <c r="AK919" s="44"/>
      <c r="AL919" s="44"/>
      <c r="AM919" s="44"/>
      <c r="AN919" s="44"/>
      <c r="AO919" s="44"/>
      <c r="AP919" s="44"/>
    </row>
    <row r="920" spans="1:44" x14ac:dyDescent="0.25">
      <c r="A920" s="206"/>
      <c r="B920" s="149"/>
      <c r="C920" s="149"/>
      <c r="D920" s="111"/>
      <c r="E920" s="149"/>
      <c r="F920" s="149"/>
      <c r="G920" s="111"/>
      <c r="H920" s="149"/>
      <c r="I920" s="149"/>
      <c r="J920" s="149"/>
      <c r="K920" s="111"/>
      <c r="L920" s="149"/>
      <c r="M920" s="149"/>
      <c r="N920" s="149"/>
      <c r="O920" s="111"/>
      <c r="P920" s="149"/>
      <c r="Q920" s="149"/>
      <c r="R920" s="149"/>
      <c r="S920" s="111"/>
      <c r="T920" s="149"/>
      <c r="U920" s="149"/>
      <c r="V920" s="44"/>
      <c r="W920" s="91"/>
      <c r="X920" s="91"/>
      <c r="Y920" s="91"/>
      <c r="Z920" s="44"/>
      <c r="AA920" s="44"/>
      <c r="AB920" s="44"/>
      <c r="AC920" s="44"/>
      <c r="AD920" s="44"/>
      <c r="AE920" s="44"/>
      <c r="AF920" s="44"/>
      <c r="AG920" s="44"/>
      <c r="AH920" s="44"/>
      <c r="AI920" s="44"/>
      <c r="AJ920" s="44"/>
      <c r="AK920" s="44"/>
      <c r="AL920" s="44"/>
      <c r="AM920" s="44"/>
      <c r="AN920" s="44"/>
      <c r="AO920" s="44"/>
      <c r="AP920" s="44"/>
    </row>
    <row r="921" spans="1:44" x14ac:dyDescent="0.25">
      <c r="A921" s="206" t="s">
        <v>127</v>
      </c>
      <c r="B921" s="149"/>
      <c r="C921" s="204"/>
      <c r="D921" s="111"/>
      <c r="E921" s="149"/>
      <c r="F921" s="149"/>
      <c r="G921" s="111"/>
      <c r="H921" s="149"/>
      <c r="I921" s="149"/>
      <c r="J921" s="149"/>
      <c r="K921" s="111"/>
      <c r="L921" s="149"/>
      <c r="M921" s="149"/>
      <c r="N921" s="149"/>
      <c r="O921" s="111"/>
      <c r="P921" s="149"/>
      <c r="Q921" s="149"/>
      <c r="R921" s="149"/>
      <c r="S921" s="111"/>
      <c r="T921" s="149"/>
      <c r="U921" s="149"/>
      <c r="X921" s="44"/>
      <c r="Y921" s="44"/>
      <c r="Z921" s="98" t="s">
        <v>0</v>
      </c>
      <c r="AH921" s="321"/>
      <c r="AI921" s="44"/>
      <c r="AJ921" s="44"/>
      <c r="AK921" s="44"/>
      <c r="AL921" s="44"/>
      <c r="AM921" s="44"/>
      <c r="AN921" s="44"/>
      <c r="AO921" s="44"/>
      <c r="AP921" s="44"/>
      <c r="AQ921" s="44"/>
      <c r="AR921" s="44"/>
    </row>
    <row r="922" spans="1:44" x14ac:dyDescent="0.25">
      <c r="A922" s="206" t="s">
        <v>213</v>
      </c>
      <c r="B922" s="149"/>
      <c r="C922" s="204">
        <f>C940+C997</f>
        <v>781.84848484848533</v>
      </c>
      <c r="D922" s="322"/>
      <c r="E922" s="223"/>
      <c r="F922" s="223">
        <f>F940+F997</f>
        <v>1107359</v>
      </c>
      <c r="H922" s="223"/>
      <c r="I922" s="223">
        <f>I940+I997</f>
        <v>1131987</v>
      </c>
      <c r="J922" s="111"/>
      <c r="L922" s="223"/>
      <c r="M922" s="223">
        <f>M940+M997</f>
        <v>1107359</v>
      </c>
      <c r="N922" s="111"/>
      <c r="P922" s="223"/>
      <c r="Q922" s="223">
        <f>Q940+Q997</f>
        <v>0</v>
      </c>
      <c r="R922" s="111"/>
      <c r="T922" s="223"/>
      <c r="U922" s="223">
        <f>U940+U997</f>
        <v>0</v>
      </c>
      <c r="W922" s="226">
        <f>G960</f>
        <v>1442</v>
      </c>
      <c r="X922" s="52">
        <f>(W922-D940)/D940</f>
        <v>2.1970233876683204E-2</v>
      </c>
      <c r="Y922" s="52"/>
      <c r="AB922" s="178"/>
      <c r="AC922" s="80"/>
      <c r="AD922" s="178"/>
      <c r="AE922" s="80"/>
      <c r="AF922" s="178"/>
      <c r="AG922" s="178"/>
      <c r="AH922" s="323"/>
      <c r="AI922" s="44"/>
      <c r="AJ922" s="44"/>
      <c r="AK922" s="44"/>
      <c r="AL922" s="44"/>
      <c r="AM922" s="44"/>
      <c r="AN922" s="44"/>
      <c r="AO922" s="44"/>
      <c r="AP922" s="44"/>
      <c r="AQ922" s="44"/>
      <c r="AR922" s="44"/>
    </row>
    <row r="923" spans="1:44" x14ac:dyDescent="0.25">
      <c r="A923" s="206" t="s">
        <v>214</v>
      </c>
      <c r="B923" s="149"/>
      <c r="C923" s="204">
        <f>C941+C998</f>
        <v>0</v>
      </c>
      <c r="D923" s="322"/>
      <c r="E923" s="251"/>
      <c r="F923" s="223">
        <f>F941+F998</f>
        <v>0</v>
      </c>
      <c r="H923" s="251"/>
      <c r="I923" s="223">
        <f>I941+I998</f>
        <v>0</v>
      </c>
      <c r="J923" s="111"/>
      <c r="L923" s="251"/>
      <c r="M923" s="223">
        <f>M941+M998</f>
        <v>0</v>
      </c>
      <c r="N923" s="111"/>
      <c r="P923" s="251"/>
      <c r="Q923" s="223">
        <f>Q941+Q998</f>
        <v>0</v>
      </c>
      <c r="R923" s="111"/>
      <c r="T923" s="251"/>
      <c r="U923" s="223">
        <f>U941+U998</f>
        <v>0</v>
      </c>
      <c r="W923" s="226">
        <f>G961</f>
        <v>1743</v>
      </c>
      <c r="X923" s="52">
        <f>(W923-D941)/D941</f>
        <v>2.3487962419260128E-2</v>
      </c>
      <c r="Y923" s="52"/>
      <c r="AB923" s="178"/>
      <c r="AC923" s="80"/>
      <c r="AD923" s="178"/>
      <c r="AE923" s="80"/>
      <c r="AF923" s="178"/>
      <c r="AG923" s="178"/>
      <c r="AH923" s="323"/>
      <c r="AI923" s="44"/>
      <c r="AJ923" s="44"/>
      <c r="AK923" s="44"/>
      <c r="AL923" s="44"/>
      <c r="AM923" s="44"/>
      <c r="AN923" s="44"/>
      <c r="AO923" s="44"/>
      <c r="AP923" s="44"/>
      <c r="AQ923" s="44"/>
      <c r="AR923" s="44"/>
    </row>
    <row r="924" spans="1:44" x14ac:dyDescent="0.25">
      <c r="A924" s="206" t="s">
        <v>128</v>
      </c>
      <c r="B924" s="149"/>
      <c r="C924" s="204">
        <f t="shared" ref="C924" si="142">C1056+C1075</f>
        <v>781.84848484848544</v>
      </c>
      <c r="D924" s="322"/>
      <c r="E924" s="223"/>
      <c r="F924" s="223">
        <f t="shared" ref="F924" si="143">F1056+F1075</f>
        <v>0</v>
      </c>
      <c r="H924" s="223"/>
      <c r="I924" s="223">
        <f t="shared" ref="I924" si="144">I1056+I1075</f>
        <v>0</v>
      </c>
      <c r="J924" s="111"/>
      <c r="L924" s="223"/>
      <c r="M924" s="223">
        <f t="shared" ref="M924" si="145">M1056+M1075</f>
        <v>0</v>
      </c>
      <c r="N924" s="111"/>
      <c r="P924" s="223"/>
      <c r="Q924" s="223">
        <f t="shared" ref="Q924" si="146">Q1056+Q1075</f>
        <v>0</v>
      </c>
      <c r="R924" s="111"/>
      <c r="T924" s="223"/>
      <c r="U924" s="223">
        <f t="shared" ref="U924" si="147">U1056+U1075</f>
        <v>0</v>
      </c>
      <c r="W924" s="226" t="s">
        <v>0</v>
      </c>
      <c r="X924" s="205"/>
      <c r="Y924" s="205"/>
      <c r="AB924" s="178"/>
      <c r="AC924" s="80"/>
      <c r="AD924" s="178"/>
      <c r="AE924" s="80"/>
      <c r="AF924" s="178"/>
      <c r="AG924" s="178"/>
      <c r="AH924" s="323"/>
      <c r="AI924" s="44"/>
      <c r="AJ924" s="44"/>
      <c r="AK924" s="44"/>
      <c r="AL924" s="44"/>
      <c r="AM924" s="44"/>
      <c r="AN924" s="44"/>
      <c r="AO924" s="44"/>
      <c r="AP924" s="44"/>
      <c r="AQ924" s="44"/>
      <c r="AR924" s="44"/>
    </row>
    <row r="925" spans="1:44" x14ac:dyDescent="0.25">
      <c r="A925" s="206" t="s">
        <v>215</v>
      </c>
      <c r="B925" s="149"/>
      <c r="C925" s="204">
        <f>C943+C1000</f>
        <v>1152406.7586206889</v>
      </c>
      <c r="D925" s="322"/>
      <c r="E925" s="223"/>
      <c r="F925" s="223">
        <f>F943+F1000</f>
        <v>1163685</v>
      </c>
      <c r="H925" s="223"/>
      <c r="I925" s="223">
        <f>I943+I1000</f>
        <v>1193640</v>
      </c>
      <c r="J925" s="111"/>
      <c r="L925" s="223"/>
      <c r="M925" s="223">
        <f>M943+M1000</f>
        <v>1163685</v>
      </c>
      <c r="N925" s="111"/>
      <c r="P925" s="223"/>
      <c r="Q925" s="223">
        <f>Q943+Q1000</f>
        <v>0</v>
      </c>
      <c r="R925" s="111"/>
      <c r="T925" s="223"/>
      <c r="U925" s="223">
        <f>U943+U1000</f>
        <v>0</v>
      </c>
      <c r="W925" s="226">
        <f>G963</f>
        <v>1.1499999999999999</v>
      </c>
      <c r="X925" s="52">
        <f>(W925-D943)/D943</f>
        <v>2.6785714285714107E-2</v>
      </c>
      <c r="Y925" s="52"/>
      <c r="AB925" s="178"/>
      <c r="AC925" s="80"/>
      <c r="AD925" s="178"/>
      <c r="AE925" s="80"/>
      <c r="AF925" s="178"/>
      <c r="AG925" s="178"/>
      <c r="AH925" s="323"/>
      <c r="AI925" s="44"/>
      <c r="AJ925" s="44"/>
      <c r="AK925" s="44"/>
      <c r="AL925" s="44"/>
      <c r="AM925" s="44"/>
      <c r="AN925" s="44"/>
      <c r="AO925" s="44"/>
      <c r="AP925" s="44"/>
      <c r="AQ925" s="44"/>
      <c r="AR925" s="44"/>
    </row>
    <row r="926" spans="1:44" x14ac:dyDescent="0.25">
      <c r="A926" s="206" t="s">
        <v>216</v>
      </c>
      <c r="B926" s="149"/>
      <c r="C926" s="204">
        <f>C944+C1001</f>
        <v>0</v>
      </c>
      <c r="D926" s="322"/>
      <c r="E926" s="223"/>
      <c r="F926" s="223">
        <f>F944+F1001</f>
        <v>0</v>
      </c>
      <c r="H926" s="223"/>
      <c r="I926" s="223">
        <f>I944+I1001</f>
        <v>0</v>
      </c>
      <c r="J926" s="111"/>
      <c r="L926" s="223"/>
      <c r="M926" s="223">
        <f>M944+M1001</f>
        <v>0</v>
      </c>
      <c r="N926" s="111"/>
      <c r="P926" s="223"/>
      <c r="Q926" s="223">
        <f>Q944+Q1001</f>
        <v>0</v>
      </c>
      <c r="R926" s="111"/>
      <c r="T926" s="223"/>
      <c r="U926" s="223">
        <f>U944+U1001</f>
        <v>0</v>
      </c>
      <c r="W926" s="226">
        <f>G964</f>
        <v>1.03</v>
      </c>
      <c r="X926" s="52">
        <f>(W926-D944)/D944</f>
        <v>1.980198019801982E-2</v>
      </c>
      <c r="Y926" s="52"/>
      <c r="AB926" s="178"/>
      <c r="AC926" s="80"/>
      <c r="AD926" s="178"/>
      <c r="AE926" s="80"/>
      <c r="AF926" s="178"/>
      <c r="AG926" s="178"/>
      <c r="AH926" s="323"/>
      <c r="AI926" s="44"/>
      <c r="AJ926" s="44"/>
      <c r="AK926" s="44"/>
      <c r="AL926" s="44"/>
      <c r="AM926" s="44"/>
      <c r="AN926" s="44"/>
      <c r="AO926" s="44"/>
      <c r="AP926" s="44"/>
      <c r="AQ926" s="44"/>
      <c r="AR926" s="44"/>
    </row>
    <row r="927" spans="1:44" x14ac:dyDescent="0.25">
      <c r="A927" s="134" t="s">
        <v>142</v>
      </c>
      <c r="B927" s="149"/>
      <c r="C927" s="204">
        <f>C945+C1002</f>
        <v>939556.34482758609</v>
      </c>
      <c r="D927" s="322"/>
      <c r="E927" s="223"/>
      <c r="F927" s="223">
        <f>F945+F1002</f>
        <v>7454600</v>
      </c>
      <c r="H927" s="223"/>
      <c r="I927" s="223">
        <f>I945+I1002</f>
        <v>7633116</v>
      </c>
      <c r="J927" s="111"/>
      <c r="L927" s="223"/>
      <c r="M927" s="223" t="e">
        <f>M945+M1002</f>
        <v>#DIV/0!</v>
      </c>
      <c r="N927" s="111"/>
      <c r="P927" s="223"/>
      <c r="Q927" s="223" t="e">
        <f>Q945+Q1002</f>
        <v>#DIV/0!</v>
      </c>
      <c r="R927" s="111"/>
      <c r="T927" s="223"/>
      <c r="U927" s="223" t="e">
        <f>U945+U1002</f>
        <v>#DIV/0!</v>
      </c>
      <c r="W927" s="226">
        <f>G965</f>
        <v>8.16</v>
      </c>
      <c r="X927" s="52">
        <f>(W927-D945)/D945</f>
        <v>2.383939774153079E-2</v>
      </c>
      <c r="Y927" s="52"/>
      <c r="AA927" s="91"/>
      <c r="AB927" s="324"/>
      <c r="AC927" s="323"/>
      <c r="AD927" s="324"/>
      <c r="AE927" s="323"/>
      <c r="AF927" s="324"/>
      <c r="AG927" s="91"/>
      <c r="AH927" s="323"/>
      <c r="AI927" s="44"/>
      <c r="AJ927" s="44"/>
      <c r="AK927" s="44"/>
      <c r="AL927" s="44"/>
      <c r="AM927" s="44"/>
      <c r="AN927" s="44"/>
      <c r="AO927" s="44"/>
      <c r="AP927" s="44"/>
    </row>
    <row r="928" spans="1:44" x14ac:dyDescent="0.25">
      <c r="A928" s="206" t="s">
        <v>164</v>
      </c>
      <c r="B928" s="149"/>
      <c r="C928" s="306" t="s">
        <v>0</v>
      </c>
      <c r="D928" s="322"/>
      <c r="E928" s="223"/>
      <c r="F928" s="295" t="s">
        <v>0</v>
      </c>
      <c r="H928" s="223"/>
      <c r="I928" s="295" t="s">
        <v>0</v>
      </c>
      <c r="J928" s="111"/>
      <c r="L928" s="223"/>
      <c r="M928" s="295" t="s">
        <v>0</v>
      </c>
      <c r="N928" s="111"/>
      <c r="P928" s="223"/>
      <c r="Q928" s="295" t="s">
        <v>0</v>
      </c>
      <c r="R928" s="111"/>
      <c r="T928" s="223"/>
      <c r="U928" s="295" t="s">
        <v>0</v>
      </c>
      <c r="W928" s="226" t="s">
        <v>0</v>
      </c>
      <c r="X928" s="205"/>
      <c r="Y928" s="205"/>
      <c r="AA928" s="91"/>
      <c r="AB928" s="44"/>
      <c r="AC928" s="44"/>
      <c r="AD928" s="146"/>
      <c r="AE928" s="44"/>
      <c r="AF928" s="44"/>
      <c r="AG928" s="44"/>
      <c r="AH928" s="44"/>
      <c r="AI928" s="44"/>
      <c r="AJ928" s="44"/>
      <c r="AK928" s="44"/>
      <c r="AL928" s="44"/>
      <c r="AM928" s="44"/>
      <c r="AN928" s="44"/>
      <c r="AO928" s="44"/>
      <c r="AP928" s="44"/>
    </row>
    <row r="929" spans="1:44" x14ac:dyDescent="0.25">
      <c r="A929" s="206" t="s">
        <v>203</v>
      </c>
      <c r="B929" s="149"/>
      <c r="C929" s="204">
        <f>C947+C1004</f>
        <v>411242303.16002488</v>
      </c>
      <c r="D929" s="322"/>
      <c r="E929" s="223"/>
      <c r="F929" s="223">
        <f>F947+F1004</f>
        <v>19456560</v>
      </c>
      <c r="H929" s="223"/>
      <c r="I929" s="223">
        <f>I947+I1004</f>
        <v>19912277</v>
      </c>
      <c r="J929" s="111"/>
      <c r="L929" s="223"/>
      <c r="M929" s="223">
        <f>M947+M1004</f>
        <v>0</v>
      </c>
      <c r="N929" s="111"/>
      <c r="P929" s="223"/>
      <c r="Q929" s="223" t="e">
        <f>Q947+Q1004</f>
        <v>#DIV/0!</v>
      </c>
      <c r="R929" s="111"/>
      <c r="T929" s="223"/>
      <c r="U929" s="223" t="e">
        <f>U947+U1004</f>
        <v>#DIV/0!</v>
      </c>
      <c r="W929" s="318" t="s">
        <v>0</v>
      </c>
      <c r="X929" s="52" t="s">
        <v>0</v>
      </c>
      <c r="Y929" s="52"/>
      <c r="AA929" s="91"/>
      <c r="AB929" s="44"/>
      <c r="AC929" s="44"/>
      <c r="AD929" s="324"/>
      <c r="AE929" s="44"/>
      <c r="AF929" s="44"/>
      <c r="AG929" s="44"/>
      <c r="AH929" s="44"/>
      <c r="AI929" s="44"/>
      <c r="AJ929" s="44"/>
      <c r="AK929" s="44"/>
      <c r="AL929" s="44"/>
      <c r="AM929" s="44"/>
      <c r="AN929" s="44"/>
      <c r="AO929" s="44"/>
      <c r="AP929" s="44"/>
    </row>
    <row r="930" spans="1:44" x14ac:dyDescent="0.25">
      <c r="A930" s="206" t="s">
        <v>133</v>
      </c>
      <c r="B930" s="149"/>
      <c r="C930" s="204">
        <f>C948+C1005</f>
        <v>175542.2727272723</v>
      </c>
      <c r="D930" s="322"/>
      <c r="E930" s="223"/>
      <c r="F930" s="223">
        <f>F948+F1005</f>
        <v>98144</v>
      </c>
      <c r="H930" s="223"/>
      <c r="I930" s="223">
        <f>I948+I1005</f>
        <v>99899</v>
      </c>
      <c r="J930" s="111"/>
      <c r="L930" s="223"/>
      <c r="M930" s="223">
        <f>M948+M1005</f>
        <v>0</v>
      </c>
      <c r="N930" s="111"/>
      <c r="P930" s="223"/>
      <c r="Q930" s="223" t="e">
        <f>Q948+Q1005</f>
        <v>#DIV/0!</v>
      </c>
      <c r="R930" s="111"/>
      <c r="T930" s="223"/>
      <c r="U930" s="223" t="e">
        <f>U948+U1005</f>
        <v>#DIV/0!</v>
      </c>
      <c r="W930" s="226">
        <f>G948</f>
        <v>0.56999999999999995</v>
      </c>
      <c r="X930" s="52">
        <f>(W930-D948)/D948</f>
        <v>1.7857142857142672E-2</v>
      </c>
      <c r="Y930" s="52"/>
      <c r="AA930" s="91"/>
      <c r="AB930" s="44"/>
      <c r="AC930" s="44"/>
      <c r="AD930" s="44"/>
      <c r="AE930" s="44"/>
      <c r="AF930" s="44"/>
      <c r="AG930" s="44"/>
      <c r="AH930" s="44"/>
      <c r="AI930" s="44"/>
      <c r="AJ930" s="44"/>
      <c r="AK930" s="44"/>
      <c r="AL930" s="44"/>
      <c r="AM930" s="44"/>
      <c r="AN930" s="44"/>
      <c r="AO930" s="44"/>
      <c r="AP930" s="44"/>
    </row>
    <row r="931" spans="1:44" s="120" customFormat="1" hidden="1" x14ac:dyDescent="0.25">
      <c r="A931" s="119" t="s">
        <v>204</v>
      </c>
      <c r="C931" s="204">
        <f>C949+C1006</f>
        <v>411242303.16002488</v>
      </c>
      <c r="D931" s="128"/>
      <c r="E931" s="122"/>
      <c r="F931" s="223">
        <f>F949+F1006</f>
        <v>0</v>
      </c>
      <c r="G931" s="110"/>
      <c r="H931" s="122"/>
      <c r="I931" s="223">
        <f>I949+I1006</f>
        <v>0</v>
      </c>
      <c r="J931" s="123"/>
      <c r="K931" s="110"/>
      <c r="L931" s="122"/>
      <c r="M931" s="223">
        <f>M949+M1006</f>
        <v>0</v>
      </c>
      <c r="N931" s="123"/>
      <c r="O931" s="110"/>
      <c r="P931" s="122"/>
      <c r="Q931" s="223">
        <f>Q949+Q1006</f>
        <v>0</v>
      </c>
      <c r="R931" s="123"/>
      <c r="S931" s="110"/>
      <c r="T931" s="122"/>
      <c r="U931" s="223">
        <f>U949+U1006</f>
        <v>0</v>
      </c>
      <c r="W931" s="112"/>
      <c r="Z931" s="127"/>
      <c r="AA931" s="127"/>
      <c r="AF931" s="122"/>
      <c r="AG931" s="122"/>
      <c r="AH931" s="122"/>
      <c r="AI931" s="122"/>
      <c r="AJ931" s="122"/>
      <c r="AK931" s="122"/>
      <c r="AL931" s="122"/>
      <c r="AM931" s="122"/>
      <c r="AN931" s="122"/>
      <c r="AO931" s="122"/>
      <c r="AP931" s="122"/>
      <c r="AR931" s="126"/>
    </row>
    <row r="932" spans="1:44" x14ac:dyDescent="0.25">
      <c r="A932" s="149" t="s">
        <v>114</v>
      </c>
      <c r="B932" s="149"/>
      <c r="C932" s="204">
        <f>C951+C1008</f>
        <v>411242303.16002488</v>
      </c>
      <c r="D932" s="251"/>
      <c r="E932" s="149"/>
      <c r="F932" s="223">
        <f>F951+F1008</f>
        <v>29280348</v>
      </c>
      <c r="G932" s="111"/>
      <c r="H932" s="149"/>
      <c r="I932" s="223">
        <f>I951+I1008</f>
        <v>29970919</v>
      </c>
      <c r="J932" s="111"/>
      <c r="K932" s="111"/>
      <c r="L932" s="149"/>
      <c r="M932" s="223" t="e">
        <f>M951+M1008</f>
        <v>#DIV/0!</v>
      </c>
      <c r="N932" s="111"/>
      <c r="O932" s="111"/>
      <c r="P932" s="149"/>
      <c r="Q932" s="223" t="e">
        <f>Q951+Q1008</f>
        <v>#DIV/0!</v>
      </c>
      <c r="R932" s="111"/>
      <c r="S932" s="111"/>
      <c r="T932" s="149"/>
      <c r="U932" s="223" t="e">
        <f>U951+U1008</f>
        <v>#DIV/0!</v>
      </c>
      <c r="V932" s="44"/>
      <c r="X932" s="91"/>
      <c r="Y932" s="91"/>
      <c r="Z932" s="44"/>
      <c r="AA932" s="44"/>
      <c r="AB932" s="44"/>
      <c r="AC932" s="44"/>
      <c r="AD932" s="44"/>
      <c r="AE932" s="44"/>
      <c r="AF932" s="44"/>
      <c r="AG932" s="44"/>
      <c r="AH932" s="44"/>
      <c r="AI932" s="44"/>
      <c r="AJ932" s="44"/>
      <c r="AK932" s="44"/>
      <c r="AL932" s="44"/>
      <c r="AM932" s="44"/>
      <c r="AN932" s="44"/>
      <c r="AO932" s="44"/>
      <c r="AP932" s="44"/>
    </row>
    <row r="933" spans="1:44" x14ac:dyDescent="0.25">
      <c r="A933" s="149" t="s">
        <v>92</v>
      </c>
      <c r="B933" s="149"/>
      <c r="C933" s="191">
        <f>C952+C1009</f>
        <v>2048514.8230398428</v>
      </c>
      <c r="D933" s="134"/>
      <c r="E933" s="134"/>
      <c r="F933" s="314">
        <f>F952+F1009</f>
        <v>156326.57925890732</v>
      </c>
      <c r="G933" s="134"/>
      <c r="H933" s="134"/>
      <c r="I933" s="314">
        <f>I952+I1009</f>
        <v>156326.57925890732</v>
      </c>
      <c r="J933" s="133"/>
      <c r="K933" s="134"/>
      <c r="L933" s="134"/>
      <c r="M933" s="314" t="e">
        <f>M952+M1009</f>
        <v>#DIV/0!</v>
      </c>
      <c r="N933" s="133"/>
      <c r="O933" s="134"/>
      <c r="P933" s="134"/>
      <c r="Q933" s="314" t="e">
        <f>Q952+Q1009</f>
        <v>#DIV/0!</v>
      </c>
      <c r="R933" s="133"/>
      <c r="S933" s="134"/>
      <c r="T933" s="134"/>
      <c r="U933" s="314" t="e">
        <f>U952+U1009</f>
        <v>#DIV/0!</v>
      </c>
      <c r="V933" s="165"/>
      <c r="W933" s="163"/>
      <c r="X933" s="91"/>
      <c r="Y933" s="91"/>
      <c r="Z933" s="44"/>
      <c r="AA933" s="44"/>
      <c r="AB933" s="44"/>
      <c r="AC933" s="44"/>
      <c r="AD933" s="44"/>
      <c r="AE933" s="44"/>
      <c r="AF933" s="44"/>
      <c r="AG933" s="44"/>
      <c r="AH933" s="44"/>
      <c r="AI933" s="44"/>
      <c r="AJ933" s="44"/>
      <c r="AK933" s="44"/>
      <c r="AL933" s="44"/>
      <c r="AM933" s="44"/>
      <c r="AN933" s="44"/>
      <c r="AO933" s="44"/>
      <c r="AP933" s="44"/>
    </row>
    <row r="934" spans="1:44" ht="16.5" thickBot="1" x14ac:dyDescent="0.3">
      <c r="A934" s="149" t="s">
        <v>115</v>
      </c>
      <c r="B934" s="149"/>
      <c r="C934" s="325">
        <f>C953+C1010</f>
        <v>413290817.98306477</v>
      </c>
      <c r="D934" s="245"/>
      <c r="E934" s="232"/>
      <c r="F934" s="326">
        <f>F953+F1010</f>
        <v>29436674.579258908</v>
      </c>
      <c r="G934" s="245"/>
      <c r="H934" s="232"/>
      <c r="I934" s="326">
        <f>I953+I1010</f>
        <v>30127245.579258908</v>
      </c>
      <c r="J934" s="133"/>
      <c r="K934" s="245"/>
      <c r="L934" s="232"/>
      <c r="M934" s="326" t="e">
        <f>M953+M1010</f>
        <v>#DIV/0!</v>
      </c>
      <c r="N934" s="133"/>
      <c r="O934" s="245"/>
      <c r="P934" s="232"/>
      <c r="Q934" s="326" t="e">
        <f>Q953+Q1010</f>
        <v>#DIV/0!</v>
      </c>
      <c r="R934" s="133"/>
      <c r="S934" s="245"/>
      <c r="T934" s="232"/>
      <c r="U934" s="326" t="e">
        <f>U953+U1010</f>
        <v>#DIV/0!</v>
      </c>
      <c r="V934" s="139" t="s">
        <v>94</v>
      </c>
      <c r="W934" s="316">
        <v>30460876.496378485</v>
      </c>
      <c r="X934" s="327">
        <f>(I934-F934)/F934</f>
        <v>2.3459545273723841E-2</v>
      </c>
      <c r="Y934" s="142"/>
      <c r="Z934" s="176" t="s">
        <v>0</v>
      </c>
      <c r="AA934" s="199" t="s">
        <v>0</v>
      </c>
      <c r="AB934" s="44"/>
      <c r="AC934" s="44"/>
      <c r="AD934" s="44"/>
      <c r="AE934" s="44"/>
      <c r="AF934" s="44"/>
      <c r="AG934" s="44"/>
      <c r="AH934" s="44"/>
      <c r="AI934" s="44"/>
      <c r="AJ934" s="44"/>
      <c r="AK934" s="44"/>
      <c r="AL934" s="44"/>
      <c r="AM934" s="44"/>
      <c r="AN934" s="44"/>
      <c r="AO934" s="44"/>
      <c r="AP934" s="44"/>
    </row>
    <row r="935" spans="1:44" ht="16.5" thickTop="1" x14ac:dyDescent="0.25">
      <c r="A935" s="149"/>
      <c r="B935" s="149"/>
      <c r="C935" s="144"/>
      <c r="D935" s="249"/>
      <c r="E935" s="238"/>
      <c r="F935" s="133"/>
      <c r="G935" s="249"/>
      <c r="H935" s="238"/>
      <c r="I935" s="133"/>
      <c r="J935" s="133"/>
      <c r="K935" s="249"/>
      <c r="L935" s="238"/>
      <c r="M935" s="133"/>
      <c r="N935" s="133"/>
      <c r="O935" s="249"/>
      <c r="P935" s="238"/>
      <c r="Q935" s="133"/>
      <c r="R935" s="133"/>
      <c r="S935" s="249"/>
      <c r="T935" s="238"/>
      <c r="U935" s="133" t="s">
        <v>0</v>
      </c>
      <c r="V935" s="328" t="s">
        <v>96</v>
      </c>
      <c r="W935" s="151">
        <f>W934-I897-I953-I1010</f>
        <v>71.011700566858053</v>
      </c>
      <c r="X935" s="329"/>
      <c r="Y935" s="91"/>
      <c r="Z935" s="44"/>
      <c r="AA935" s="44"/>
      <c r="AB935" s="44"/>
      <c r="AC935" s="44"/>
      <c r="AD935" s="44"/>
      <c r="AE935" s="44"/>
      <c r="AF935" s="44"/>
      <c r="AG935" s="44"/>
      <c r="AH935" s="44"/>
      <c r="AI935" s="44"/>
      <c r="AJ935" s="44"/>
      <c r="AK935" s="44"/>
      <c r="AL935" s="44"/>
      <c r="AM935" s="44"/>
      <c r="AN935" s="44"/>
      <c r="AO935" s="44"/>
      <c r="AP935" s="44"/>
    </row>
    <row r="936" spans="1:44" x14ac:dyDescent="0.25">
      <c r="A936" s="168" t="s">
        <v>217</v>
      </c>
      <c r="B936" s="149"/>
      <c r="C936" s="149"/>
      <c r="D936" s="111"/>
      <c r="E936" s="149"/>
      <c r="F936" s="149"/>
      <c r="G936" s="111"/>
      <c r="H936" s="149"/>
      <c r="K936" s="111"/>
      <c r="L936" s="149"/>
      <c r="O936" s="111"/>
      <c r="P936" s="149"/>
      <c r="S936" s="111"/>
      <c r="T936" s="149"/>
      <c r="X936" s="91"/>
      <c r="Y936" s="91"/>
      <c r="Z936" s="44"/>
      <c r="AA936" s="44"/>
      <c r="AB936" s="44"/>
      <c r="AC936" s="44"/>
      <c r="AD936" s="44"/>
      <c r="AE936" s="44"/>
      <c r="AF936" s="44"/>
      <c r="AG936" s="44"/>
      <c r="AH936" s="44"/>
      <c r="AI936" s="44"/>
      <c r="AJ936" s="44"/>
      <c r="AK936" s="44"/>
      <c r="AL936" s="44"/>
      <c r="AM936" s="44"/>
      <c r="AN936" s="44"/>
      <c r="AO936" s="44"/>
      <c r="AP936" s="44"/>
    </row>
    <row r="937" spans="1:44" x14ac:dyDescent="0.25">
      <c r="A937" s="134" t="s">
        <v>220</v>
      </c>
      <c r="B937" s="149"/>
      <c r="C937" s="149"/>
      <c r="D937" s="111"/>
      <c r="E937" s="149"/>
      <c r="F937" s="149"/>
      <c r="G937" s="111"/>
      <c r="H937" s="149"/>
      <c r="I937" s="149"/>
      <c r="J937" s="149"/>
      <c r="K937" s="111"/>
      <c r="L937" s="149"/>
      <c r="M937" s="149"/>
      <c r="N937" s="149"/>
      <c r="O937" s="111"/>
      <c r="P937" s="149"/>
      <c r="Q937" s="149"/>
      <c r="R937" s="149"/>
      <c r="S937" s="111"/>
      <c r="T937" s="149"/>
      <c r="U937" s="149"/>
      <c r="V937" s="111">
        <f>I897+I953+I1010</f>
        <v>30460805.484677918</v>
      </c>
      <c r="W937" s="243" t="s">
        <v>221</v>
      </c>
      <c r="X937" s="330">
        <f>(V937-(F934+F897))/(F934+F897)</f>
        <v>2.3462887855322873E-2</v>
      </c>
      <c r="Y937" s="91"/>
      <c r="Z937" s="44"/>
      <c r="AA937" s="44"/>
      <c r="AB937" s="44"/>
      <c r="AC937" s="44"/>
      <c r="AD937" s="44"/>
      <c r="AE937" s="44"/>
      <c r="AF937" s="44"/>
      <c r="AG937" s="44"/>
      <c r="AH937" s="44"/>
      <c r="AI937" s="44"/>
      <c r="AJ937" s="44"/>
      <c r="AK937" s="44"/>
      <c r="AL937" s="44"/>
      <c r="AM937" s="44"/>
      <c r="AN937" s="44"/>
      <c r="AO937" s="44"/>
      <c r="AP937" s="44"/>
    </row>
    <row r="938" spans="1:44" x14ac:dyDescent="0.25">
      <c r="A938" s="206"/>
      <c r="B938" s="149"/>
      <c r="C938" s="149"/>
      <c r="D938" s="111"/>
      <c r="E938" s="149"/>
      <c r="F938" s="149"/>
      <c r="G938" s="111"/>
      <c r="H938" s="149"/>
      <c r="I938" s="149"/>
      <c r="J938" s="149"/>
      <c r="K938" s="111"/>
      <c r="L938" s="149"/>
      <c r="M938" s="149"/>
      <c r="N938" s="149"/>
      <c r="O938" s="111"/>
      <c r="P938" s="149"/>
      <c r="Q938" s="149"/>
      <c r="R938" s="149"/>
      <c r="S938" s="111"/>
      <c r="T938" s="149"/>
      <c r="U938" s="149"/>
      <c r="V938" s="44"/>
      <c r="W938" s="91"/>
      <c r="X938" s="91"/>
      <c r="Y938" s="91"/>
      <c r="Z938" s="44"/>
      <c r="AA938" s="44"/>
      <c r="AB938" s="44"/>
      <c r="AC938" s="44"/>
      <c r="AD938" s="44"/>
      <c r="AE938" s="44"/>
      <c r="AF938" s="44"/>
      <c r="AG938" s="44"/>
      <c r="AH938" s="44"/>
      <c r="AI938" s="44"/>
      <c r="AJ938" s="44"/>
      <c r="AK938" s="44"/>
      <c r="AL938" s="44"/>
      <c r="AM938" s="44"/>
      <c r="AN938" s="44"/>
      <c r="AO938" s="44"/>
      <c r="AP938" s="44"/>
    </row>
    <row r="939" spans="1:44" x14ac:dyDescent="0.25">
      <c r="A939" s="206" t="s">
        <v>127</v>
      </c>
      <c r="B939" s="149"/>
      <c r="C939" s="204"/>
      <c r="D939" s="111"/>
      <c r="E939" s="149"/>
      <c r="F939" s="149"/>
      <c r="G939" s="111"/>
      <c r="H939" s="149"/>
      <c r="I939" s="149"/>
      <c r="J939" s="149"/>
      <c r="K939" s="111"/>
      <c r="L939" s="149"/>
      <c r="M939" s="149"/>
      <c r="N939" s="149"/>
      <c r="O939" s="111"/>
      <c r="P939" s="149"/>
      <c r="Q939" s="149"/>
      <c r="R939" s="149"/>
      <c r="S939" s="111"/>
      <c r="T939" s="149"/>
      <c r="U939" s="149"/>
      <c r="V939" s="44"/>
      <c r="W939" s="91"/>
      <c r="X939" s="91"/>
      <c r="Y939" s="91"/>
      <c r="Z939" s="44"/>
      <c r="AA939" s="44"/>
      <c r="AB939" s="44"/>
      <c r="AC939" s="44"/>
      <c r="AD939" s="44"/>
      <c r="AE939" s="44"/>
      <c r="AF939" s="44"/>
      <c r="AG939" s="44"/>
      <c r="AH939" s="44"/>
      <c r="AI939" s="44"/>
      <c r="AJ939" s="44"/>
      <c r="AK939" s="44"/>
      <c r="AL939" s="44"/>
      <c r="AM939" s="44"/>
      <c r="AN939" s="44"/>
      <c r="AO939" s="44"/>
      <c r="AP939" s="44"/>
    </row>
    <row r="940" spans="1:44" x14ac:dyDescent="0.25">
      <c r="A940" s="206" t="s">
        <v>213</v>
      </c>
      <c r="B940" s="149"/>
      <c r="C940" s="204">
        <f t="shared" ref="C940:C945" si="148">C960+C978</f>
        <v>651.51515151515196</v>
      </c>
      <c r="D940" s="226">
        <v>1411</v>
      </c>
      <c r="E940" s="223"/>
      <c r="F940" s="111">
        <f>ROUND(D940*C940,0)</f>
        <v>919288</v>
      </c>
      <c r="G940" s="226">
        <v>1442</v>
      </c>
      <c r="H940" s="223"/>
      <c r="I940" s="111">
        <f>ROUND(G940*$C940,0)</f>
        <v>939485</v>
      </c>
      <c r="J940" s="111"/>
      <c r="K940" s="226">
        <v>1411</v>
      </c>
      <c r="L940" s="223"/>
      <c r="M940" s="111">
        <v>919288</v>
      </c>
      <c r="N940" s="111"/>
      <c r="O940" s="226" t="s">
        <v>0</v>
      </c>
      <c r="P940" s="223"/>
      <c r="Q940" s="111">
        <v>0</v>
      </c>
      <c r="R940" s="111"/>
      <c r="S940" s="226" t="s">
        <v>0</v>
      </c>
      <c r="T940" s="223"/>
      <c r="U940" s="111">
        <v>0</v>
      </c>
      <c r="V940" s="331" t="s">
        <v>0</v>
      </c>
      <c r="X940" s="330">
        <f>(G940-D940)/D940</f>
        <v>2.1970233876683204E-2</v>
      </c>
      <c r="Y940" s="142"/>
      <c r="Z940" s="44"/>
      <c r="AA940" s="44"/>
      <c r="AB940" s="44"/>
      <c r="AC940" s="44"/>
      <c r="AD940" s="44"/>
      <c r="AE940" s="44"/>
      <c r="AF940" s="44"/>
      <c r="AG940" s="44"/>
      <c r="AH940" s="44"/>
      <c r="AI940" s="44"/>
      <c r="AJ940" s="44"/>
      <c r="AK940" s="44"/>
      <c r="AL940" s="44"/>
      <c r="AM940" s="44"/>
      <c r="AN940" s="44"/>
      <c r="AO940" s="44"/>
      <c r="AP940" s="44"/>
    </row>
    <row r="941" spans="1:44" x14ac:dyDescent="0.25">
      <c r="A941" s="206" t="s">
        <v>214</v>
      </c>
      <c r="B941" s="149"/>
      <c r="C941" s="204">
        <f t="shared" si="148"/>
        <v>0</v>
      </c>
      <c r="D941" s="226">
        <v>1703</v>
      </c>
      <c r="E941" s="251"/>
      <c r="F941" s="111">
        <f>ROUND(D941*C941,0)</f>
        <v>0</v>
      </c>
      <c r="G941" s="226">
        <v>1743</v>
      </c>
      <c r="H941" s="251"/>
      <c r="I941" s="111">
        <f>ROUND(G941*$C941,0)</f>
        <v>0</v>
      </c>
      <c r="J941" s="111"/>
      <c r="K941" s="226">
        <v>1703</v>
      </c>
      <c r="L941" s="251"/>
      <c r="M941" s="111">
        <v>0</v>
      </c>
      <c r="N941" s="111"/>
      <c r="O941" s="226" t="s">
        <v>0</v>
      </c>
      <c r="P941" s="251"/>
      <c r="Q941" s="111">
        <v>0</v>
      </c>
      <c r="R941" s="111"/>
      <c r="S941" s="226" t="s">
        <v>0</v>
      </c>
      <c r="T941" s="251"/>
      <c r="U941" s="111">
        <v>0</v>
      </c>
      <c r="V941" s="44"/>
      <c r="X941" s="330">
        <f>(G941-D941)/D941</f>
        <v>2.3487962419260128E-2</v>
      </c>
      <c r="Y941" s="142"/>
      <c r="Z941" s="44"/>
      <c r="AA941" s="44"/>
      <c r="AB941" s="44"/>
      <c r="AC941" s="44"/>
      <c r="AD941" s="44"/>
      <c r="AE941" s="44"/>
      <c r="AF941" s="44"/>
      <c r="AG941" s="44"/>
      <c r="AH941" s="44"/>
      <c r="AI941" s="44"/>
      <c r="AJ941" s="44"/>
      <c r="AK941" s="44"/>
      <c r="AL941" s="44"/>
      <c r="AM941" s="44"/>
      <c r="AN941" s="44"/>
      <c r="AO941" s="44"/>
      <c r="AP941" s="44"/>
    </row>
    <row r="942" spans="1:44" x14ac:dyDescent="0.25">
      <c r="A942" s="206" t="s">
        <v>128</v>
      </c>
      <c r="B942" s="149"/>
      <c r="C942" s="204">
        <f t="shared" si="148"/>
        <v>651.51515151515196</v>
      </c>
      <c r="D942" s="226"/>
      <c r="E942" s="223"/>
      <c r="F942" s="111" t="s">
        <v>0</v>
      </c>
      <c r="G942" s="226" t="s">
        <v>0</v>
      </c>
      <c r="H942" s="223"/>
      <c r="I942" s="111" t="s">
        <v>0</v>
      </c>
      <c r="J942" s="111"/>
      <c r="K942" s="226" t="s">
        <v>0</v>
      </c>
      <c r="L942" s="223"/>
      <c r="M942" s="111" t="s">
        <v>0</v>
      </c>
      <c r="N942" s="111"/>
      <c r="O942" s="226" t="s">
        <v>0</v>
      </c>
      <c r="P942" s="223"/>
      <c r="Q942" s="111" t="s">
        <v>0</v>
      </c>
      <c r="R942" s="111"/>
      <c r="S942" s="226" t="s">
        <v>0</v>
      </c>
      <c r="T942" s="223"/>
      <c r="U942" s="111" t="s">
        <v>0</v>
      </c>
      <c r="V942" s="44"/>
      <c r="X942" s="332"/>
      <c r="Y942" s="91"/>
      <c r="Z942" s="44"/>
      <c r="AA942" s="44"/>
      <c r="AB942" s="44"/>
      <c r="AC942" s="44"/>
      <c r="AD942" s="44"/>
      <c r="AE942" s="44"/>
      <c r="AF942" s="44"/>
      <c r="AG942" s="44"/>
      <c r="AH942" s="44"/>
      <c r="AI942" s="44"/>
      <c r="AJ942" s="44"/>
      <c r="AK942" s="44"/>
      <c r="AL942" s="44"/>
      <c r="AM942" s="44"/>
      <c r="AN942" s="44"/>
      <c r="AO942" s="44"/>
      <c r="AP942" s="44"/>
    </row>
    <row r="943" spans="1:44" x14ac:dyDescent="0.25">
      <c r="A943" s="206" t="s">
        <v>215</v>
      </c>
      <c r="B943" s="149"/>
      <c r="C943" s="204">
        <f t="shared" si="148"/>
        <v>921479.793103448</v>
      </c>
      <c r="D943" s="226">
        <v>1.1200000000000001</v>
      </c>
      <c r="E943" s="223"/>
      <c r="F943" s="111">
        <f>ROUND(D943*C943,0)</f>
        <v>1032057</v>
      </c>
      <c r="G943" s="226">
        <v>1.1499999999999999</v>
      </c>
      <c r="H943" s="223"/>
      <c r="I943" s="111">
        <f>ROUND(G943*$C943,0)</f>
        <v>1059702</v>
      </c>
      <c r="J943" s="111"/>
      <c r="K943" s="226">
        <v>1.1200000000000001</v>
      </c>
      <c r="L943" s="223"/>
      <c r="M943" s="111">
        <v>1032057</v>
      </c>
      <c r="N943" s="111"/>
      <c r="O943" s="226" t="s">
        <v>0</v>
      </c>
      <c r="P943" s="223"/>
      <c r="Q943" s="111">
        <v>0</v>
      </c>
      <c r="R943" s="111"/>
      <c r="S943" s="226" t="s">
        <v>0</v>
      </c>
      <c r="T943" s="223"/>
      <c r="U943" s="111">
        <v>0</v>
      </c>
      <c r="V943" s="44"/>
      <c r="X943" s="330">
        <f>(G943-D943)/D943</f>
        <v>2.6785714285714107E-2</v>
      </c>
      <c r="Y943" s="142"/>
      <c r="Z943" s="44"/>
      <c r="AA943" s="44"/>
      <c r="AB943" s="44"/>
      <c r="AC943" s="44"/>
      <c r="AD943" s="44"/>
      <c r="AE943" s="44"/>
      <c r="AF943" s="44"/>
      <c r="AG943" s="44"/>
      <c r="AH943" s="44"/>
      <c r="AI943" s="44"/>
      <c r="AJ943" s="44"/>
      <c r="AK943" s="44"/>
      <c r="AL943" s="44"/>
      <c r="AM943" s="44"/>
      <c r="AN943" s="44"/>
      <c r="AO943" s="44"/>
      <c r="AP943" s="44"/>
    </row>
    <row r="944" spans="1:44" x14ac:dyDescent="0.25">
      <c r="A944" s="206" t="s">
        <v>216</v>
      </c>
      <c r="B944" s="149"/>
      <c r="C944" s="204">
        <f t="shared" si="148"/>
        <v>0</v>
      </c>
      <c r="D944" s="226">
        <v>1.01</v>
      </c>
      <c r="E944" s="223"/>
      <c r="F944" s="111">
        <f>ROUND(D944*C944,0)</f>
        <v>0</v>
      </c>
      <c r="G944" s="226">
        <v>1.03</v>
      </c>
      <c r="H944" s="223"/>
      <c r="I944" s="111">
        <f>ROUND(G944*$C944,0)</f>
        <v>0</v>
      </c>
      <c r="J944" s="111"/>
      <c r="K944" s="226">
        <v>1.01</v>
      </c>
      <c r="L944" s="223"/>
      <c r="M944" s="111">
        <v>0</v>
      </c>
      <c r="N944" s="111"/>
      <c r="O944" s="226" t="s">
        <v>0</v>
      </c>
      <c r="P944" s="223"/>
      <c r="Q944" s="111">
        <v>0</v>
      </c>
      <c r="R944" s="111"/>
      <c r="S944" s="226" t="s">
        <v>0</v>
      </c>
      <c r="T944" s="223"/>
      <c r="U944" s="111">
        <v>0</v>
      </c>
      <c r="V944" s="44"/>
      <c r="X944" s="330">
        <f>(G944-D944)/D944</f>
        <v>1.980198019801982E-2</v>
      </c>
      <c r="Y944" s="142"/>
      <c r="Z944" s="44"/>
      <c r="AA944" s="44"/>
      <c r="AB944" s="44"/>
      <c r="AC944" s="44"/>
      <c r="AD944" s="44"/>
      <c r="AE944" s="44"/>
      <c r="AF944" s="44"/>
      <c r="AG944" s="44"/>
      <c r="AH944" s="44"/>
      <c r="AI944" s="44"/>
      <c r="AJ944" s="44"/>
      <c r="AK944" s="44"/>
      <c r="AL944" s="44"/>
      <c r="AM944" s="44"/>
      <c r="AN944" s="44"/>
      <c r="AO944" s="44"/>
      <c r="AP944" s="44"/>
    </row>
    <row r="945" spans="1:44" x14ac:dyDescent="0.25">
      <c r="A945" s="134" t="s">
        <v>142</v>
      </c>
      <c r="B945" s="149"/>
      <c r="C945" s="204">
        <f t="shared" si="148"/>
        <v>752533.72413793101</v>
      </c>
      <c r="D945" s="226">
        <v>7.97</v>
      </c>
      <c r="E945" s="223"/>
      <c r="F945" s="111">
        <f>ROUND(D945*C945,0)</f>
        <v>5997694</v>
      </c>
      <c r="G945" s="226">
        <v>8.16</v>
      </c>
      <c r="H945" s="223"/>
      <c r="I945" s="111">
        <f>ROUND(G945*$C945,0)</f>
        <v>6140675</v>
      </c>
      <c r="J945" s="111"/>
      <c r="K945" s="226" t="e">
        <v>#DIV/0!</v>
      </c>
      <c r="L945" s="223"/>
      <c r="M945" s="111" t="e">
        <v>#DIV/0!</v>
      </c>
      <c r="N945" s="111"/>
      <c r="O945" s="226" t="e">
        <v>#DIV/0!</v>
      </c>
      <c r="P945" s="223"/>
      <c r="Q945" s="111" t="e">
        <v>#DIV/0!</v>
      </c>
      <c r="R945" s="111"/>
      <c r="S945" s="226" t="e">
        <v>#DIV/0!</v>
      </c>
      <c r="T945" s="223"/>
      <c r="U945" s="111" t="e">
        <v>#DIV/0!</v>
      </c>
      <c r="V945" s="44"/>
      <c r="X945" s="330">
        <f>(G945-D945)/D945</f>
        <v>2.383939774153079E-2</v>
      </c>
      <c r="Y945" s="142"/>
      <c r="Z945" s="44"/>
      <c r="AA945" s="44"/>
      <c r="AB945" s="44"/>
      <c r="AC945" s="44"/>
      <c r="AD945" s="44"/>
      <c r="AE945" s="44"/>
      <c r="AF945" s="44"/>
      <c r="AG945" s="44"/>
      <c r="AH945" s="44"/>
      <c r="AI945" s="44"/>
      <c r="AJ945" s="44"/>
      <c r="AK945" s="44"/>
      <c r="AL945" s="44"/>
      <c r="AM945" s="44"/>
      <c r="AN945" s="44"/>
      <c r="AO945" s="44"/>
      <c r="AP945" s="44"/>
    </row>
    <row r="946" spans="1:44" x14ac:dyDescent="0.25">
      <c r="A946" s="206" t="s">
        <v>164</v>
      </c>
      <c r="B946" s="149"/>
      <c r="C946" s="204"/>
      <c r="D946" s="226"/>
      <c r="E946" s="223"/>
      <c r="F946" s="111"/>
      <c r="G946" s="226" t="s">
        <v>0</v>
      </c>
      <c r="H946" s="223"/>
      <c r="I946" s="111"/>
      <c r="J946" s="111"/>
      <c r="K946" s="226" t="s">
        <v>0</v>
      </c>
      <c r="L946" s="223"/>
      <c r="M946" s="111"/>
      <c r="N946" s="111"/>
      <c r="O946" s="226" t="s">
        <v>0</v>
      </c>
      <c r="P946" s="223"/>
      <c r="Q946" s="111"/>
      <c r="R946" s="111"/>
      <c r="S946" s="226" t="s">
        <v>0</v>
      </c>
      <c r="T946" s="223"/>
      <c r="U946" s="111"/>
      <c r="V946" s="44"/>
      <c r="X946" s="332"/>
      <c r="Y946" s="91"/>
      <c r="Z946" s="44"/>
      <c r="AA946" s="44"/>
      <c r="AB946" s="44"/>
      <c r="AC946" s="44"/>
      <c r="AD946" s="44"/>
      <c r="AE946" s="44"/>
      <c r="AF946" s="44"/>
      <c r="AG946" s="44"/>
      <c r="AH946" s="44"/>
      <c r="AI946" s="44"/>
      <c r="AJ946" s="44"/>
      <c r="AK946" s="44"/>
      <c r="AL946" s="44"/>
      <c r="AM946" s="44"/>
      <c r="AN946" s="44"/>
      <c r="AO946" s="44"/>
      <c r="AP946" s="44"/>
    </row>
    <row r="947" spans="1:44" x14ac:dyDescent="0.25">
      <c r="A947" s="206" t="s">
        <v>203</v>
      </c>
      <c r="B947" s="149"/>
      <c r="C947" s="204">
        <f>C967+C985</f>
        <v>334945415.26665139</v>
      </c>
      <c r="D947" s="318">
        <v>4.7409999999999997</v>
      </c>
      <c r="E947" s="223" t="s">
        <v>89</v>
      </c>
      <c r="F947" s="111">
        <f>ROUND(D947/100*C947,0)</f>
        <v>15879762</v>
      </c>
      <c r="G947" s="318">
        <v>4.8520000000000003</v>
      </c>
      <c r="H947" s="223" t="s">
        <v>89</v>
      </c>
      <c r="I947" s="111">
        <f>ROUND(G947/100*$C947,0)</f>
        <v>16251552</v>
      </c>
      <c r="J947" s="111"/>
      <c r="K947" s="318" t="s">
        <v>0</v>
      </c>
      <c r="L947" s="295" t="s">
        <v>0</v>
      </c>
      <c r="M947" s="111">
        <v>0</v>
      </c>
      <c r="N947" s="111"/>
      <c r="O947" s="318" t="e">
        <v>#DIV/0!</v>
      </c>
      <c r="P947" s="223" t="s">
        <v>89</v>
      </c>
      <c r="Q947" s="111" t="e">
        <v>#DIV/0!</v>
      </c>
      <c r="R947" s="111"/>
      <c r="S947" s="318" t="e">
        <v>#DIV/0!</v>
      </c>
      <c r="T947" s="223" t="s">
        <v>89</v>
      </c>
      <c r="U947" s="111" t="e">
        <v>#DIV/0!</v>
      </c>
      <c r="V947" s="44"/>
      <c r="X947" s="330">
        <f>((G947+G949)-D947)/D947</f>
        <v>2.341278211347831E-2</v>
      </c>
      <c r="Y947" s="142"/>
      <c r="Z947" s="44"/>
      <c r="AA947" s="44"/>
      <c r="AB947" s="44"/>
      <c r="AC947" s="44"/>
      <c r="AD947" s="44"/>
      <c r="AE947" s="44"/>
      <c r="AF947" s="44"/>
      <c r="AG947" s="44"/>
      <c r="AH947" s="44"/>
      <c r="AI947" s="44"/>
      <c r="AJ947" s="44"/>
      <c r="AK947" s="44"/>
      <c r="AL947" s="44"/>
      <c r="AM947" s="44"/>
      <c r="AN947" s="44"/>
      <c r="AO947" s="44"/>
      <c r="AP947" s="44"/>
    </row>
    <row r="948" spans="1:44" x14ac:dyDescent="0.25">
      <c r="A948" s="206" t="s">
        <v>133</v>
      </c>
      <c r="B948" s="149"/>
      <c r="C948" s="204">
        <f>C968+C986</f>
        <v>159554.87878787841</v>
      </c>
      <c r="D948" s="226">
        <v>0.56000000000000005</v>
      </c>
      <c r="E948" s="223"/>
      <c r="F948" s="111">
        <f>ROUND(D948*C948,0)</f>
        <v>89351</v>
      </c>
      <c r="G948" s="226">
        <v>0.56999999999999995</v>
      </c>
      <c r="H948" s="223"/>
      <c r="I948" s="111">
        <f>ROUND(G948*$C948,0)</f>
        <v>90946</v>
      </c>
      <c r="J948" s="111"/>
      <c r="K948" s="226" t="s">
        <v>0</v>
      </c>
      <c r="L948" s="223"/>
      <c r="M948" s="111">
        <v>0</v>
      </c>
      <c r="N948" s="111"/>
      <c r="O948" s="226" t="e">
        <v>#DIV/0!</v>
      </c>
      <c r="P948" s="223"/>
      <c r="Q948" s="111" t="e">
        <v>#DIV/0!</v>
      </c>
      <c r="R948" s="111"/>
      <c r="S948" s="226" t="e">
        <v>#DIV/0!</v>
      </c>
      <c r="T948" s="223"/>
      <c r="U948" s="111" t="e">
        <v>#DIV/0!</v>
      </c>
      <c r="V948" s="44"/>
      <c r="X948" s="330">
        <f>(G948-D948)/D948</f>
        <v>1.7857142857142672E-2</v>
      </c>
      <c r="Y948" s="142"/>
      <c r="Z948" s="44"/>
      <c r="AA948" s="44"/>
      <c r="AB948" s="44"/>
      <c r="AC948" s="44"/>
      <c r="AD948" s="44"/>
      <c r="AE948" s="44"/>
      <c r="AF948" s="44"/>
      <c r="AG948" s="44"/>
      <c r="AH948" s="44"/>
      <c r="AI948" s="44"/>
      <c r="AJ948" s="44"/>
      <c r="AK948" s="44"/>
      <c r="AL948" s="44"/>
      <c r="AM948" s="44"/>
      <c r="AN948" s="44"/>
      <c r="AO948" s="44"/>
      <c r="AP948" s="44"/>
    </row>
    <row r="949" spans="1:44" s="120" customFormat="1" hidden="1" x14ac:dyDescent="0.25">
      <c r="A949" s="119" t="s">
        <v>204</v>
      </c>
      <c r="C949" s="214">
        <f>C970+C987</f>
        <v>334945415.26665139</v>
      </c>
      <c r="D949" s="128">
        <v>0</v>
      </c>
      <c r="E949" s="122"/>
      <c r="F949" s="123"/>
      <c r="G949" s="124">
        <v>0</v>
      </c>
      <c r="H949" s="256" t="s">
        <v>89</v>
      </c>
      <c r="I949" s="123">
        <f>ROUND(G949/100*$C949,0)</f>
        <v>0</v>
      </c>
      <c r="J949" s="123"/>
      <c r="K949" s="124" t="s">
        <v>0</v>
      </c>
      <c r="L949" s="256" t="s">
        <v>0</v>
      </c>
      <c r="M949" s="111">
        <v>0</v>
      </c>
      <c r="N949" s="256"/>
      <c r="O949" s="124" t="s">
        <v>0</v>
      </c>
      <c r="P949" s="256" t="s">
        <v>0</v>
      </c>
      <c r="Q949" s="111">
        <v>0</v>
      </c>
      <c r="R949" s="256"/>
      <c r="S949" s="124">
        <v>0</v>
      </c>
      <c r="T949" s="256" t="s">
        <v>89</v>
      </c>
      <c r="U949" s="111">
        <v>0</v>
      </c>
      <c r="V949" s="126">
        <v>9512953.169853868</v>
      </c>
      <c r="W949" s="112" t="s">
        <v>205</v>
      </c>
      <c r="Z949" s="127"/>
      <c r="AA949" s="127"/>
      <c r="AF949" s="122"/>
      <c r="AG949" s="122"/>
      <c r="AH949" s="122"/>
      <c r="AI949" s="122"/>
      <c r="AJ949" s="122"/>
      <c r="AK949" s="122"/>
      <c r="AL949" s="122"/>
      <c r="AM949" s="122"/>
      <c r="AN949" s="122"/>
      <c r="AO949" s="122"/>
      <c r="AP949" s="122"/>
      <c r="AR949" s="126"/>
    </row>
    <row r="950" spans="1:44" s="183" customFormat="1" hidden="1" x14ac:dyDescent="0.25">
      <c r="A950" s="182" t="s">
        <v>206</v>
      </c>
      <c r="C950" s="216"/>
      <c r="D950" s="333">
        <v>4.7409999999999997</v>
      </c>
      <c r="E950" s="272" t="s">
        <v>89</v>
      </c>
      <c r="F950" s="187"/>
      <c r="G950" s="185">
        <f>G947+G949</f>
        <v>4.8520000000000003</v>
      </c>
      <c r="H950" s="272" t="s">
        <v>89</v>
      </c>
      <c r="I950" s="187"/>
      <c r="J950" s="187"/>
      <c r="K950" s="334" t="s">
        <v>0</v>
      </c>
      <c r="L950" s="272" t="s">
        <v>0</v>
      </c>
      <c r="M950" s="272"/>
      <c r="N950" s="272"/>
      <c r="O950" s="334" t="e">
        <f>O947+O949</f>
        <v>#DIV/0!</v>
      </c>
      <c r="P950" s="272" t="s">
        <v>89</v>
      </c>
      <c r="Q950" s="272"/>
      <c r="R950" s="272"/>
      <c r="S950" s="334" t="e">
        <f>S947+S949</f>
        <v>#DIV/0!</v>
      </c>
      <c r="T950" s="272" t="s">
        <v>89</v>
      </c>
      <c r="U950" s="272"/>
      <c r="V950" s="335"/>
      <c r="W950" s="336"/>
      <c r="X950" s="337">
        <f>(G950-D950)/D950</f>
        <v>2.341278211347831E-2</v>
      </c>
      <c r="Z950" s="338"/>
      <c r="AA950" s="338"/>
      <c r="AF950" s="339"/>
      <c r="AG950" s="339"/>
      <c r="AH950" s="339"/>
      <c r="AI950" s="339"/>
      <c r="AJ950" s="339"/>
      <c r="AK950" s="339"/>
      <c r="AL950" s="339"/>
      <c r="AM950" s="339"/>
      <c r="AN950" s="339"/>
      <c r="AO950" s="339"/>
      <c r="AP950" s="339"/>
      <c r="AR950" s="335"/>
    </row>
    <row r="951" spans="1:44" x14ac:dyDescent="0.25">
      <c r="A951" s="149" t="s">
        <v>114</v>
      </c>
      <c r="B951" s="149"/>
      <c r="C951" s="204">
        <f>C947</f>
        <v>334945415.26665139</v>
      </c>
      <c r="D951" s="212"/>
      <c r="E951" s="149"/>
      <c r="F951" s="111">
        <f>SUM(F940:F948)</f>
        <v>23918152</v>
      </c>
      <c r="G951" s="212"/>
      <c r="H951" s="149"/>
      <c r="I951" s="111">
        <f>SUM(I940:I950)</f>
        <v>24482360</v>
      </c>
      <c r="J951" s="111"/>
      <c r="K951" s="212"/>
      <c r="L951" s="149"/>
      <c r="M951" s="111" t="e">
        <f>SUM(M940:M950)</f>
        <v>#DIV/0!</v>
      </c>
      <c r="N951" s="111"/>
      <c r="O951" s="212"/>
      <c r="P951" s="149"/>
      <c r="Q951" s="111" t="e">
        <f>SUM(Q940:Q950)</f>
        <v>#DIV/0!</v>
      </c>
      <c r="R951" s="111"/>
      <c r="S951" s="212"/>
      <c r="T951" s="149"/>
      <c r="U951" s="111" t="e">
        <f>SUM(U940:U950)</f>
        <v>#DIV/0!</v>
      </c>
      <c r="V951" s="44"/>
      <c r="W951" s="91"/>
      <c r="X951" s="91"/>
      <c r="Y951" s="91"/>
      <c r="Z951" s="44"/>
      <c r="AA951" s="44"/>
      <c r="AB951" s="44"/>
      <c r="AC951" s="44"/>
      <c r="AD951" s="44"/>
      <c r="AE951" s="44"/>
      <c r="AF951" s="44"/>
      <c r="AG951" s="44"/>
      <c r="AH951" s="44"/>
      <c r="AI951" s="44"/>
      <c r="AJ951" s="44"/>
      <c r="AK951" s="44"/>
      <c r="AL951" s="44"/>
      <c r="AM951" s="44"/>
      <c r="AN951" s="44"/>
      <c r="AO951" s="44"/>
      <c r="AP951" s="44"/>
    </row>
    <row r="952" spans="1:44" x14ac:dyDescent="0.25">
      <c r="A952" s="149" t="s">
        <v>92</v>
      </c>
      <c r="B952" s="149"/>
      <c r="C952" s="204">
        <f>C971+C989</f>
        <v>1536540.0713919159</v>
      </c>
      <c r="D952" s="134"/>
      <c r="E952" s="134"/>
      <c r="F952" s="230">
        <f>F971+F989</f>
        <v>117155.49709223211</v>
      </c>
      <c r="G952" s="134"/>
      <c r="H952" s="134"/>
      <c r="I952" s="230">
        <f>F952</f>
        <v>117155.49709223211</v>
      </c>
      <c r="J952" s="207"/>
      <c r="K952" s="134"/>
      <c r="L952" s="134"/>
      <c r="M952" s="314" t="e">
        <f>$I$952*V955/($V955+$W$955+$X$955)</f>
        <v>#DIV/0!</v>
      </c>
      <c r="N952" s="133"/>
      <c r="O952" s="134"/>
      <c r="P952" s="134"/>
      <c r="Q952" s="314" t="e">
        <f>$I$952*W955/($V955+$W$955+$X$955)</f>
        <v>#DIV/0!</v>
      </c>
      <c r="R952" s="133"/>
      <c r="S952" s="134"/>
      <c r="T952" s="134"/>
      <c r="U952" s="314" t="e">
        <f>$I$952*X955/($V955+$W$955+$X$955)</f>
        <v>#DIV/0!</v>
      </c>
      <c r="V952" s="165"/>
      <c r="W952" s="163"/>
      <c r="X952" s="91"/>
      <c r="Y952" s="91"/>
      <c r="Z952" s="44"/>
      <c r="AA952" s="44"/>
      <c r="AB952" s="44"/>
      <c r="AC952" s="44"/>
      <c r="AD952" s="44"/>
      <c r="AE952" s="44"/>
      <c r="AF952" s="44"/>
      <c r="AG952" s="44"/>
      <c r="AH952" s="44"/>
      <c r="AI952" s="44"/>
      <c r="AJ952" s="44"/>
      <c r="AK952" s="44"/>
      <c r="AL952" s="44"/>
      <c r="AM952" s="44"/>
      <c r="AN952" s="44"/>
      <c r="AO952" s="44"/>
      <c r="AP952" s="44"/>
    </row>
    <row r="953" spans="1:44" ht="18" customHeight="1" thickBot="1" x14ac:dyDescent="0.3">
      <c r="A953" s="149" t="s">
        <v>115</v>
      </c>
      <c r="B953" s="149"/>
      <c r="C953" s="315">
        <f>SUM(C951)+C952</f>
        <v>336481955.33804333</v>
      </c>
      <c r="D953" s="245"/>
      <c r="E953" s="232"/>
      <c r="F953" s="233">
        <f>F951+F952</f>
        <v>24035307.497092232</v>
      </c>
      <c r="G953" s="245"/>
      <c r="H953" s="232"/>
      <c r="I953" s="233">
        <f>I951+I952</f>
        <v>24599515.497092232</v>
      </c>
      <c r="J953" s="207"/>
      <c r="K953" s="245"/>
      <c r="L953" s="232"/>
      <c r="M953" s="233" t="e">
        <f>M951+M952</f>
        <v>#DIV/0!</v>
      </c>
      <c r="N953" s="233"/>
      <c r="O953" s="245"/>
      <c r="P953" s="232"/>
      <c r="Q953" s="233" t="e">
        <f>Q951+Q952</f>
        <v>#DIV/0!</v>
      </c>
      <c r="R953" s="233"/>
      <c r="S953" s="245"/>
      <c r="T953" s="232"/>
      <c r="U953" s="233" t="e">
        <f>U951+U952</f>
        <v>#DIV/0!</v>
      </c>
      <c r="V953" s="199"/>
      <c r="W953" s="243"/>
      <c r="X953" s="91"/>
      <c r="Y953" s="91"/>
      <c r="Z953" s="80" t="s">
        <v>0</v>
      </c>
      <c r="AA953" s="44"/>
      <c r="AB953" s="44"/>
      <c r="AC953" s="44"/>
      <c r="AD953" s="44"/>
      <c r="AE953" s="44"/>
      <c r="AF953" s="44"/>
      <c r="AG953" s="44"/>
      <c r="AH953" s="44"/>
      <c r="AI953" s="44"/>
      <c r="AJ953" s="44"/>
      <c r="AK953" s="44"/>
      <c r="AL953" s="44"/>
      <c r="AM953" s="44"/>
      <c r="AN953" s="44"/>
      <c r="AO953" s="44"/>
      <c r="AP953" s="44"/>
    </row>
    <row r="954" spans="1:44" ht="16.5" thickTop="1" x14ac:dyDescent="0.25">
      <c r="A954" s="149"/>
      <c r="B954" s="149"/>
      <c r="C954" s="169"/>
      <c r="D954" s="226"/>
      <c r="E954" s="149"/>
      <c r="F954" s="111" t="s">
        <v>0</v>
      </c>
      <c r="G954" s="226"/>
      <c r="H954" s="149"/>
      <c r="I954" s="246"/>
      <c r="J954" s="246"/>
      <c r="K954" s="226"/>
      <c r="L954" s="149"/>
      <c r="M954" s="246"/>
      <c r="N954" s="246"/>
      <c r="O954" s="226"/>
      <c r="P954" s="149"/>
      <c r="Q954" s="246"/>
      <c r="R954" s="246"/>
      <c r="S954" s="226"/>
      <c r="T954" s="149"/>
      <c r="U954" s="246"/>
      <c r="V954" s="340"/>
      <c r="W954" s="340"/>
      <c r="X954" s="340"/>
      <c r="Y954" s="91"/>
      <c r="Z954" s="199" t="s">
        <v>0</v>
      </c>
      <c r="AA954" s="44"/>
      <c r="AB954" s="44"/>
      <c r="AC954" s="44"/>
      <c r="AD954" s="44"/>
      <c r="AE954" s="44"/>
      <c r="AF954" s="44"/>
      <c r="AG954" s="44"/>
      <c r="AH954" s="44"/>
      <c r="AI954" s="44"/>
      <c r="AJ954" s="44"/>
      <c r="AK954" s="44"/>
      <c r="AL954" s="44"/>
      <c r="AM954" s="44"/>
      <c r="AN954" s="44"/>
      <c r="AO954" s="44"/>
      <c r="AP954" s="44"/>
    </row>
    <row r="955" spans="1:44" hidden="1" x14ac:dyDescent="0.25">
      <c r="A955" s="149"/>
      <c r="B955" s="149"/>
      <c r="C955" s="169"/>
      <c r="D955" s="226"/>
      <c r="E955" s="149"/>
      <c r="F955" s="111"/>
      <c r="G955" s="226"/>
      <c r="H955" s="149"/>
      <c r="I955" s="246"/>
      <c r="J955" s="246"/>
      <c r="K955" s="226"/>
      <c r="L955" s="149"/>
      <c r="M955" s="246"/>
      <c r="N955" s="246"/>
      <c r="O955" s="226"/>
      <c r="P955" s="149"/>
      <c r="Q955" s="246"/>
      <c r="R955" s="246"/>
      <c r="S955" s="226"/>
      <c r="T955" s="149"/>
      <c r="U955" s="246"/>
      <c r="V955" s="166"/>
      <c r="W955" s="166"/>
      <c r="X955" s="166"/>
      <c r="Y955" s="91"/>
      <c r="Z955" s="44"/>
      <c r="AA955" s="44"/>
      <c r="AB955" s="44"/>
      <c r="AC955" s="44"/>
      <c r="AD955" s="44"/>
      <c r="AE955" s="44"/>
      <c r="AF955" s="44"/>
      <c r="AG955" s="44"/>
      <c r="AH955" s="44"/>
      <c r="AI955" s="44"/>
      <c r="AJ955" s="44"/>
      <c r="AK955" s="44"/>
      <c r="AL955" s="44"/>
      <c r="AM955" s="44"/>
      <c r="AN955" s="44"/>
      <c r="AO955" s="44"/>
      <c r="AP955" s="44"/>
    </row>
    <row r="956" spans="1:44" hidden="1" x14ac:dyDescent="0.25">
      <c r="A956" s="168" t="s">
        <v>217</v>
      </c>
      <c r="B956" s="149"/>
      <c r="C956" s="149"/>
      <c r="D956" s="111"/>
      <c r="E956" s="149"/>
      <c r="F956" s="149"/>
      <c r="G956" s="111"/>
      <c r="H956" s="149"/>
      <c r="I956" s="149"/>
      <c r="J956" s="149"/>
      <c r="K956" s="111"/>
      <c r="L956" s="149"/>
      <c r="M956" s="149"/>
      <c r="N956" s="149"/>
      <c r="O956" s="111"/>
      <c r="P956" s="149"/>
      <c r="Q956" s="149"/>
      <c r="R956" s="149"/>
      <c r="S956" s="111"/>
      <c r="T956" s="149"/>
      <c r="U956" s="149"/>
      <c r="V956" s="44"/>
      <c r="W956" s="91"/>
      <c r="X956" s="91"/>
      <c r="Y956" s="91"/>
      <c r="Z956" s="44"/>
      <c r="AA956" s="44"/>
      <c r="AB956" s="44"/>
      <c r="AC956" s="44"/>
      <c r="AD956" s="44"/>
      <c r="AE956" s="44"/>
      <c r="AF956" s="44"/>
      <c r="AG956" s="44"/>
      <c r="AH956" s="44"/>
      <c r="AI956" s="44"/>
      <c r="AJ956" s="44"/>
      <c r="AK956" s="44"/>
      <c r="AL956" s="44"/>
      <c r="AM956" s="44"/>
      <c r="AN956" s="44"/>
      <c r="AO956" s="44"/>
      <c r="AP956" s="44"/>
    </row>
    <row r="957" spans="1:44" hidden="1" x14ac:dyDescent="0.25">
      <c r="A957" s="134" t="s">
        <v>222</v>
      </c>
      <c r="B957" s="149"/>
      <c r="C957" s="149"/>
      <c r="D957" s="111"/>
      <c r="E957" s="149"/>
      <c r="F957" s="149"/>
      <c r="G957" s="111"/>
      <c r="H957" s="149"/>
      <c r="I957" s="149"/>
      <c r="J957" s="149"/>
      <c r="K957" s="111"/>
      <c r="L957" s="149"/>
      <c r="M957" s="149"/>
      <c r="N957" s="149"/>
      <c r="O957" s="111"/>
      <c r="P957" s="149"/>
      <c r="Q957" s="149"/>
      <c r="R957" s="149"/>
      <c r="S957" s="111"/>
      <c r="T957" s="149"/>
      <c r="U957" s="149"/>
      <c r="V957" s="44"/>
      <c r="W957" s="91"/>
      <c r="X957" s="91"/>
      <c r="Y957" s="91"/>
      <c r="Z957" s="44"/>
      <c r="AA957" s="44"/>
      <c r="AB957" s="44"/>
      <c r="AC957" s="44"/>
      <c r="AD957" s="44"/>
      <c r="AE957" s="44"/>
      <c r="AF957" s="44"/>
      <c r="AG957" s="44"/>
      <c r="AH957" s="44"/>
      <c r="AI957" s="44"/>
      <c r="AJ957" s="44"/>
      <c r="AK957" s="44"/>
      <c r="AL957" s="44"/>
      <c r="AM957" s="44"/>
      <c r="AN957" s="44"/>
      <c r="AO957" s="44"/>
      <c r="AP957" s="44"/>
    </row>
    <row r="958" spans="1:44" hidden="1" x14ac:dyDescent="0.25">
      <c r="A958" s="206"/>
      <c r="B958" s="149"/>
      <c r="C958" s="149"/>
      <c r="D958" s="111"/>
      <c r="E958" s="149"/>
      <c r="F958" s="149"/>
      <c r="G958" s="111"/>
      <c r="H958" s="149"/>
      <c r="I958" s="149"/>
      <c r="J958" s="149"/>
      <c r="K958" s="111"/>
      <c r="L958" s="149"/>
      <c r="M958" s="149"/>
      <c r="N958" s="149"/>
      <c r="O958" s="111"/>
      <c r="P958" s="149"/>
      <c r="Q958" s="149"/>
      <c r="R958" s="149"/>
      <c r="S958" s="111"/>
      <c r="T958" s="149"/>
      <c r="U958" s="149"/>
      <c r="V958" s="44"/>
      <c r="W958" s="91"/>
      <c r="X958" s="91"/>
      <c r="Y958" s="91"/>
      <c r="Z958" s="44"/>
      <c r="AA958" s="44"/>
      <c r="AB958" s="44"/>
      <c r="AC958" s="44"/>
      <c r="AD958" s="44"/>
      <c r="AE958" s="44"/>
      <c r="AF958" s="44"/>
      <c r="AG958" s="44"/>
      <c r="AH958" s="44"/>
      <c r="AI958" s="44"/>
      <c r="AJ958" s="44"/>
      <c r="AK958" s="44"/>
      <c r="AL958" s="44"/>
      <c r="AM958" s="44"/>
      <c r="AN958" s="44"/>
      <c r="AO958" s="44"/>
      <c r="AP958" s="44"/>
    </row>
    <row r="959" spans="1:44" hidden="1" x14ac:dyDescent="0.25">
      <c r="A959" s="206" t="s">
        <v>127</v>
      </c>
      <c r="B959" s="149"/>
      <c r="C959" s="204"/>
      <c r="D959" s="111"/>
      <c r="E959" s="149"/>
      <c r="F959" s="149"/>
      <c r="G959" s="111"/>
      <c r="H959" s="149"/>
      <c r="I959" s="149"/>
      <c r="J959" s="149"/>
      <c r="K959" s="111"/>
      <c r="L959" s="149"/>
      <c r="M959" s="149"/>
      <c r="N959" s="149"/>
      <c r="O959" s="111"/>
      <c r="P959" s="149"/>
      <c r="Q959" s="149"/>
      <c r="R959" s="149"/>
      <c r="S959" s="111"/>
      <c r="T959" s="149"/>
      <c r="U959" s="149"/>
      <c r="V959" s="44"/>
      <c r="W959" s="91" t="s">
        <v>0</v>
      </c>
      <c r="X959" s="91"/>
      <c r="Y959" s="91"/>
      <c r="Z959" s="44"/>
      <c r="AA959" s="44"/>
      <c r="AB959" s="44"/>
      <c r="AC959" s="44"/>
      <c r="AD959" s="44"/>
      <c r="AE959" s="44"/>
      <c r="AF959" s="44"/>
      <c r="AG959" s="44"/>
      <c r="AH959" s="44"/>
      <c r="AI959" s="44"/>
      <c r="AJ959" s="44"/>
      <c r="AK959" s="44"/>
      <c r="AL959" s="44"/>
      <c r="AM959" s="44"/>
      <c r="AN959" s="44"/>
      <c r="AO959" s="44"/>
      <c r="AP959" s="44"/>
    </row>
    <row r="960" spans="1:44" hidden="1" x14ac:dyDescent="0.25">
      <c r="A960" s="206" t="s">
        <v>213</v>
      </c>
      <c r="B960" s="149"/>
      <c r="C960" s="204">
        <v>318.69696969696997</v>
      </c>
      <c r="D960" s="226">
        <v>1411</v>
      </c>
      <c r="E960" s="223"/>
      <c r="F960" s="111">
        <f>ROUND(D960*C960,0)</f>
        <v>449681</v>
      </c>
      <c r="G960" s="226">
        <f>G940</f>
        <v>1442</v>
      </c>
      <c r="H960" s="223"/>
      <c r="I960" s="111">
        <f>ROUND(G960*$C960,0)</f>
        <v>459561</v>
      </c>
      <c r="J960" s="111"/>
      <c r="K960" s="226">
        <f>K940</f>
        <v>1411</v>
      </c>
      <c r="L960" s="223"/>
      <c r="M960" s="111">
        <f>ROUND(K960*$C960,0)</f>
        <v>449681</v>
      </c>
      <c r="N960" s="111"/>
      <c r="O960" s="226" t="str">
        <f>O940</f>
        <v xml:space="preserve"> </v>
      </c>
      <c r="P960" s="223"/>
      <c r="Q960" s="111">
        <f>ROUND(O960*$C960,0)</f>
        <v>0</v>
      </c>
      <c r="R960" s="111"/>
      <c r="S960" s="226" t="str">
        <f>S940</f>
        <v xml:space="preserve"> </v>
      </c>
      <c r="T960" s="223"/>
      <c r="U960" s="111">
        <f>ROUND(S960*$C960,0)</f>
        <v>0</v>
      </c>
      <c r="V960" s="44"/>
      <c r="W960" s="91"/>
      <c r="X960" s="91"/>
      <c r="Y960" s="91"/>
      <c r="Z960" s="44"/>
      <c r="AA960" s="44"/>
      <c r="AB960" s="44"/>
      <c r="AC960" s="44"/>
      <c r="AD960" s="44"/>
      <c r="AE960" s="44"/>
      <c r="AF960" s="44"/>
      <c r="AG960" s="44"/>
      <c r="AH960" s="44"/>
      <c r="AI960" s="44"/>
      <c r="AJ960" s="44"/>
      <c r="AK960" s="44"/>
      <c r="AL960" s="44"/>
      <c r="AM960" s="44"/>
      <c r="AN960" s="44"/>
      <c r="AO960" s="44"/>
      <c r="AP960" s="44"/>
    </row>
    <row r="961" spans="1:44" hidden="1" x14ac:dyDescent="0.25">
      <c r="A961" s="206" t="s">
        <v>214</v>
      </c>
      <c r="B961" s="149"/>
      <c r="C961" s="204">
        <v>0</v>
      </c>
      <c r="D961" s="226">
        <v>1703</v>
      </c>
      <c r="E961" s="251"/>
      <c r="F961" s="111">
        <f>ROUND(D961*C961,0)</f>
        <v>0</v>
      </c>
      <c r="G961" s="226">
        <f>G941</f>
        <v>1743</v>
      </c>
      <c r="H961" s="251"/>
      <c r="I961" s="111">
        <f>ROUND(G961*$C961,0)</f>
        <v>0</v>
      </c>
      <c r="J961" s="111"/>
      <c r="K961" s="226">
        <f>K941</f>
        <v>1703</v>
      </c>
      <c r="L961" s="251"/>
      <c r="M961" s="111">
        <f>ROUND(K961*$C961,0)</f>
        <v>0</v>
      </c>
      <c r="N961" s="111"/>
      <c r="O961" s="226" t="str">
        <f>O941</f>
        <v xml:space="preserve"> </v>
      </c>
      <c r="P961" s="251"/>
      <c r="Q961" s="111">
        <f>ROUND(O961*$C961,0)</f>
        <v>0</v>
      </c>
      <c r="R961" s="111"/>
      <c r="S961" s="226" t="str">
        <f>S941</f>
        <v xml:space="preserve"> </v>
      </c>
      <c r="T961" s="251"/>
      <c r="U961" s="111">
        <f>ROUND(S961*$C961,0)</f>
        <v>0</v>
      </c>
      <c r="V961" s="44"/>
      <c r="W961" s="91"/>
      <c r="X961" s="91"/>
      <c r="Y961" s="91"/>
      <c r="Z961" s="44"/>
      <c r="AA961" s="44"/>
      <c r="AB961" s="44"/>
      <c r="AC961" s="44"/>
      <c r="AD961" s="44"/>
      <c r="AE961" s="44"/>
      <c r="AF961" s="44"/>
      <c r="AG961" s="44"/>
      <c r="AH961" s="44"/>
      <c r="AI961" s="44"/>
      <c r="AJ961" s="44"/>
      <c r="AK961" s="44"/>
      <c r="AL961" s="44"/>
      <c r="AM961" s="44"/>
      <c r="AN961" s="44"/>
      <c r="AO961" s="44"/>
      <c r="AP961" s="44"/>
    </row>
    <row r="962" spans="1:44" hidden="1" x14ac:dyDescent="0.25">
      <c r="A962" s="206" t="s">
        <v>128</v>
      </c>
      <c r="B962" s="149"/>
      <c r="C962" s="204">
        <f>SUM(C960:C961)</f>
        <v>318.69696969696997</v>
      </c>
      <c r="D962" s="226"/>
      <c r="E962" s="223"/>
      <c r="F962" s="111" t="s">
        <v>0</v>
      </c>
      <c r="G962" s="226" t="s">
        <v>0</v>
      </c>
      <c r="H962" s="223"/>
      <c r="I962" s="111" t="s">
        <v>0</v>
      </c>
      <c r="J962" s="111"/>
      <c r="K962" s="226" t="s">
        <v>0</v>
      </c>
      <c r="L962" s="223"/>
      <c r="M962" s="111" t="s">
        <v>0</v>
      </c>
      <c r="N962" s="111"/>
      <c r="O962" s="226" t="s">
        <v>0</v>
      </c>
      <c r="P962" s="223"/>
      <c r="Q962" s="111" t="s">
        <v>0</v>
      </c>
      <c r="R962" s="111"/>
      <c r="S962" s="226" t="s">
        <v>0</v>
      </c>
      <c r="T962" s="223"/>
      <c r="U962" s="111" t="s">
        <v>0</v>
      </c>
      <c r="V962" s="44"/>
      <c r="W962" s="91"/>
      <c r="X962" s="91"/>
      <c r="Y962" s="91"/>
      <c r="Z962" s="44"/>
      <c r="AA962" s="44"/>
      <c r="AB962" s="44"/>
      <c r="AC962" s="44"/>
      <c r="AD962" s="44"/>
      <c r="AE962" s="44"/>
      <c r="AF962" s="44"/>
      <c r="AG962" s="44"/>
      <c r="AH962" s="44"/>
      <c r="AI962" s="44"/>
      <c r="AJ962" s="44"/>
      <c r="AK962" s="44"/>
      <c r="AL962" s="44"/>
      <c r="AM962" s="44"/>
      <c r="AN962" s="44"/>
      <c r="AO962" s="44"/>
      <c r="AP962" s="44"/>
    </row>
    <row r="963" spans="1:44" hidden="1" x14ac:dyDescent="0.25">
      <c r="A963" s="206" t="s">
        <v>215</v>
      </c>
      <c r="B963" s="149"/>
      <c r="C963" s="204">
        <v>384073</v>
      </c>
      <c r="D963" s="226">
        <v>1.1200000000000001</v>
      </c>
      <c r="E963" s="223"/>
      <c r="F963" s="111">
        <f>ROUND(D963*C963,0)</f>
        <v>430162</v>
      </c>
      <c r="G963" s="226">
        <f>G943</f>
        <v>1.1499999999999999</v>
      </c>
      <c r="H963" s="223"/>
      <c r="I963" s="111">
        <f>ROUND(G963*$C963,0)</f>
        <v>441684</v>
      </c>
      <c r="J963" s="111"/>
      <c r="K963" s="226">
        <f>K943</f>
        <v>1.1200000000000001</v>
      </c>
      <c r="L963" s="223"/>
      <c r="M963" s="111">
        <f>ROUND(K963*$C963,0)</f>
        <v>430162</v>
      </c>
      <c r="N963" s="111"/>
      <c r="O963" s="226" t="str">
        <f>O943</f>
        <v xml:space="preserve"> </v>
      </c>
      <c r="P963" s="223"/>
      <c r="Q963" s="111">
        <f>ROUND(O963*$C963,0)</f>
        <v>0</v>
      </c>
      <c r="R963" s="111"/>
      <c r="S963" s="226" t="str">
        <f>S943</f>
        <v xml:space="preserve"> </v>
      </c>
      <c r="T963" s="223"/>
      <c r="U963" s="111">
        <f>ROUND(S963*$C963,0)</f>
        <v>0</v>
      </c>
      <c r="V963" s="44"/>
      <c r="W963" s="91"/>
      <c r="X963" s="91"/>
      <c r="Y963" s="91"/>
      <c r="Z963" s="44"/>
      <c r="AA963" s="44"/>
      <c r="AB963" s="44"/>
      <c r="AC963" s="44"/>
      <c r="AD963" s="44"/>
      <c r="AE963" s="44"/>
      <c r="AF963" s="44"/>
      <c r="AG963" s="44"/>
      <c r="AH963" s="44"/>
      <c r="AI963" s="44"/>
      <c r="AJ963" s="44"/>
      <c r="AK963" s="44"/>
      <c r="AL963" s="44"/>
      <c r="AM963" s="44"/>
      <c r="AN963" s="44"/>
      <c r="AO963" s="44"/>
      <c r="AP963" s="44"/>
    </row>
    <row r="964" spans="1:44" hidden="1" x14ac:dyDescent="0.25">
      <c r="A964" s="206" t="s">
        <v>216</v>
      </c>
      <c r="B964" s="149"/>
      <c r="C964" s="204">
        <v>0</v>
      </c>
      <c r="D964" s="226">
        <v>1.01</v>
      </c>
      <c r="E964" s="223"/>
      <c r="F964" s="111">
        <f>ROUND(D964*C964,0)</f>
        <v>0</v>
      </c>
      <c r="G964" s="226">
        <f>G944</f>
        <v>1.03</v>
      </c>
      <c r="H964" s="223"/>
      <c r="I964" s="111">
        <f>ROUND(G964*$C964,0)</f>
        <v>0</v>
      </c>
      <c r="J964" s="111"/>
      <c r="K964" s="226">
        <f>K944</f>
        <v>1.01</v>
      </c>
      <c r="L964" s="223"/>
      <c r="M964" s="111">
        <f>ROUND(K964*$C964,0)</f>
        <v>0</v>
      </c>
      <c r="N964" s="111"/>
      <c r="O964" s="226" t="str">
        <f>O944</f>
        <v xml:space="preserve"> </v>
      </c>
      <c r="P964" s="223"/>
      <c r="Q964" s="111">
        <f>ROUND(O964*$C964,0)</f>
        <v>0</v>
      </c>
      <c r="R964" s="111"/>
      <c r="S964" s="226" t="str">
        <f>S944</f>
        <v xml:space="preserve"> </v>
      </c>
      <c r="T964" s="223"/>
      <c r="U964" s="111">
        <f>ROUND(S964*$C964,0)</f>
        <v>0</v>
      </c>
      <c r="V964" s="44"/>
      <c r="W964" s="91"/>
      <c r="X964" s="91"/>
      <c r="Y964" s="91"/>
      <c r="Z964" s="44"/>
      <c r="AA964" s="44"/>
      <c r="AB964" s="44"/>
      <c r="AC964" s="44"/>
      <c r="AD964" s="44"/>
      <c r="AE964" s="44"/>
      <c r="AF964" s="44"/>
      <c r="AG964" s="44"/>
      <c r="AH964" s="44"/>
      <c r="AI964" s="44"/>
      <c r="AJ964" s="44"/>
      <c r="AK964" s="44"/>
      <c r="AL964" s="44"/>
      <c r="AM964" s="44"/>
      <c r="AN964" s="44"/>
      <c r="AO964" s="44"/>
      <c r="AP964" s="44"/>
    </row>
    <row r="965" spans="1:44" hidden="1" x14ac:dyDescent="0.25">
      <c r="A965" s="134" t="s">
        <v>142</v>
      </c>
      <c r="B965" s="149"/>
      <c r="C965" s="204">
        <v>287401.24137931003</v>
      </c>
      <c r="D965" s="226">
        <v>7.97</v>
      </c>
      <c r="E965" s="223"/>
      <c r="F965" s="111">
        <f>ROUND(D965*C965,0)</f>
        <v>2290588</v>
      </c>
      <c r="G965" s="226">
        <f>G945</f>
        <v>8.16</v>
      </c>
      <c r="H965" s="223"/>
      <c r="I965" s="111">
        <f>ROUND(G965*$C965,0)</f>
        <v>2345194</v>
      </c>
      <c r="J965" s="111"/>
      <c r="K965" s="226" t="e">
        <f>K945</f>
        <v>#DIV/0!</v>
      </c>
      <c r="L965" s="223"/>
      <c r="M965" s="111" t="e">
        <f>ROUND(K965*$C965,0)</f>
        <v>#DIV/0!</v>
      </c>
      <c r="N965" s="111"/>
      <c r="O965" s="226" t="e">
        <f>O945</f>
        <v>#DIV/0!</v>
      </c>
      <c r="P965" s="223"/>
      <c r="Q965" s="111" t="e">
        <f>ROUND(O965*$C965,0)</f>
        <v>#DIV/0!</v>
      </c>
      <c r="R965" s="111"/>
      <c r="S965" s="226" t="e">
        <f>S945</f>
        <v>#DIV/0!</v>
      </c>
      <c r="T965" s="223"/>
      <c r="U965" s="111" t="e">
        <f>ROUND(S965*$C965,0)</f>
        <v>#DIV/0!</v>
      </c>
      <c r="V965" s="44"/>
      <c r="W965" s="91"/>
      <c r="X965" s="91"/>
      <c r="Y965" s="91"/>
      <c r="Z965" s="44"/>
      <c r="AA965" s="44"/>
      <c r="AB965" s="44"/>
      <c r="AC965" s="44"/>
      <c r="AD965" s="44"/>
      <c r="AE965" s="44"/>
      <c r="AF965" s="44"/>
      <c r="AG965" s="44"/>
      <c r="AH965" s="44"/>
      <c r="AI965" s="44"/>
      <c r="AJ965" s="44"/>
      <c r="AK965" s="44"/>
      <c r="AL965" s="44"/>
      <c r="AM965" s="44"/>
      <c r="AN965" s="44"/>
      <c r="AO965" s="44"/>
      <c r="AP965" s="44"/>
    </row>
    <row r="966" spans="1:44" hidden="1" x14ac:dyDescent="0.25">
      <c r="A966" s="206" t="s">
        <v>164</v>
      </c>
      <c r="B966" s="149"/>
      <c r="C966" s="204"/>
      <c r="D966" s="226"/>
      <c r="E966" s="223"/>
      <c r="F966" s="111"/>
      <c r="G966" s="226" t="s">
        <v>0</v>
      </c>
      <c r="H966" s="223"/>
      <c r="I966" s="111"/>
      <c r="J966" s="111"/>
      <c r="K966" s="226" t="s">
        <v>0</v>
      </c>
      <c r="L966" s="223"/>
      <c r="M966" s="111"/>
      <c r="N966" s="111"/>
      <c r="O966" s="226" t="s">
        <v>0</v>
      </c>
      <c r="P966" s="223"/>
      <c r="Q966" s="111"/>
      <c r="R966" s="111"/>
      <c r="S966" s="226" t="s">
        <v>0</v>
      </c>
      <c r="T966" s="223"/>
      <c r="U966" s="111"/>
      <c r="V966" s="44"/>
      <c r="W966" s="91"/>
      <c r="X966" s="91"/>
      <c r="Y966" s="91"/>
      <c r="Z966" s="44"/>
      <c r="AA966" s="44"/>
      <c r="AB966" s="44"/>
      <c r="AC966" s="44"/>
      <c r="AD966" s="44"/>
      <c r="AE966" s="44"/>
      <c r="AF966" s="44"/>
      <c r="AG966" s="44"/>
      <c r="AH966" s="44"/>
      <c r="AI966" s="44"/>
      <c r="AJ966" s="44"/>
      <c r="AK966" s="44"/>
      <c r="AL966" s="44"/>
      <c r="AM966" s="44"/>
      <c r="AN966" s="44"/>
      <c r="AO966" s="44"/>
      <c r="AP966" s="44"/>
    </row>
    <row r="967" spans="1:44" hidden="1" x14ac:dyDescent="0.25">
      <c r="A967" s="206" t="s">
        <v>203</v>
      </c>
      <c r="B967" s="149"/>
      <c r="C967" s="204">
        <v>125244965.26665136</v>
      </c>
      <c r="D967" s="318">
        <v>4.7409999999999997</v>
      </c>
      <c r="E967" s="223" t="s">
        <v>89</v>
      </c>
      <c r="F967" s="111">
        <f>ROUND(D967/100*C967,0)</f>
        <v>5937864</v>
      </c>
      <c r="G967" s="318">
        <f>G947</f>
        <v>4.8520000000000003</v>
      </c>
      <c r="H967" s="223" t="s">
        <v>89</v>
      </c>
      <c r="I967" s="111">
        <f>ROUND(G967/100*$C967,0)</f>
        <v>6076886</v>
      </c>
      <c r="J967" s="111"/>
      <c r="K967" s="318" t="str">
        <f>K947</f>
        <v xml:space="preserve"> </v>
      </c>
      <c r="L967" s="223" t="s">
        <v>89</v>
      </c>
      <c r="M967" s="111">
        <f>ROUND(K967/100*$C967,0)</f>
        <v>0</v>
      </c>
      <c r="N967" s="111"/>
      <c r="O967" s="318" t="e">
        <f>O947</f>
        <v>#DIV/0!</v>
      </c>
      <c r="P967" s="223" t="s">
        <v>89</v>
      </c>
      <c r="Q967" s="111" t="e">
        <f>ROUND(O967/100*$C967,0)</f>
        <v>#DIV/0!</v>
      </c>
      <c r="R967" s="111"/>
      <c r="S967" s="318" t="e">
        <f>S947</f>
        <v>#DIV/0!</v>
      </c>
      <c r="T967" s="223" t="s">
        <v>89</v>
      </c>
      <c r="U967" s="111" t="e">
        <f>ROUND(S967/100*$C967,0)</f>
        <v>#DIV/0!</v>
      </c>
      <c r="V967" s="44"/>
      <c r="W967" s="91"/>
      <c r="X967" s="91"/>
      <c r="Y967" s="91"/>
      <c r="Z967" s="44"/>
      <c r="AA967" s="44"/>
      <c r="AB967" s="44"/>
      <c r="AC967" s="44"/>
      <c r="AD967" s="44"/>
      <c r="AE967" s="44"/>
      <c r="AF967" s="44"/>
      <c r="AG967" s="44"/>
      <c r="AH967" s="44"/>
      <c r="AI967" s="44"/>
      <c r="AJ967" s="44"/>
      <c r="AK967" s="44"/>
      <c r="AL967" s="44"/>
      <c r="AM967" s="44"/>
      <c r="AN967" s="44"/>
      <c r="AO967" s="44"/>
      <c r="AP967" s="44"/>
    </row>
    <row r="968" spans="1:44" hidden="1" x14ac:dyDescent="0.25">
      <c r="A968" s="206" t="s">
        <v>133</v>
      </c>
      <c r="B968" s="149"/>
      <c r="C968" s="204">
        <v>30465.6363636364</v>
      </c>
      <c r="D968" s="226">
        <v>0.56000000000000005</v>
      </c>
      <c r="E968" s="223"/>
      <c r="F968" s="111">
        <f>ROUND(D968*C968,0)</f>
        <v>17061</v>
      </c>
      <c r="G968" s="226">
        <f>G948</f>
        <v>0.56999999999999995</v>
      </c>
      <c r="H968" s="223"/>
      <c r="I968" s="111">
        <f>ROUND(G968*$C968,0)</f>
        <v>17365</v>
      </c>
      <c r="J968" s="111"/>
      <c r="K968" s="226" t="str">
        <f>K948</f>
        <v xml:space="preserve"> </v>
      </c>
      <c r="L968" s="223"/>
      <c r="M968" s="111">
        <f>ROUND(K968*$C968,0)</f>
        <v>0</v>
      </c>
      <c r="N968" s="111"/>
      <c r="O968" s="226" t="e">
        <f>O948</f>
        <v>#DIV/0!</v>
      </c>
      <c r="P968" s="223"/>
      <c r="Q968" s="111" t="e">
        <f>ROUND(O968*$C968,0)</f>
        <v>#DIV/0!</v>
      </c>
      <c r="R968" s="111"/>
      <c r="S968" s="226" t="e">
        <f>S948</f>
        <v>#DIV/0!</v>
      </c>
      <c r="T968" s="223"/>
      <c r="U968" s="111" t="e">
        <f>ROUND(S968*$C968,0)</f>
        <v>#DIV/0!</v>
      </c>
      <c r="V968" s="44"/>
      <c r="W968" s="91"/>
      <c r="X968" s="91"/>
      <c r="Y968" s="91"/>
      <c r="Z968" s="44"/>
      <c r="AA968" s="44"/>
      <c r="AB968" s="44"/>
      <c r="AC968" s="44"/>
      <c r="AD968" s="44"/>
      <c r="AE968" s="44"/>
      <c r="AF968" s="44"/>
      <c r="AG968" s="44"/>
      <c r="AH968" s="44"/>
      <c r="AI968" s="44"/>
      <c r="AJ968" s="44"/>
      <c r="AK968" s="44"/>
      <c r="AL968" s="44"/>
      <c r="AM968" s="44"/>
      <c r="AN968" s="44"/>
      <c r="AO968" s="44"/>
      <c r="AP968" s="44"/>
    </row>
    <row r="969" spans="1:44" s="120" customFormat="1" hidden="1" x14ac:dyDescent="0.25">
      <c r="A969" s="119" t="s">
        <v>204</v>
      </c>
      <c r="C969" s="121">
        <f>C967</f>
        <v>125244965.26665136</v>
      </c>
      <c r="D969" s="128">
        <v>0</v>
      </c>
      <c r="E969" s="122"/>
      <c r="F969" s="123"/>
      <c r="G969" s="124">
        <f>G949</f>
        <v>0</v>
      </c>
      <c r="H969" s="256" t="s">
        <v>89</v>
      </c>
      <c r="I969" s="123">
        <f>ROUND(G969*$C969/100,0)</f>
        <v>0</v>
      </c>
      <c r="J969" s="123"/>
      <c r="K969" s="124" t="str">
        <f>K949</f>
        <v xml:space="preserve"> </v>
      </c>
      <c r="L969" s="256" t="s">
        <v>89</v>
      </c>
      <c r="M969" s="123">
        <f>ROUND(K969*$C969/100,0)</f>
        <v>0</v>
      </c>
      <c r="N969" s="123"/>
      <c r="O969" s="124" t="str">
        <f>O949</f>
        <v xml:space="preserve"> </v>
      </c>
      <c r="P969" s="256" t="s">
        <v>89</v>
      </c>
      <c r="Q969" s="123">
        <f>ROUND(O969*$C969/100,0)</f>
        <v>0</v>
      </c>
      <c r="R969" s="123"/>
      <c r="S969" s="124">
        <f>S949</f>
        <v>0</v>
      </c>
      <c r="T969" s="256" t="s">
        <v>89</v>
      </c>
      <c r="U969" s="123">
        <f>ROUND(S969*$C969/100,0)</f>
        <v>0</v>
      </c>
      <c r="W969" s="112"/>
      <c r="Z969" s="127"/>
      <c r="AA969" s="127"/>
      <c r="AF969" s="122"/>
      <c r="AG969" s="122"/>
      <c r="AH969" s="122"/>
      <c r="AI969" s="122"/>
      <c r="AJ969" s="122"/>
      <c r="AK969" s="122"/>
      <c r="AL969" s="122"/>
      <c r="AM969" s="122"/>
      <c r="AN969" s="122"/>
      <c r="AO969" s="122"/>
      <c r="AP969" s="122"/>
      <c r="AR969" s="126"/>
    </row>
    <row r="970" spans="1:44" hidden="1" x14ac:dyDescent="0.25">
      <c r="A970" s="149" t="s">
        <v>114</v>
      </c>
      <c r="B970" s="149"/>
      <c r="C970" s="204">
        <f>C967</f>
        <v>125244965.26665136</v>
      </c>
      <c r="D970" s="212"/>
      <c r="E970" s="149"/>
      <c r="F970" s="111">
        <f>SUM(F960:F968)</f>
        <v>9125356</v>
      </c>
      <c r="G970" s="212"/>
      <c r="H970" s="149"/>
      <c r="I970" s="111">
        <f>SUM(I960:I969)</f>
        <v>9340690</v>
      </c>
      <c r="J970" s="111"/>
      <c r="K970" s="212"/>
      <c r="L970" s="149"/>
      <c r="M970" s="111" t="e">
        <f>SUM(M960:M969)</f>
        <v>#DIV/0!</v>
      </c>
      <c r="N970" s="111"/>
      <c r="O970" s="212"/>
      <c r="P970" s="149"/>
      <c r="Q970" s="111" t="e">
        <f>SUM(Q960:Q969)</f>
        <v>#DIV/0!</v>
      </c>
      <c r="R970" s="111"/>
      <c r="S970" s="212"/>
      <c r="T970" s="149"/>
      <c r="U970" s="111" t="e">
        <f>SUM(U960:U969)</f>
        <v>#DIV/0!</v>
      </c>
      <c r="V970" s="44"/>
      <c r="W970" s="91"/>
      <c r="X970" s="142"/>
      <c r="Y970" s="142"/>
      <c r="Z970" s="44"/>
      <c r="AA970" s="44"/>
      <c r="AB970" s="44"/>
      <c r="AC970" s="44"/>
      <c r="AD970" s="44"/>
      <c r="AE970" s="44"/>
      <c r="AF970" s="44"/>
      <c r="AG970" s="44"/>
      <c r="AH970" s="44"/>
      <c r="AI970" s="44"/>
      <c r="AJ970" s="44"/>
      <c r="AK970" s="44"/>
      <c r="AL970" s="44"/>
      <c r="AM970" s="44"/>
      <c r="AN970" s="44"/>
      <c r="AO970" s="44"/>
      <c r="AP970" s="44"/>
    </row>
    <row r="971" spans="1:44" hidden="1" x14ac:dyDescent="0.25">
      <c r="A971" s="149" t="s">
        <v>92</v>
      </c>
      <c r="B971" s="149"/>
      <c r="C971" s="204">
        <f>C970/($C$970+$C$1028)*$C$1065</f>
        <v>884538.49438390473</v>
      </c>
      <c r="D971" s="134"/>
      <c r="E971" s="134"/>
      <c r="F971" s="230">
        <f>F970/($F$970+$F$1028)*$F$1065</f>
        <v>71149.752721287237</v>
      </c>
      <c r="G971" s="134"/>
      <c r="H971" s="134"/>
      <c r="I971" s="230">
        <f>F971</f>
        <v>71149.752721287237</v>
      </c>
      <c r="J971" s="207"/>
      <c r="K971" s="134"/>
      <c r="L971" s="134"/>
      <c r="M971" s="230" t="e">
        <f>$I$971*V955/($V955+$W$955+$X$955)</f>
        <v>#DIV/0!</v>
      </c>
      <c r="N971" s="133"/>
      <c r="O971" s="134"/>
      <c r="P971" s="134"/>
      <c r="Q971" s="230" t="e">
        <f>$I$971*W955/($V955+$W$955+$X$955)</f>
        <v>#DIV/0!</v>
      </c>
      <c r="R971" s="133"/>
      <c r="S971" s="134"/>
      <c r="T971" s="134"/>
      <c r="U971" s="230" t="e">
        <f>$I$971*X955/($V955+$W$955+$X$955)</f>
        <v>#DIV/0!</v>
      </c>
      <c r="V971" s="165"/>
      <c r="W971" s="142" t="s">
        <v>0</v>
      </c>
      <c r="Z971" s="44"/>
      <c r="AA971" s="44"/>
      <c r="AB971" s="44"/>
      <c r="AC971" s="44"/>
      <c r="AD971" s="44"/>
      <c r="AE971" s="44"/>
      <c r="AF971" s="44"/>
      <c r="AG971" s="44"/>
      <c r="AH971" s="44"/>
      <c r="AI971" s="44"/>
      <c r="AJ971" s="44"/>
      <c r="AK971" s="44"/>
      <c r="AL971" s="44"/>
      <c r="AM971" s="44"/>
      <c r="AN971" s="44"/>
      <c r="AO971" s="44"/>
      <c r="AP971" s="44"/>
    </row>
    <row r="972" spans="1:44" ht="16.5" hidden="1" thickBot="1" x14ac:dyDescent="0.3">
      <c r="A972" s="149" t="s">
        <v>115</v>
      </c>
      <c r="B972" s="149"/>
      <c r="C972" s="315">
        <f>SUM(C970)+C971</f>
        <v>126129503.76103526</v>
      </c>
      <c r="D972" s="245"/>
      <c r="E972" s="232"/>
      <c r="F972" s="233">
        <f>F970+F971</f>
        <v>9196505.7527212873</v>
      </c>
      <c r="G972" s="245"/>
      <c r="H972" s="232"/>
      <c r="I972" s="233">
        <f>I970+I971</f>
        <v>9411839.7527212873</v>
      </c>
      <c r="J972" s="207"/>
      <c r="K972" s="245"/>
      <c r="L972" s="232"/>
      <c r="M972" s="233" t="e">
        <f>M970+M971</f>
        <v>#DIV/0!</v>
      </c>
      <c r="N972" s="233"/>
      <c r="O972" s="245"/>
      <c r="P972" s="232"/>
      <c r="Q972" s="233" t="e">
        <f>Q970+Q971</f>
        <v>#DIV/0!</v>
      </c>
      <c r="R972" s="233"/>
      <c r="S972" s="245"/>
      <c r="T972" s="232"/>
      <c r="U972" s="233" t="e">
        <f>U970+U971</f>
        <v>#DIV/0!</v>
      </c>
      <c r="V972" s="166"/>
      <c r="W972" s="142" t="s">
        <v>0</v>
      </c>
      <c r="X972" s="91"/>
      <c r="Y972" s="91"/>
      <c r="Z972" s="80" t="s">
        <v>0</v>
      </c>
      <c r="AA972" s="44"/>
      <c r="AB972" s="44"/>
      <c r="AC972" s="44"/>
      <c r="AD972" s="44"/>
      <c r="AE972" s="44"/>
      <c r="AF972" s="44"/>
      <c r="AG972" s="44"/>
      <c r="AH972" s="44"/>
      <c r="AI972" s="44"/>
      <c r="AJ972" s="44"/>
      <c r="AK972" s="44"/>
      <c r="AL972" s="44"/>
      <c r="AM972" s="44"/>
      <c r="AN972" s="44"/>
      <c r="AO972" s="44"/>
      <c r="AP972" s="44"/>
    </row>
    <row r="973" spans="1:44" hidden="1" x14ac:dyDescent="0.25">
      <c r="A973" s="149"/>
      <c r="B973" s="149"/>
      <c r="C973" s="169"/>
      <c r="D973" s="226"/>
      <c r="E973" s="149"/>
      <c r="F973" s="111"/>
      <c r="G973" s="226"/>
      <c r="H973" s="149"/>
      <c r="I973" s="246"/>
      <c r="J973" s="246"/>
      <c r="K973" s="226"/>
      <c r="L973" s="149"/>
      <c r="M973" s="246"/>
      <c r="N973" s="246"/>
      <c r="O973" s="226"/>
      <c r="P973" s="149"/>
      <c r="Q973" s="246"/>
      <c r="R973" s="246"/>
      <c r="S973" s="226"/>
      <c r="T973" s="149"/>
      <c r="U973" s="246"/>
      <c r="V973" s="44"/>
      <c r="W973" s="91"/>
      <c r="X973" s="91"/>
      <c r="Y973" s="91"/>
      <c r="Z973" s="44"/>
      <c r="AA973" s="44"/>
      <c r="AB973" s="44"/>
      <c r="AC973" s="44"/>
      <c r="AD973" s="44"/>
      <c r="AE973" s="44"/>
      <c r="AF973" s="44"/>
      <c r="AG973" s="44"/>
      <c r="AH973" s="44"/>
      <c r="AI973" s="44"/>
      <c r="AJ973" s="44"/>
      <c r="AK973" s="44"/>
      <c r="AL973" s="44"/>
      <c r="AM973" s="44"/>
      <c r="AN973" s="44"/>
      <c r="AO973" s="44"/>
      <c r="AP973" s="44"/>
    </row>
    <row r="974" spans="1:44" hidden="1" x14ac:dyDescent="0.25">
      <c r="A974" s="168" t="s">
        <v>217</v>
      </c>
      <c r="B974" s="149"/>
      <c r="C974" s="149"/>
      <c r="D974" s="111"/>
      <c r="E974" s="149"/>
      <c r="F974" s="149"/>
      <c r="G974" s="111"/>
      <c r="H974" s="149"/>
      <c r="I974" s="149"/>
      <c r="J974" s="149"/>
      <c r="K974" s="111"/>
      <c r="L974" s="149"/>
      <c r="M974" s="149"/>
      <c r="N974" s="149"/>
      <c r="O974" s="111"/>
      <c r="P974" s="149"/>
      <c r="Q974" s="149"/>
      <c r="R974" s="149"/>
      <c r="S974" s="111"/>
      <c r="T974" s="149"/>
      <c r="U974" s="149"/>
      <c r="V974" s="44"/>
      <c r="W974" s="91"/>
      <c r="X974" s="91"/>
      <c r="Y974" s="91"/>
      <c r="Z974" s="44"/>
      <c r="AA974" s="44"/>
      <c r="AB974" s="44"/>
      <c r="AC974" s="44"/>
      <c r="AD974" s="44"/>
      <c r="AE974" s="44"/>
      <c r="AF974" s="44"/>
      <c r="AG974" s="44"/>
      <c r="AH974" s="44"/>
      <c r="AI974" s="44"/>
      <c r="AJ974" s="44"/>
      <c r="AK974" s="44"/>
      <c r="AL974" s="44"/>
      <c r="AM974" s="44"/>
      <c r="AN974" s="44"/>
      <c r="AO974" s="44"/>
      <c r="AP974" s="44"/>
    </row>
    <row r="975" spans="1:44" hidden="1" x14ac:dyDescent="0.25">
      <c r="A975" s="134" t="s">
        <v>223</v>
      </c>
      <c r="B975" s="149"/>
      <c r="C975" s="149"/>
      <c r="D975" s="111"/>
      <c r="E975" s="149"/>
      <c r="F975" s="149"/>
      <c r="G975" s="111"/>
      <c r="H975" s="149"/>
      <c r="I975" s="149"/>
      <c r="J975" s="149"/>
      <c r="K975" s="111"/>
      <c r="L975" s="149"/>
      <c r="M975" s="149"/>
      <c r="N975" s="149"/>
      <c r="O975" s="111"/>
      <c r="P975" s="149"/>
      <c r="Q975" s="149"/>
      <c r="R975" s="149"/>
      <c r="S975" s="111"/>
      <c r="T975" s="149"/>
      <c r="U975" s="149"/>
      <c r="V975" s="44"/>
      <c r="W975" s="91"/>
      <c r="X975" s="91"/>
      <c r="Y975" s="91"/>
      <c r="Z975" s="44"/>
      <c r="AA975" s="44"/>
      <c r="AB975" s="44"/>
      <c r="AC975" s="44"/>
      <c r="AD975" s="44"/>
      <c r="AE975" s="44"/>
      <c r="AF975" s="44"/>
      <c r="AG975" s="44"/>
      <c r="AH975" s="44"/>
      <c r="AI975" s="44"/>
      <c r="AJ975" s="44"/>
      <c r="AK975" s="44"/>
      <c r="AL975" s="44"/>
      <c r="AM975" s="44"/>
      <c r="AN975" s="44"/>
      <c r="AO975" s="44"/>
      <c r="AP975" s="44"/>
    </row>
    <row r="976" spans="1:44" hidden="1" x14ac:dyDescent="0.25">
      <c r="A976" s="206"/>
      <c r="B976" s="149"/>
      <c r="C976" s="149"/>
      <c r="D976" s="111"/>
      <c r="E976" s="149"/>
      <c r="F976" s="149"/>
      <c r="G976" s="111"/>
      <c r="H976" s="149"/>
      <c r="I976" s="149"/>
      <c r="J976" s="149"/>
      <c r="K976" s="111"/>
      <c r="L976" s="149"/>
      <c r="M976" s="149"/>
      <c r="N976" s="149"/>
      <c r="O976" s="111"/>
      <c r="P976" s="149"/>
      <c r="Q976" s="149"/>
      <c r="R976" s="149"/>
      <c r="S976" s="111"/>
      <c r="T976" s="149"/>
      <c r="U976" s="149"/>
      <c r="V976" s="44"/>
      <c r="W976" s="91"/>
      <c r="X976" s="91"/>
      <c r="Y976" s="91"/>
      <c r="Z976" s="44"/>
      <c r="AA976" s="44"/>
      <c r="AB976" s="44"/>
      <c r="AC976" s="44"/>
      <c r="AD976" s="44"/>
      <c r="AE976" s="44"/>
      <c r="AF976" s="44"/>
      <c r="AG976" s="44"/>
      <c r="AH976" s="44"/>
      <c r="AI976" s="44"/>
      <c r="AJ976" s="44"/>
      <c r="AK976" s="44"/>
      <c r="AL976" s="44"/>
      <c r="AM976" s="44"/>
      <c r="AN976" s="44"/>
      <c r="AO976" s="44"/>
      <c r="AP976" s="44"/>
    </row>
    <row r="977" spans="1:44" hidden="1" x14ac:dyDescent="0.25">
      <c r="A977" s="206" t="s">
        <v>127</v>
      </c>
      <c r="B977" s="149"/>
      <c r="C977" s="204"/>
      <c r="D977" s="111"/>
      <c r="E977" s="149"/>
      <c r="F977" s="149"/>
      <c r="G977" s="111"/>
      <c r="H977" s="149"/>
      <c r="I977" s="149"/>
      <c r="J977" s="149"/>
      <c r="K977" s="111"/>
      <c r="L977" s="149"/>
      <c r="M977" s="149"/>
      <c r="N977" s="149"/>
      <c r="O977" s="111"/>
      <c r="P977" s="149"/>
      <c r="Q977" s="149"/>
      <c r="R977" s="149"/>
      <c r="S977" s="111"/>
      <c r="T977" s="149"/>
      <c r="U977" s="149"/>
      <c r="V977" s="44"/>
      <c r="W977" s="91"/>
      <c r="X977" s="91"/>
      <c r="Y977" s="91"/>
      <c r="Z977" s="44"/>
      <c r="AA977" s="44"/>
      <c r="AB977" s="44"/>
      <c r="AC977" s="44"/>
      <c r="AD977" s="44"/>
      <c r="AE977" s="44"/>
      <c r="AF977" s="44"/>
      <c r="AG977" s="44"/>
      <c r="AH977" s="44"/>
      <c r="AI977" s="44"/>
      <c r="AJ977" s="44"/>
      <c r="AK977" s="44"/>
      <c r="AL977" s="44"/>
      <c r="AM977" s="44"/>
      <c r="AN977" s="44"/>
      <c r="AO977" s="44"/>
      <c r="AP977" s="44"/>
    </row>
    <row r="978" spans="1:44" hidden="1" x14ac:dyDescent="0.25">
      <c r="A978" s="206" t="s">
        <v>213</v>
      </c>
      <c r="B978" s="149"/>
      <c r="C978" s="204">
        <v>332.81818181818198</v>
      </c>
      <c r="D978" s="226">
        <v>1411</v>
      </c>
      <c r="E978" s="223"/>
      <c r="F978" s="111">
        <f>ROUND(D978*C978,0)</f>
        <v>469606</v>
      </c>
      <c r="G978" s="226">
        <f>G940</f>
        <v>1442</v>
      </c>
      <c r="H978" s="223"/>
      <c r="I978" s="111">
        <f>ROUND(G978*$C978,0)</f>
        <v>479924</v>
      </c>
      <c r="J978" s="111"/>
      <c r="K978" s="226">
        <f>K940</f>
        <v>1411</v>
      </c>
      <c r="L978" s="223"/>
      <c r="M978" s="111">
        <f>ROUND(K978*$C978,0)</f>
        <v>469606</v>
      </c>
      <c r="N978" s="111"/>
      <c r="O978" s="226" t="str">
        <f>O940</f>
        <v xml:space="preserve"> </v>
      </c>
      <c r="P978" s="223"/>
      <c r="Q978" s="111">
        <f>ROUND(O978*$C978,0)</f>
        <v>0</v>
      </c>
      <c r="R978" s="111"/>
      <c r="S978" s="226" t="str">
        <f>S940</f>
        <v xml:space="preserve"> </v>
      </c>
      <c r="T978" s="223"/>
      <c r="U978" s="111">
        <f>ROUND(S978*$C978,0)</f>
        <v>0</v>
      </c>
      <c r="V978" s="44"/>
      <c r="W978" s="91"/>
      <c r="X978" s="91"/>
      <c r="Y978" s="91"/>
      <c r="Z978" s="44"/>
      <c r="AA978" s="44"/>
      <c r="AB978" s="44"/>
      <c r="AC978" s="44"/>
      <c r="AD978" s="44"/>
      <c r="AE978" s="44"/>
      <c r="AF978" s="44"/>
      <c r="AG978" s="44"/>
      <c r="AH978" s="44"/>
      <c r="AI978" s="44"/>
      <c r="AJ978" s="44"/>
      <c r="AK978" s="44"/>
      <c r="AL978" s="44"/>
      <c r="AM978" s="44"/>
      <c r="AN978" s="44"/>
      <c r="AO978" s="44"/>
      <c r="AP978" s="44"/>
    </row>
    <row r="979" spans="1:44" hidden="1" x14ac:dyDescent="0.25">
      <c r="A979" s="206" t="s">
        <v>214</v>
      </c>
      <c r="B979" s="149"/>
      <c r="C979" s="204">
        <v>0</v>
      </c>
      <c r="D979" s="226">
        <v>1703</v>
      </c>
      <c r="E979" s="251"/>
      <c r="F979" s="111">
        <f>ROUND(D979*C979,0)</f>
        <v>0</v>
      </c>
      <c r="G979" s="226">
        <f>G941</f>
        <v>1743</v>
      </c>
      <c r="H979" s="251"/>
      <c r="I979" s="111">
        <f>ROUND(G979*$C979,0)</f>
        <v>0</v>
      </c>
      <c r="J979" s="111"/>
      <c r="K979" s="226">
        <f>K941</f>
        <v>1703</v>
      </c>
      <c r="L979" s="251"/>
      <c r="M979" s="111">
        <f>ROUND(K979*$C979,0)</f>
        <v>0</v>
      </c>
      <c r="N979" s="111"/>
      <c r="O979" s="226" t="str">
        <f>O941</f>
        <v xml:space="preserve"> </v>
      </c>
      <c r="P979" s="251"/>
      <c r="Q979" s="111">
        <f>ROUND(O979*$C979,0)</f>
        <v>0</v>
      </c>
      <c r="R979" s="111"/>
      <c r="S979" s="226" t="str">
        <f>S941</f>
        <v xml:space="preserve"> </v>
      </c>
      <c r="T979" s="251"/>
      <c r="U979" s="111">
        <f>ROUND(S979*$C979,0)</f>
        <v>0</v>
      </c>
      <c r="V979" s="44"/>
      <c r="W979" s="91"/>
      <c r="X979" s="91"/>
      <c r="Y979" s="91"/>
      <c r="Z979" s="44"/>
      <c r="AA979" s="44"/>
      <c r="AB979" s="44"/>
      <c r="AC979" s="44"/>
      <c r="AD979" s="44"/>
      <c r="AE979" s="44"/>
      <c r="AF979" s="44"/>
      <c r="AG979" s="44"/>
      <c r="AH979" s="44"/>
      <c r="AI979" s="44"/>
      <c r="AJ979" s="44"/>
      <c r="AK979" s="44"/>
      <c r="AL979" s="44"/>
      <c r="AM979" s="44"/>
      <c r="AN979" s="44"/>
      <c r="AO979" s="44"/>
      <c r="AP979" s="44"/>
    </row>
    <row r="980" spans="1:44" hidden="1" x14ac:dyDescent="0.25">
      <c r="A980" s="206" t="s">
        <v>128</v>
      </c>
      <c r="B980" s="149"/>
      <c r="C980" s="204">
        <f>SUM(C978:C979)</f>
        <v>332.81818181818198</v>
      </c>
      <c r="D980" s="226"/>
      <c r="E980" s="223"/>
      <c r="F980" s="111" t="s">
        <v>0</v>
      </c>
      <c r="G980" s="226" t="s">
        <v>0</v>
      </c>
      <c r="H980" s="223"/>
      <c r="I980" s="111" t="s">
        <v>0</v>
      </c>
      <c r="J980" s="111"/>
      <c r="K980" s="226" t="s">
        <v>0</v>
      </c>
      <c r="L980" s="223"/>
      <c r="M980" s="111" t="s">
        <v>0</v>
      </c>
      <c r="N980" s="111"/>
      <c r="O980" s="226" t="s">
        <v>0</v>
      </c>
      <c r="P980" s="223"/>
      <c r="Q980" s="111" t="s">
        <v>0</v>
      </c>
      <c r="R980" s="111"/>
      <c r="S980" s="226" t="s">
        <v>0</v>
      </c>
      <c r="T980" s="223"/>
      <c r="U980" s="111" t="s">
        <v>0</v>
      </c>
      <c r="V980" s="44"/>
      <c r="W980" s="91"/>
      <c r="X980" s="91"/>
      <c r="Y980" s="91"/>
      <c r="Z980" s="44"/>
      <c r="AA980" s="44"/>
      <c r="AB980" s="44"/>
      <c r="AC980" s="44"/>
      <c r="AD980" s="44"/>
      <c r="AE980" s="44"/>
      <c r="AF980" s="44"/>
      <c r="AG980" s="44"/>
      <c r="AH980" s="44"/>
      <c r="AI980" s="44"/>
      <c r="AJ980" s="44"/>
      <c r="AK980" s="44"/>
      <c r="AL980" s="44"/>
      <c r="AM980" s="44"/>
      <c r="AN980" s="44"/>
      <c r="AO980" s="44"/>
      <c r="AP980" s="44"/>
    </row>
    <row r="981" spans="1:44" hidden="1" x14ac:dyDescent="0.25">
      <c r="A981" s="206" t="s">
        <v>215</v>
      </c>
      <c r="B981" s="149"/>
      <c r="C981" s="204">
        <v>537406.793103448</v>
      </c>
      <c r="D981" s="226">
        <v>1.1200000000000001</v>
      </c>
      <c r="E981" s="223"/>
      <c r="F981" s="111">
        <f>ROUND(D981*C981,0)</f>
        <v>601896</v>
      </c>
      <c r="G981" s="226">
        <f>G943</f>
        <v>1.1499999999999999</v>
      </c>
      <c r="H981" s="223"/>
      <c r="I981" s="111">
        <f>ROUND(G981*$C981,0)</f>
        <v>618018</v>
      </c>
      <c r="J981" s="111"/>
      <c r="K981" s="226">
        <f>K943</f>
        <v>1.1200000000000001</v>
      </c>
      <c r="L981" s="223"/>
      <c r="M981" s="111">
        <f>ROUND(K981*$C981,0)</f>
        <v>601896</v>
      </c>
      <c r="N981" s="111"/>
      <c r="O981" s="226" t="str">
        <f>O943</f>
        <v xml:space="preserve"> </v>
      </c>
      <c r="P981" s="223"/>
      <c r="Q981" s="111">
        <f>ROUND(O981*$C981,0)</f>
        <v>0</v>
      </c>
      <c r="R981" s="111"/>
      <c r="S981" s="226" t="str">
        <f>S943</f>
        <v xml:space="preserve"> </v>
      </c>
      <c r="T981" s="223"/>
      <c r="U981" s="111">
        <f>ROUND(S981*$C981,0)</f>
        <v>0</v>
      </c>
      <c r="V981" s="44"/>
      <c r="W981" s="91"/>
      <c r="X981" s="91"/>
      <c r="Y981" s="91"/>
      <c r="Z981" s="44"/>
      <c r="AA981" s="44"/>
      <c r="AB981" s="44"/>
      <c r="AC981" s="44"/>
      <c r="AD981" s="44"/>
      <c r="AE981" s="44"/>
      <c r="AF981" s="44"/>
      <c r="AG981" s="44"/>
      <c r="AH981" s="44"/>
      <c r="AI981" s="44"/>
      <c r="AJ981" s="44"/>
      <c r="AK981" s="44"/>
      <c r="AL981" s="44"/>
      <c r="AM981" s="44"/>
      <c r="AN981" s="44"/>
      <c r="AO981" s="44"/>
      <c r="AP981" s="44"/>
    </row>
    <row r="982" spans="1:44" hidden="1" x14ac:dyDescent="0.25">
      <c r="A982" s="206" t="s">
        <v>216</v>
      </c>
      <c r="B982" s="149"/>
      <c r="C982" s="204">
        <v>0</v>
      </c>
      <c r="D982" s="226">
        <v>1.01</v>
      </c>
      <c r="E982" s="223"/>
      <c r="F982" s="111">
        <f>ROUND(D982*C982,0)</f>
        <v>0</v>
      </c>
      <c r="G982" s="226">
        <f>G944</f>
        <v>1.03</v>
      </c>
      <c r="H982" s="223"/>
      <c r="I982" s="111">
        <f>ROUND(G982*$C982,0)</f>
        <v>0</v>
      </c>
      <c r="J982" s="111"/>
      <c r="K982" s="226">
        <f>K944</f>
        <v>1.01</v>
      </c>
      <c r="L982" s="223"/>
      <c r="M982" s="111">
        <f>ROUND(K982*$C982,0)</f>
        <v>0</v>
      </c>
      <c r="N982" s="111"/>
      <c r="O982" s="226" t="str">
        <f>O944</f>
        <v xml:space="preserve"> </v>
      </c>
      <c r="P982" s="223"/>
      <c r="Q982" s="111">
        <f>ROUND(O982*$C982,0)</f>
        <v>0</v>
      </c>
      <c r="R982" s="111"/>
      <c r="S982" s="226" t="str">
        <f>S944</f>
        <v xml:space="preserve"> </v>
      </c>
      <c r="T982" s="223"/>
      <c r="U982" s="111">
        <f>ROUND(S982*$C982,0)</f>
        <v>0</v>
      </c>
      <c r="V982" s="44"/>
      <c r="W982" s="91"/>
      <c r="X982" s="91"/>
      <c r="Y982" s="91"/>
      <c r="Z982" s="44"/>
      <c r="AA982" s="44"/>
      <c r="AB982" s="44"/>
      <c r="AC982" s="44"/>
      <c r="AD982" s="44"/>
      <c r="AE982" s="44"/>
      <c r="AF982" s="44"/>
      <c r="AG982" s="44"/>
      <c r="AH982" s="44"/>
      <c r="AI982" s="44"/>
      <c r="AJ982" s="44"/>
      <c r="AK982" s="44"/>
      <c r="AL982" s="44"/>
      <c r="AM982" s="44"/>
      <c r="AN982" s="44"/>
      <c r="AO982" s="44"/>
      <c r="AP982" s="44"/>
    </row>
    <row r="983" spans="1:44" hidden="1" x14ac:dyDescent="0.25">
      <c r="A983" s="134" t="s">
        <v>142</v>
      </c>
      <c r="B983" s="149"/>
      <c r="C983" s="204">
        <v>465132.48275862099</v>
      </c>
      <c r="D983" s="226">
        <v>7.97</v>
      </c>
      <c r="E983" s="223"/>
      <c r="F983" s="111">
        <f>ROUND(D983*C983,0)</f>
        <v>3707106</v>
      </c>
      <c r="G983" s="226">
        <f>G945</f>
        <v>8.16</v>
      </c>
      <c r="H983" s="223"/>
      <c r="I983" s="111">
        <f>ROUND(G983*$C983,0)</f>
        <v>3795481</v>
      </c>
      <c r="J983" s="111"/>
      <c r="K983" s="226" t="e">
        <f>K945</f>
        <v>#DIV/0!</v>
      </c>
      <c r="L983" s="223"/>
      <c r="M983" s="111" t="e">
        <f>ROUND(K983*$C983,0)</f>
        <v>#DIV/0!</v>
      </c>
      <c r="N983" s="111"/>
      <c r="O983" s="226" t="e">
        <f>O945</f>
        <v>#DIV/0!</v>
      </c>
      <c r="P983" s="223"/>
      <c r="Q983" s="111" t="e">
        <f>ROUND(O983*$C983,0)</f>
        <v>#DIV/0!</v>
      </c>
      <c r="R983" s="111"/>
      <c r="S983" s="226" t="e">
        <f>S945</f>
        <v>#DIV/0!</v>
      </c>
      <c r="T983" s="223"/>
      <c r="U983" s="111" t="e">
        <f>ROUND(S983*$C983,0)</f>
        <v>#DIV/0!</v>
      </c>
      <c r="V983" s="44"/>
      <c r="W983" s="91"/>
      <c r="X983" s="91"/>
      <c r="Y983" s="91"/>
      <c r="Z983" s="44"/>
      <c r="AA983" s="44"/>
      <c r="AB983" s="44"/>
      <c r="AC983" s="44"/>
      <c r="AD983" s="44"/>
      <c r="AE983" s="44"/>
      <c r="AF983" s="44"/>
      <c r="AG983" s="44"/>
      <c r="AH983" s="44"/>
      <c r="AI983" s="44"/>
      <c r="AJ983" s="44"/>
      <c r="AK983" s="44"/>
      <c r="AL983" s="44"/>
      <c r="AM983" s="44"/>
      <c r="AN983" s="44"/>
      <c r="AO983" s="44"/>
      <c r="AP983" s="44"/>
    </row>
    <row r="984" spans="1:44" hidden="1" x14ac:dyDescent="0.25">
      <c r="A984" s="206" t="s">
        <v>164</v>
      </c>
      <c r="B984" s="149"/>
      <c r="C984" s="204"/>
      <c r="D984" s="226"/>
      <c r="E984" s="223"/>
      <c r="F984" s="111"/>
      <c r="G984" s="226" t="s">
        <v>0</v>
      </c>
      <c r="H984" s="223"/>
      <c r="I984" s="111"/>
      <c r="J984" s="111"/>
      <c r="K984" s="226" t="s">
        <v>0</v>
      </c>
      <c r="L984" s="223"/>
      <c r="M984" s="111"/>
      <c r="N984" s="111"/>
      <c r="O984" s="226" t="s">
        <v>0</v>
      </c>
      <c r="P984" s="223"/>
      <c r="Q984" s="111"/>
      <c r="R984" s="111"/>
      <c r="S984" s="226" t="s">
        <v>0</v>
      </c>
      <c r="T984" s="223"/>
      <c r="U984" s="111"/>
      <c r="V984" s="44"/>
      <c r="W984" s="91"/>
      <c r="X984" s="91"/>
      <c r="Y984" s="91"/>
      <c r="Z984" s="44"/>
      <c r="AA984" s="44"/>
      <c r="AB984" s="44"/>
      <c r="AC984" s="44"/>
      <c r="AD984" s="44"/>
      <c r="AE984" s="44"/>
      <c r="AF984" s="44"/>
      <c r="AG984" s="44"/>
      <c r="AH984" s="44"/>
      <c r="AI984" s="44"/>
      <c r="AJ984" s="44"/>
      <c r="AK984" s="44"/>
      <c r="AL984" s="44"/>
      <c r="AM984" s="44"/>
      <c r="AN984" s="44"/>
      <c r="AO984" s="44"/>
      <c r="AP984" s="44"/>
    </row>
    <row r="985" spans="1:44" hidden="1" x14ac:dyDescent="0.25">
      <c r="A985" s="206" t="s">
        <v>203</v>
      </c>
      <c r="B985" s="149"/>
      <c r="C985" s="204">
        <v>209700450</v>
      </c>
      <c r="D985" s="318">
        <v>4.7409999999999997</v>
      </c>
      <c r="E985" s="223" t="s">
        <v>89</v>
      </c>
      <c r="F985" s="111">
        <f>ROUND(D985/100*C985,0)</f>
        <v>9941898</v>
      </c>
      <c r="G985" s="318">
        <f>G947</f>
        <v>4.8520000000000003</v>
      </c>
      <c r="H985" s="223" t="s">
        <v>89</v>
      </c>
      <c r="I985" s="111">
        <f>ROUND(G985/100*$C985,0)</f>
        <v>10174666</v>
      </c>
      <c r="J985" s="111"/>
      <c r="K985" s="318" t="str">
        <f>K947</f>
        <v xml:space="preserve"> </v>
      </c>
      <c r="L985" s="223" t="s">
        <v>89</v>
      </c>
      <c r="M985" s="111">
        <f>ROUND(K985/100*$C985,0)</f>
        <v>0</v>
      </c>
      <c r="N985" s="111"/>
      <c r="O985" s="318" t="e">
        <f>O947</f>
        <v>#DIV/0!</v>
      </c>
      <c r="P985" s="223" t="s">
        <v>89</v>
      </c>
      <c r="Q985" s="111" t="e">
        <f>ROUND(O985/100*$C985,0)</f>
        <v>#DIV/0!</v>
      </c>
      <c r="R985" s="111"/>
      <c r="S985" s="318" t="e">
        <f>S947</f>
        <v>#DIV/0!</v>
      </c>
      <c r="T985" s="223" t="s">
        <v>89</v>
      </c>
      <c r="U985" s="111" t="e">
        <f>ROUND(S985/100*$C985,0)</f>
        <v>#DIV/0!</v>
      </c>
      <c r="V985" s="44"/>
      <c r="W985" s="91"/>
      <c r="X985" s="91"/>
      <c r="Y985" s="91"/>
      <c r="Z985" s="44"/>
      <c r="AA985" s="44"/>
      <c r="AB985" s="44"/>
      <c r="AC985" s="44"/>
      <c r="AD985" s="44"/>
      <c r="AE985" s="44"/>
      <c r="AF985" s="44"/>
      <c r="AG985" s="44"/>
      <c r="AH985" s="44"/>
      <c r="AI985" s="44"/>
      <c r="AJ985" s="44"/>
      <c r="AK985" s="44"/>
      <c r="AL985" s="44"/>
      <c r="AM985" s="44"/>
      <c r="AN985" s="44"/>
      <c r="AO985" s="44"/>
      <c r="AP985" s="44"/>
    </row>
    <row r="986" spans="1:44" hidden="1" x14ac:dyDescent="0.25">
      <c r="A986" s="206" t="s">
        <v>133</v>
      </c>
      <c r="B986" s="149"/>
      <c r="C986" s="204">
        <v>129089.24242424199</v>
      </c>
      <c r="D986" s="226">
        <v>0.56000000000000005</v>
      </c>
      <c r="E986" s="223"/>
      <c r="F986" s="111">
        <f>ROUND(D986*C986,0)</f>
        <v>72290</v>
      </c>
      <c r="G986" s="226">
        <f>G948</f>
        <v>0.56999999999999995</v>
      </c>
      <c r="H986" s="223"/>
      <c r="I986" s="111">
        <f>ROUND(G986*$C986,0)</f>
        <v>73581</v>
      </c>
      <c r="J986" s="111"/>
      <c r="K986" s="226" t="str">
        <f>K948</f>
        <v xml:space="preserve"> </v>
      </c>
      <c r="L986" s="223"/>
      <c r="M986" s="111">
        <f>ROUND(K986*$C986,0)</f>
        <v>0</v>
      </c>
      <c r="N986" s="111"/>
      <c r="O986" s="226" t="e">
        <f>O948</f>
        <v>#DIV/0!</v>
      </c>
      <c r="P986" s="223"/>
      <c r="Q986" s="111" t="e">
        <f>ROUND(O986*$C986,0)</f>
        <v>#DIV/0!</v>
      </c>
      <c r="R986" s="111"/>
      <c r="S986" s="226" t="e">
        <f>S948</f>
        <v>#DIV/0!</v>
      </c>
      <c r="T986" s="223"/>
      <c r="U986" s="111" t="e">
        <f>ROUND(S986*$C986,0)</f>
        <v>#DIV/0!</v>
      </c>
      <c r="V986" s="44"/>
      <c r="W986" s="91"/>
      <c r="X986" s="91"/>
      <c r="Y986" s="91"/>
      <c r="Z986" s="44"/>
      <c r="AA986" s="44"/>
      <c r="AB986" s="44"/>
      <c r="AC986" s="44"/>
      <c r="AD986" s="44"/>
      <c r="AE986" s="44"/>
      <c r="AF986" s="44"/>
      <c r="AG986" s="44"/>
      <c r="AH986" s="44"/>
      <c r="AI986" s="44"/>
      <c r="AJ986" s="44"/>
      <c r="AK986" s="44"/>
      <c r="AL986" s="44"/>
      <c r="AM986" s="44"/>
      <c r="AN986" s="44"/>
      <c r="AO986" s="44"/>
      <c r="AP986" s="44"/>
    </row>
    <row r="987" spans="1:44" s="120" customFormat="1" hidden="1" x14ac:dyDescent="0.25">
      <c r="A987" s="119" t="s">
        <v>204</v>
      </c>
      <c r="C987" s="121">
        <f>C985</f>
        <v>209700450</v>
      </c>
      <c r="D987" s="128">
        <v>0</v>
      </c>
      <c r="E987" s="122"/>
      <c r="F987" s="123"/>
      <c r="G987" s="124">
        <f>G949</f>
        <v>0</v>
      </c>
      <c r="H987" s="256" t="s">
        <v>89</v>
      </c>
      <c r="I987" s="123">
        <f>ROUND(G987*$C987/100,0)</f>
        <v>0</v>
      </c>
      <c r="J987" s="123"/>
      <c r="K987" s="124" t="str">
        <f>K949</f>
        <v xml:space="preserve"> </v>
      </c>
      <c r="L987" s="256" t="s">
        <v>89</v>
      </c>
      <c r="M987" s="123">
        <f>ROUND(K987*$C987/100,0)</f>
        <v>0</v>
      </c>
      <c r="N987" s="123"/>
      <c r="O987" s="124" t="str">
        <f>O949</f>
        <v xml:space="preserve"> </v>
      </c>
      <c r="P987" s="256" t="s">
        <v>89</v>
      </c>
      <c r="Q987" s="123">
        <f>ROUND(O987*$C987/100,0)</f>
        <v>0</v>
      </c>
      <c r="R987" s="123"/>
      <c r="S987" s="124">
        <f>S949</f>
        <v>0</v>
      </c>
      <c r="T987" s="256" t="s">
        <v>89</v>
      </c>
      <c r="U987" s="123">
        <f>ROUND(S987*$C987/100,0)</f>
        <v>0</v>
      </c>
      <c r="W987" s="112"/>
      <c r="Z987" s="127"/>
      <c r="AA987" s="127"/>
      <c r="AF987" s="122"/>
      <c r="AG987" s="122"/>
      <c r="AH987" s="122"/>
      <c r="AI987" s="122"/>
      <c r="AJ987" s="122"/>
      <c r="AK987" s="122"/>
      <c r="AL987" s="122"/>
      <c r="AM987" s="122"/>
      <c r="AN987" s="122"/>
      <c r="AO987" s="122"/>
      <c r="AP987" s="122"/>
      <c r="AR987" s="126"/>
    </row>
    <row r="988" spans="1:44" hidden="1" x14ac:dyDescent="0.25">
      <c r="A988" s="149" t="s">
        <v>114</v>
      </c>
      <c r="B988" s="149"/>
      <c r="C988" s="204">
        <f>C985</f>
        <v>209700450</v>
      </c>
      <c r="D988" s="212"/>
      <c r="E988" s="149"/>
      <c r="F988" s="111">
        <f>SUM(F978:F986)</f>
        <v>14792796</v>
      </c>
      <c r="G988" s="212"/>
      <c r="H988" s="149"/>
      <c r="I988" s="111">
        <f>SUM(I978:I987)</f>
        <v>15141670</v>
      </c>
      <c r="J988" s="111"/>
      <c r="K988" s="212"/>
      <c r="L988" s="149"/>
      <c r="M988" s="111" t="e">
        <f>SUM(M978:M987)</f>
        <v>#DIV/0!</v>
      </c>
      <c r="N988" s="111"/>
      <c r="O988" s="212"/>
      <c r="P988" s="149"/>
      <c r="Q988" s="111" t="e">
        <f>SUM(Q978:Q987)</f>
        <v>#DIV/0!</v>
      </c>
      <c r="R988" s="111"/>
      <c r="S988" s="212"/>
      <c r="T988" s="149"/>
      <c r="U988" s="111" t="e">
        <f>SUM(U978:U987)</f>
        <v>#DIV/0!</v>
      </c>
      <c r="V988" s="199" t="s">
        <v>0</v>
      </c>
      <c r="W988" s="91"/>
      <c r="X988" s="91"/>
      <c r="Y988" s="91"/>
      <c r="Z988" s="44"/>
      <c r="AA988" s="44"/>
      <c r="AB988" s="44"/>
      <c r="AC988" s="44"/>
      <c r="AD988" s="44"/>
      <c r="AE988" s="44"/>
      <c r="AF988" s="44"/>
      <c r="AG988" s="44"/>
      <c r="AH988" s="44"/>
      <c r="AI988" s="44"/>
      <c r="AJ988" s="44"/>
      <c r="AK988" s="44"/>
      <c r="AL988" s="44"/>
      <c r="AM988" s="44"/>
      <c r="AN988" s="44"/>
      <c r="AO988" s="44"/>
      <c r="AP988" s="44"/>
    </row>
    <row r="989" spans="1:44" hidden="1" x14ac:dyDescent="0.25">
      <c r="A989" s="149" t="s">
        <v>92</v>
      </c>
      <c r="B989" s="149"/>
      <c r="C989" s="204">
        <f>C988/($C$988+$C$1046)*$C$1084</f>
        <v>652001.57700801117</v>
      </c>
      <c r="D989" s="134"/>
      <c r="E989" s="134"/>
      <c r="F989" s="230">
        <f>F988/($F$988+$F$1046)*$F$1084</f>
        <v>46005.744370944871</v>
      </c>
      <c r="G989" s="134"/>
      <c r="H989" s="134"/>
      <c r="I989" s="230">
        <f>F989</f>
        <v>46005.744370944871</v>
      </c>
      <c r="J989" s="207"/>
      <c r="K989" s="134"/>
      <c r="L989" s="134"/>
      <c r="M989" s="230" t="e">
        <f>$I$989*V955/($V955+$W$955+$X$955)</f>
        <v>#DIV/0!</v>
      </c>
      <c r="N989" s="133"/>
      <c r="O989" s="134"/>
      <c r="P989" s="134"/>
      <c r="Q989" s="230" t="e">
        <f>$I$989*W955/($V955+$W$955+$X$955)</f>
        <v>#DIV/0!</v>
      </c>
      <c r="R989" s="133"/>
      <c r="S989" s="134"/>
      <c r="T989" s="134"/>
      <c r="U989" s="230" t="e">
        <f>$I$989*X955/($V955+$W$955+$X$955)</f>
        <v>#DIV/0!</v>
      </c>
      <c r="V989" s="165"/>
      <c r="W989" s="163"/>
      <c r="X989" s="91"/>
      <c r="Y989" s="91"/>
      <c r="Z989" s="44"/>
      <c r="AA989" s="44"/>
      <c r="AB989" s="44"/>
      <c r="AC989" s="44"/>
      <c r="AD989" s="44"/>
      <c r="AE989" s="44"/>
      <c r="AF989" s="44"/>
      <c r="AG989" s="44"/>
      <c r="AH989" s="44"/>
      <c r="AI989" s="44"/>
      <c r="AJ989" s="44"/>
      <c r="AK989" s="44"/>
      <c r="AL989" s="44"/>
      <c r="AM989" s="44"/>
      <c r="AN989" s="44"/>
      <c r="AO989" s="44"/>
      <c r="AP989" s="44"/>
    </row>
    <row r="990" spans="1:44" ht="16.5" hidden="1" thickBot="1" x14ac:dyDescent="0.3">
      <c r="A990" s="149" t="s">
        <v>115</v>
      </c>
      <c r="B990" s="149"/>
      <c r="C990" s="315">
        <f>SUM(C988)+C989</f>
        <v>210352451.57700801</v>
      </c>
      <c r="D990" s="245"/>
      <c r="E990" s="232"/>
      <c r="F990" s="233">
        <f>F988+F989</f>
        <v>14838801.744370945</v>
      </c>
      <c r="G990" s="245"/>
      <c r="H990" s="232"/>
      <c r="I990" s="233">
        <f>I988+I989</f>
        <v>15187675.744370945</v>
      </c>
      <c r="J990" s="207"/>
      <c r="K990" s="245"/>
      <c r="L990" s="232"/>
      <c r="M990" s="233" t="e">
        <f>M988+M989</f>
        <v>#DIV/0!</v>
      </c>
      <c r="N990" s="233"/>
      <c r="O990" s="245"/>
      <c r="P990" s="232"/>
      <c r="Q990" s="233" t="e">
        <f>Q988+Q989</f>
        <v>#DIV/0!</v>
      </c>
      <c r="R990" s="233"/>
      <c r="S990" s="245"/>
      <c r="T990" s="232"/>
      <c r="U990" s="233" t="e">
        <f>U988+U989</f>
        <v>#DIV/0!</v>
      </c>
      <c r="V990" s="166"/>
      <c r="W990" s="167"/>
      <c r="X990" s="91"/>
      <c r="Y990" s="91"/>
      <c r="Z990" s="80" t="s">
        <v>0</v>
      </c>
      <c r="AA990" s="44"/>
      <c r="AB990" s="44"/>
      <c r="AC990" s="44"/>
      <c r="AD990" s="44"/>
      <c r="AE990" s="44"/>
      <c r="AF990" s="44"/>
      <c r="AG990" s="44"/>
      <c r="AH990" s="44"/>
      <c r="AI990" s="44"/>
      <c r="AJ990" s="44"/>
      <c r="AK990" s="44"/>
      <c r="AL990" s="44"/>
      <c r="AM990" s="44"/>
      <c r="AN990" s="44"/>
      <c r="AO990" s="44"/>
      <c r="AP990" s="44"/>
    </row>
    <row r="991" spans="1:44" hidden="1" x14ac:dyDescent="0.25">
      <c r="A991" s="149"/>
      <c r="B991" s="149"/>
      <c r="C991" s="169"/>
      <c r="D991" s="226"/>
      <c r="E991" s="149"/>
      <c r="F991" s="111"/>
      <c r="G991" s="226"/>
      <c r="H991" s="149"/>
      <c r="I991" s="246"/>
      <c r="J991" s="246"/>
      <c r="K991" s="226"/>
      <c r="L991" s="149"/>
      <c r="M991" s="246"/>
      <c r="N991" s="246"/>
      <c r="O991" s="226"/>
      <c r="P991" s="149"/>
      <c r="Q991" s="246"/>
      <c r="R991" s="246"/>
      <c r="S991" s="226"/>
      <c r="T991" s="149"/>
      <c r="U991" s="246"/>
      <c r="W991" s="91"/>
      <c r="X991" s="142" t="s">
        <v>0</v>
      </c>
      <c r="Y991" s="142"/>
      <c r="Z991" s="44"/>
      <c r="AA991" s="44"/>
      <c r="AB991" s="44"/>
      <c r="AC991" s="44"/>
      <c r="AD991" s="44"/>
      <c r="AE991" s="44"/>
      <c r="AF991" s="44"/>
      <c r="AG991" s="44"/>
      <c r="AH991" s="44"/>
      <c r="AI991" s="44"/>
      <c r="AJ991" s="44"/>
      <c r="AK991" s="44"/>
      <c r="AL991" s="44"/>
      <c r="AM991" s="44"/>
      <c r="AN991" s="44"/>
      <c r="AO991" s="44"/>
      <c r="AP991" s="44"/>
    </row>
    <row r="992" spans="1:44" hidden="1" x14ac:dyDescent="0.25">
      <c r="A992" s="149"/>
      <c r="B992" s="149"/>
      <c r="C992" s="169"/>
      <c r="D992" s="226"/>
      <c r="E992" s="149"/>
      <c r="F992" s="111"/>
      <c r="G992" s="226"/>
      <c r="H992" s="149"/>
      <c r="I992" s="246"/>
      <c r="J992" s="246"/>
      <c r="K992" s="226"/>
      <c r="L992" s="149"/>
      <c r="M992" s="246"/>
      <c r="N992" s="246"/>
      <c r="O992" s="226"/>
      <c r="P992" s="149"/>
      <c r="Q992" s="246"/>
      <c r="R992" s="246"/>
      <c r="S992" s="226"/>
      <c r="T992" s="149"/>
      <c r="U992" s="246"/>
      <c r="W992" s="91"/>
      <c r="X992" s="142"/>
      <c r="Y992" s="142"/>
      <c r="Z992" s="44"/>
      <c r="AA992" s="44"/>
      <c r="AB992" s="44"/>
      <c r="AC992" s="44"/>
      <c r="AD992" s="44"/>
      <c r="AE992" s="44"/>
      <c r="AF992" s="44"/>
      <c r="AG992" s="44"/>
      <c r="AH992" s="44"/>
      <c r="AI992" s="44"/>
      <c r="AJ992" s="44"/>
      <c r="AK992" s="44"/>
      <c r="AL992" s="44"/>
      <c r="AM992" s="44"/>
      <c r="AN992" s="44"/>
      <c r="AO992" s="44"/>
      <c r="AP992" s="44"/>
    </row>
    <row r="993" spans="1:44" x14ac:dyDescent="0.25">
      <c r="A993" s="168" t="s">
        <v>217</v>
      </c>
      <c r="B993" s="149"/>
      <c r="C993" s="149"/>
      <c r="D993" s="111"/>
      <c r="E993" s="149"/>
      <c r="F993" s="149"/>
      <c r="G993" s="111"/>
      <c r="H993" s="149"/>
      <c r="I993" s="149"/>
      <c r="J993" s="149"/>
      <c r="K993" s="111"/>
      <c r="L993" s="149"/>
      <c r="M993" s="149"/>
      <c r="N993" s="149"/>
      <c r="O993" s="111"/>
      <c r="P993" s="149"/>
      <c r="Q993" s="149"/>
      <c r="R993" s="149"/>
      <c r="S993" s="111"/>
      <c r="T993" s="149"/>
      <c r="U993" s="149"/>
      <c r="V993" s="44"/>
      <c r="W993" s="91"/>
      <c r="X993" s="91"/>
      <c r="Y993" s="91"/>
      <c r="Z993" s="44"/>
      <c r="AA993" s="44"/>
      <c r="AB993" s="44"/>
      <c r="AC993" s="44"/>
      <c r="AD993" s="44"/>
      <c r="AE993" s="44"/>
      <c r="AF993" s="44"/>
      <c r="AG993" s="44"/>
      <c r="AH993" s="44"/>
      <c r="AI993" s="44"/>
      <c r="AJ993" s="44"/>
      <c r="AK993" s="44"/>
      <c r="AL993" s="44"/>
      <c r="AM993" s="44"/>
      <c r="AN993" s="44"/>
      <c r="AO993" s="44"/>
      <c r="AP993" s="44"/>
    </row>
    <row r="994" spans="1:44" x14ac:dyDescent="0.25">
      <c r="A994" s="134" t="s">
        <v>224</v>
      </c>
      <c r="B994" s="149"/>
      <c r="C994" s="149"/>
      <c r="D994" s="111"/>
      <c r="E994" s="149"/>
      <c r="F994" s="149"/>
      <c r="G994" s="111"/>
      <c r="H994" s="149"/>
      <c r="I994" s="149"/>
      <c r="J994" s="149"/>
      <c r="K994" s="111"/>
      <c r="L994" s="149"/>
      <c r="M994" s="149"/>
      <c r="N994" s="149"/>
      <c r="O994" s="111"/>
      <c r="P994" s="149"/>
      <c r="Q994" s="149"/>
      <c r="R994" s="149"/>
      <c r="S994" s="111"/>
      <c r="T994" s="149"/>
      <c r="U994" s="149"/>
      <c r="V994" s="44"/>
      <c r="W994" s="91"/>
      <c r="X994" s="91"/>
      <c r="Y994" s="91"/>
      <c r="Z994" s="44"/>
      <c r="AA994" s="44"/>
      <c r="AB994" s="44"/>
      <c r="AC994" s="44"/>
      <c r="AD994" s="44"/>
      <c r="AE994" s="44"/>
      <c r="AF994" s="44"/>
      <c r="AG994" s="44"/>
      <c r="AH994" s="44"/>
      <c r="AI994" s="44"/>
      <c r="AJ994" s="44"/>
      <c r="AK994" s="44"/>
      <c r="AL994" s="44"/>
      <c r="AM994" s="44"/>
      <c r="AN994" s="44"/>
      <c r="AO994" s="44"/>
      <c r="AP994" s="44"/>
    </row>
    <row r="995" spans="1:44" x14ac:dyDescent="0.25">
      <c r="A995" s="149" t="s">
        <v>0</v>
      </c>
      <c r="B995" s="149"/>
      <c r="C995" s="149"/>
      <c r="D995" s="111"/>
      <c r="E995" s="149"/>
      <c r="F995" s="149"/>
      <c r="G995" s="111"/>
      <c r="H995" s="149"/>
      <c r="I995" s="149"/>
      <c r="J995" s="149"/>
      <c r="K995" s="111"/>
      <c r="L995" s="149"/>
      <c r="M995" s="149"/>
      <c r="N995" s="149"/>
      <c r="O995" s="111"/>
      <c r="P995" s="149"/>
      <c r="Q995" s="149"/>
      <c r="R995" s="149"/>
      <c r="S995" s="111"/>
      <c r="T995" s="149"/>
      <c r="U995" s="149"/>
      <c r="V995" s="44"/>
      <c r="W995" s="91"/>
      <c r="X995" s="91"/>
      <c r="Y995" s="91"/>
      <c r="Z995" s="44"/>
      <c r="AA995" s="44"/>
      <c r="AB995" s="44"/>
      <c r="AC995" s="44"/>
      <c r="AD995" s="44"/>
      <c r="AE995" s="44"/>
      <c r="AF995" s="44"/>
      <c r="AG995" s="44"/>
      <c r="AH995" s="44"/>
      <c r="AI995" s="44"/>
      <c r="AJ995" s="44"/>
      <c r="AK995" s="44"/>
      <c r="AL995" s="44"/>
      <c r="AM995" s="44"/>
      <c r="AN995" s="44"/>
      <c r="AO995" s="44"/>
      <c r="AP995" s="44"/>
    </row>
    <row r="996" spans="1:44" x14ac:dyDescent="0.25">
      <c r="A996" s="206" t="s">
        <v>127</v>
      </c>
      <c r="B996" s="149"/>
      <c r="C996" s="204"/>
      <c r="D996" s="111"/>
      <c r="E996" s="149"/>
      <c r="F996" s="149"/>
      <c r="G996" s="111"/>
      <c r="H996" s="149"/>
      <c r="I996" s="149"/>
      <c r="J996" s="149"/>
      <c r="K996" s="111"/>
      <c r="L996" s="149"/>
      <c r="M996" s="149"/>
      <c r="N996" s="149"/>
      <c r="O996" s="111"/>
      <c r="P996" s="149"/>
      <c r="Q996" s="149"/>
      <c r="R996" s="149"/>
      <c r="S996" s="111"/>
      <c r="T996" s="149"/>
      <c r="U996" s="149"/>
      <c r="W996" s="91"/>
      <c r="X996" s="91"/>
      <c r="Y996" s="91"/>
      <c r="Z996" s="44"/>
      <c r="AA996" s="44"/>
      <c r="AB996" s="44"/>
      <c r="AC996" s="44"/>
      <c r="AD996" s="44"/>
      <c r="AE996" s="44"/>
      <c r="AF996" s="44"/>
      <c r="AG996" s="44"/>
      <c r="AH996" s="44"/>
      <c r="AI996" s="44"/>
      <c r="AJ996" s="44"/>
      <c r="AK996" s="44"/>
      <c r="AL996" s="44"/>
      <c r="AM996" s="44"/>
      <c r="AN996" s="44"/>
      <c r="AO996" s="44"/>
      <c r="AP996" s="44"/>
    </row>
    <row r="997" spans="1:44" x14ac:dyDescent="0.25">
      <c r="A997" s="206" t="s">
        <v>213</v>
      </c>
      <c r="B997" s="149"/>
      <c r="C997" s="204">
        <f t="shared" ref="C997:C1002" si="149">C1018+C1036</f>
        <v>130.3333333333334</v>
      </c>
      <c r="D997" s="226">
        <v>1443</v>
      </c>
      <c r="E997" s="223"/>
      <c r="F997" s="111">
        <f>ROUND(D997*C997,0)</f>
        <v>188071</v>
      </c>
      <c r="G997" s="226">
        <v>1477</v>
      </c>
      <c r="H997" s="223"/>
      <c r="I997" s="111">
        <f>ROUND(G997*$C997,0)</f>
        <v>192502</v>
      </c>
      <c r="J997" s="111"/>
      <c r="K997" s="226">
        <v>1443</v>
      </c>
      <c r="L997" s="223"/>
      <c r="M997" s="111">
        <v>188071</v>
      </c>
      <c r="N997" s="111"/>
      <c r="O997" s="226" t="s">
        <v>0</v>
      </c>
      <c r="P997" s="223"/>
      <c r="Q997" s="111">
        <v>0</v>
      </c>
      <c r="R997" s="111"/>
      <c r="S997" s="226" t="s">
        <v>0</v>
      </c>
      <c r="T997" s="223"/>
      <c r="U997" s="111">
        <v>0</v>
      </c>
      <c r="V997" s="44"/>
      <c r="X997" s="330">
        <f>(G997-D997)/D997</f>
        <v>2.3562023562023561E-2</v>
      </c>
      <c r="Y997" s="142"/>
      <c r="Z997" s="44"/>
      <c r="AA997" s="44"/>
      <c r="AB997" s="44"/>
      <c r="AC997" s="44"/>
      <c r="AD997" s="44"/>
      <c r="AE997" s="44"/>
      <c r="AF997" s="44"/>
      <c r="AG997" s="44"/>
      <c r="AH997" s="44"/>
      <c r="AI997" s="44"/>
      <c r="AJ997" s="44"/>
      <c r="AK997" s="44"/>
      <c r="AL997" s="44"/>
      <c r="AM997" s="44"/>
      <c r="AN997" s="44"/>
      <c r="AO997" s="44"/>
      <c r="AP997" s="44"/>
    </row>
    <row r="998" spans="1:44" x14ac:dyDescent="0.25">
      <c r="A998" s="206" t="s">
        <v>214</v>
      </c>
      <c r="B998" s="149"/>
      <c r="C998" s="204">
        <f t="shared" si="149"/>
        <v>0</v>
      </c>
      <c r="D998" s="226">
        <v>1736</v>
      </c>
      <c r="E998" s="251"/>
      <c r="F998" s="111">
        <f>ROUND(D998*C998,0)</f>
        <v>0</v>
      </c>
      <c r="G998" s="226">
        <v>1777</v>
      </c>
      <c r="H998" s="251"/>
      <c r="I998" s="111">
        <f>ROUND(G998*$C998,0)</f>
        <v>0</v>
      </c>
      <c r="J998" s="111"/>
      <c r="K998" s="226">
        <v>1736</v>
      </c>
      <c r="L998" s="251"/>
      <c r="M998" s="111">
        <v>0</v>
      </c>
      <c r="N998" s="111"/>
      <c r="O998" s="226" t="s">
        <v>0</v>
      </c>
      <c r="P998" s="251"/>
      <c r="Q998" s="111">
        <v>0</v>
      </c>
      <c r="R998" s="111"/>
      <c r="S998" s="226" t="s">
        <v>0</v>
      </c>
      <c r="T998" s="251"/>
      <c r="U998" s="111">
        <v>0</v>
      </c>
      <c r="V998" s="44"/>
      <c r="X998" s="330">
        <f>(G998-D998)/D998</f>
        <v>2.3617511520737326E-2</v>
      </c>
      <c r="Y998" s="142"/>
      <c r="Z998" s="44"/>
      <c r="AA998" s="44"/>
      <c r="AB998" s="44"/>
      <c r="AC998" s="44"/>
      <c r="AD998" s="44"/>
      <c r="AE998" s="44"/>
      <c r="AF998" s="44"/>
      <c r="AG998" s="44"/>
      <c r="AH998" s="44"/>
      <c r="AI998" s="44"/>
      <c r="AJ998" s="44"/>
      <c r="AK998" s="44"/>
      <c r="AL998" s="44"/>
      <c r="AM998" s="44"/>
      <c r="AN998" s="44"/>
      <c r="AO998" s="44"/>
      <c r="AP998" s="44"/>
    </row>
    <row r="999" spans="1:44" x14ac:dyDescent="0.25">
      <c r="A999" s="206" t="s">
        <v>128</v>
      </c>
      <c r="B999" s="149"/>
      <c r="C999" s="204">
        <f t="shared" si="149"/>
        <v>130.3333333333334</v>
      </c>
      <c r="D999" s="226"/>
      <c r="E999" s="223"/>
      <c r="F999" s="111" t="s">
        <v>0</v>
      </c>
      <c r="G999" s="226" t="s">
        <v>0</v>
      </c>
      <c r="H999" s="223"/>
      <c r="I999" s="111" t="s">
        <v>0</v>
      </c>
      <c r="J999" s="111"/>
      <c r="K999" s="226" t="s">
        <v>0</v>
      </c>
      <c r="L999" s="223"/>
      <c r="M999" s="111" t="s">
        <v>0</v>
      </c>
      <c r="N999" s="111"/>
      <c r="O999" s="226" t="s">
        <v>0</v>
      </c>
      <c r="P999" s="223"/>
      <c r="Q999" s="111" t="s">
        <v>0</v>
      </c>
      <c r="R999" s="111"/>
      <c r="S999" s="226" t="s">
        <v>0</v>
      </c>
      <c r="T999" s="223"/>
      <c r="U999" s="111" t="s">
        <v>0</v>
      </c>
      <c r="V999" s="44"/>
      <c r="X999" s="332"/>
      <c r="Y999" s="91"/>
      <c r="Z999" s="44"/>
      <c r="AA999" s="44"/>
      <c r="AB999" s="44"/>
      <c r="AC999" s="44"/>
      <c r="AD999" s="44"/>
      <c r="AE999" s="44"/>
      <c r="AF999" s="44"/>
      <c r="AG999" s="44"/>
      <c r="AH999" s="44"/>
      <c r="AI999" s="44"/>
      <c r="AJ999" s="44"/>
      <c r="AK999" s="44"/>
      <c r="AL999" s="44"/>
      <c r="AM999" s="44"/>
      <c r="AN999" s="44"/>
      <c r="AO999" s="44"/>
      <c r="AP999" s="44"/>
    </row>
    <row r="1000" spans="1:44" x14ac:dyDescent="0.25">
      <c r="A1000" s="206" t="s">
        <v>215</v>
      </c>
      <c r="B1000" s="149"/>
      <c r="C1000" s="204">
        <f t="shared" si="149"/>
        <v>230926.96551724101</v>
      </c>
      <c r="D1000" s="226">
        <v>0.56999999999999995</v>
      </c>
      <c r="E1000" s="223"/>
      <c r="F1000" s="111">
        <f>ROUND(D1000*C1000,0)</f>
        <v>131628</v>
      </c>
      <c r="G1000" s="226">
        <v>0.57999999999999996</v>
      </c>
      <c r="H1000" s="223"/>
      <c r="I1000" s="111">
        <f>ROUND(G1000*$C1000,0)</f>
        <v>133938</v>
      </c>
      <c r="J1000" s="111"/>
      <c r="K1000" s="226">
        <v>0.56999999999999995</v>
      </c>
      <c r="L1000" s="223"/>
      <c r="M1000" s="111">
        <v>131628</v>
      </c>
      <c r="N1000" s="111"/>
      <c r="O1000" s="226" t="s">
        <v>0</v>
      </c>
      <c r="P1000" s="223"/>
      <c r="Q1000" s="111">
        <v>0</v>
      </c>
      <c r="R1000" s="111"/>
      <c r="S1000" s="226" t="s">
        <v>0</v>
      </c>
      <c r="T1000" s="223"/>
      <c r="U1000" s="111">
        <v>0</v>
      </c>
      <c r="X1000" s="330">
        <f>(G1000-D1000)/D1000</f>
        <v>1.7543859649122823E-2</v>
      </c>
      <c r="Y1000" s="142"/>
      <c r="Z1000" s="44" t="s">
        <v>0</v>
      </c>
      <c r="AA1000" s="44"/>
      <c r="AB1000" s="44"/>
      <c r="AC1000" s="44"/>
      <c r="AD1000" s="44"/>
      <c r="AE1000" s="44"/>
      <c r="AF1000" s="44"/>
      <c r="AG1000" s="44"/>
      <c r="AH1000" s="44"/>
      <c r="AI1000" s="44"/>
      <c r="AJ1000" s="44"/>
      <c r="AK1000" s="44"/>
      <c r="AL1000" s="44"/>
      <c r="AM1000" s="44"/>
      <c r="AN1000" s="44"/>
      <c r="AO1000" s="44"/>
      <c r="AP1000" s="44"/>
    </row>
    <row r="1001" spans="1:44" x14ac:dyDescent="0.25">
      <c r="A1001" s="206" t="s">
        <v>216</v>
      </c>
      <c r="B1001" s="149"/>
      <c r="C1001" s="204">
        <f t="shared" si="149"/>
        <v>0</v>
      </c>
      <c r="D1001" s="226">
        <v>0.46</v>
      </c>
      <c r="E1001" s="223"/>
      <c r="F1001" s="111">
        <f>ROUND(D1001*C1001,0)</f>
        <v>0</v>
      </c>
      <c r="G1001" s="226">
        <v>0.47</v>
      </c>
      <c r="H1001" s="223"/>
      <c r="I1001" s="111">
        <f>ROUND(G1001*$C1001,0)</f>
        <v>0</v>
      </c>
      <c r="J1001" s="111"/>
      <c r="K1001" s="226">
        <v>0.46</v>
      </c>
      <c r="L1001" s="223"/>
      <c r="M1001" s="111">
        <v>0</v>
      </c>
      <c r="N1001" s="111"/>
      <c r="O1001" s="226" t="s">
        <v>0</v>
      </c>
      <c r="P1001" s="223"/>
      <c r="Q1001" s="111">
        <v>0</v>
      </c>
      <c r="R1001" s="111"/>
      <c r="S1001" s="226" t="s">
        <v>0</v>
      </c>
      <c r="T1001" s="223"/>
      <c r="U1001" s="111">
        <v>0</v>
      </c>
      <c r="V1001" s="44"/>
      <c r="X1001" s="330">
        <f>(G1001-D1001)/D1001</f>
        <v>2.1739130434782507E-2</v>
      </c>
      <c r="Y1001" s="142"/>
      <c r="Z1001" s="44"/>
      <c r="AA1001" s="44"/>
      <c r="AB1001" s="44"/>
      <c r="AC1001" s="44"/>
      <c r="AD1001" s="44"/>
      <c r="AE1001" s="44"/>
      <c r="AF1001" s="44"/>
      <c r="AG1001" s="44"/>
      <c r="AH1001" s="44"/>
      <c r="AI1001" s="44"/>
      <c r="AJ1001" s="44"/>
      <c r="AK1001" s="44"/>
      <c r="AL1001" s="44"/>
      <c r="AM1001" s="44"/>
      <c r="AN1001" s="44"/>
      <c r="AO1001" s="44"/>
      <c r="AP1001" s="44"/>
    </row>
    <row r="1002" spans="1:44" x14ac:dyDescent="0.25">
      <c r="A1002" s="134" t="s">
        <v>142</v>
      </c>
      <c r="B1002" s="149"/>
      <c r="C1002" s="204">
        <f t="shared" si="149"/>
        <v>187022.62068965501</v>
      </c>
      <c r="D1002" s="226">
        <v>7.79</v>
      </c>
      <c r="E1002" s="223"/>
      <c r="F1002" s="111">
        <f>ROUND(D1002*C1002,0)</f>
        <v>1456906</v>
      </c>
      <c r="G1002" s="226">
        <v>7.9799999999999995</v>
      </c>
      <c r="H1002" s="223"/>
      <c r="I1002" s="111">
        <f>ROUND(G1002*$C1002,0)</f>
        <v>1492441</v>
      </c>
      <c r="J1002" s="111"/>
      <c r="K1002" s="226" t="e">
        <v>#DIV/0!</v>
      </c>
      <c r="L1002" s="223"/>
      <c r="M1002" s="111" t="e">
        <v>#DIV/0!</v>
      </c>
      <c r="N1002" s="111"/>
      <c r="O1002" s="226" t="e">
        <v>#DIV/0!</v>
      </c>
      <c r="P1002" s="223"/>
      <c r="Q1002" s="111" t="e">
        <v>#DIV/0!</v>
      </c>
      <c r="R1002" s="111"/>
      <c r="S1002" s="226" t="e">
        <v>#DIV/0!</v>
      </c>
      <c r="T1002" s="223"/>
      <c r="U1002" s="111" t="e">
        <v>#DIV/0!</v>
      </c>
      <c r="V1002" s="44"/>
      <c r="X1002" s="330">
        <f>(G1002-D1002)/D1002</f>
        <v>2.4390243902438959E-2</v>
      </c>
      <c r="Y1002" s="142"/>
      <c r="Z1002" s="44"/>
      <c r="AA1002" s="44"/>
      <c r="AB1002" s="44"/>
      <c r="AC1002" s="44"/>
      <c r="AD1002" s="44"/>
      <c r="AE1002" s="44"/>
      <c r="AF1002" s="44"/>
      <c r="AG1002" s="44"/>
      <c r="AH1002" s="44"/>
      <c r="AI1002" s="44"/>
      <c r="AJ1002" s="44"/>
      <c r="AK1002" s="44"/>
      <c r="AL1002" s="44"/>
      <c r="AM1002" s="44"/>
      <c r="AN1002" s="44"/>
      <c r="AO1002" s="44"/>
      <c r="AP1002" s="44"/>
    </row>
    <row r="1003" spans="1:44" x14ac:dyDescent="0.25">
      <c r="A1003" s="206" t="s">
        <v>164</v>
      </c>
      <c r="B1003" s="149"/>
      <c r="C1003" s="204"/>
      <c r="D1003" s="226"/>
      <c r="E1003" s="223"/>
      <c r="F1003" s="111"/>
      <c r="G1003" s="226" t="s">
        <v>0</v>
      </c>
      <c r="H1003" s="223"/>
      <c r="I1003" s="111"/>
      <c r="J1003" s="111"/>
      <c r="K1003" s="226" t="s">
        <v>0</v>
      </c>
      <c r="L1003" s="223"/>
      <c r="M1003" s="111"/>
      <c r="N1003" s="111"/>
      <c r="O1003" s="226" t="s">
        <v>0</v>
      </c>
      <c r="P1003" s="223"/>
      <c r="Q1003" s="111"/>
      <c r="R1003" s="111"/>
      <c r="S1003" s="226" t="s">
        <v>0</v>
      </c>
      <c r="T1003" s="223"/>
      <c r="U1003" s="111"/>
      <c r="V1003" s="44"/>
      <c r="X1003" s="332"/>
      <c r="Y1003" s="91"/>
      <c r="Z1003" s="44"/>
      <c r="AA1003" s="44"/>
      <c r="AB1003" s="44"/>
      <c r="AC1003" s="44"/>
      <c r="AD1003" s="44"/>
      <c r="AE1003" s="44"/>
      <c r="AF1003" s="44"/>
      <c r="AG1003" s="44"/>
      <c r="AH1003" s="44"/>
      <c r="AI1003" s="44"/>
      <c r="AJ1003" s="44"/>
      <c r="AK1003" s="44"/>
      <c r="AL1003" s="44"/>
      <c r="AM1003" s="44"/>
      <c r="AN1003" s="44"/>
      <c r="AO1003" s="44"/>
      <c r="AP1003" s="44"/>
    </row>
    <row r="1004" spans="1:44" x14ac:dyDescent="0.25">
      <c r="A1004" s="206" t="s">
        <v>203</v>
      </c>
      <c r="B1004" s="149"/>
      <c r="C1004" s="204">
        <f>C1025+C1043</f>
        <v>76296887.893373474</v>
      </c>
      <c r="D1004" s="318">
        <v>4.6879999999999997</v>
      </c>
      <c r="E1004" s="223" t="s">
        <v>89</v>
      </c>
      <c r="F1004" s="111">
        <f>ROUND(D1004/100*C1004,0)</f>
        <v>3576798</v>
      </c>
      <c r="G1004" s="318">
        <v>4.798</v>
      </c>
      <c r="H1004" s="223" t="s">
        <v>89</v>
      </c>
      <c r="I1004" s="111">
        <f>ROUND(G1004/100*$C1004,0)</f>
        <v>3660725</v>
      </c>
      <c r="J1004" s="111"/>
      <c r="K1004" s="318" t="s">
        <v>0</v>
      </c>
      <c r="L1004" s="295" t="s">
        <v>0</v>
      </c>
      <c r="M1004" s="111">
        <v>0</v>
      </c>
      <c r="N1004" s="111"/>
      <c r="O1004" s="318" t="e">
        <v>#DIV/0!</v>
      </c>
      <c r="P1004" s="223" t="s">
        <v>89</v>
      </c>
      <c r="Q1004" s="111" t="e">
        <v>#DIV/0!</v>
      </c>
      <c r="R1004" s="111"/>
      <c r="S1004" s="318" t="e">
        <v>#DIV/0!</v>
      </c>
      <c r="T1004" s="223" t="s">
        <v>89</v>
      </c>
      <c r="U1004" s="111" t="e">
        <v>#DIV/0!</v>
      </c>
      <c r="V1004" s="44"/>
      <c r="X1004" s="330">
        <f>((G1004+G1006)-D1004)/D1004</f>
        <v>2.3464163822525665E-2</v>
      </c>
      <c r="Y1004" s="142"/>
      <c r="Z1004" s="44"/>
      <c r="AA1004" s="44"/>
      <c r="AB1004" s="44"/>
      <c r="AC1004" s="44"/>
      <c r="AD1004" s="44"/>
      <c r="AE1004" s="44"/>
      <c r="AF1004" s="44"/>
      <c r="AG1004" s="44"/>
      <c r="AH1004" s="44"/>
      <c r="AI1004" s="44"/>
      <c r="AJ1004" s="44"/>
      <c r="AK1004" s="44"/>
      <c r="AL1004" s="44"/>
      <c r="AM1004" s="44"/>
      <c r="AN1004" s="44"/>
      <c r="AO1004" s="44"/>
      <c r="AP1004" s="44"/>
    </row>
    <row r="1005" spans="1:44" x14ac:dyDescent="0.25">
      <c r="A1005" s="206" t="s">
        <v>133</v>
      </c>
      <c r="B1005" s="149"/>
      <c r="C1005" s="204">
        <f>C1026+C1044</f>
        <v>15987.3939393939</v>
      </c>
      <c r="D1005" s="226">
        <v>0.55000000000000004</v>
      </c>
      <c r="E1005" s="223"/>
      <c r="F1005" s="111">
        <f>ROUND(D1005*C1005,0)</f>
        <v>8793</v>
      </c>
      <c r="G1005" s="226">
        <v>0.56000000000000005</v>
      </c>
      <c r="H1005" s="223"/>
      <c r="I1005" s="111">
        <f>ROUND(G1005*$C1005,0)</f>
        <v>8953</v>
      </c>
      <c r="J1005" s="111"/>
      <c r="K1005" s="226" t="s">
        <v>0</v>
      </c>
      <c r="L1005" s="223"/>
      <c r="M1005" s="111">
        <v>0</v>
      </c>
      <c r="N1005" s="111"/>
      <c r="O1005" s="226" t="e">
        <v>#DIV/0!</v>
      </c>
      <c r="P1005" s="223"/>
      <c r="Q1005" s="111" t="e">
        <v>#DIV/0!</v>
      </c>
      <c r="R1005" s="111"/>
      <c r="S1005" s="226" t="e">
        <v>#DIV/0!</v>
      </c>
      <c r="T1005" s="223"/>
      <c r="U1005" s="111" t="e">
        <v>#DIV/0!</v>
      </c>
      <c r="V1005" s="44"/>
      <c r="X1005" s="330">
        <f>(G1005-D1005)/D1005</f>
        <v>1.8181818181818195E-2</v>
      </c>
      <c r="Y1005" s="142"/>
      <c r="Z1005" s="44"/>
      <c r="AA1005" s="44"/>
      <c r="AB1005" s="44"/>
      <c r="AC1005" s="44"/>
      <c r="AD1005" s="44"/>
      <c r="AE1005" s="44"/>
      <c r="AF1005" s="44"/>
      <c r="AG1005" s="44"/>
      <c r="AH1005" s="44"/>
      <c r="AI1005" s="44"/>
      <c r="AJ1005" s="44"/>
      <c r="AK1005" s="44"/>
      <c r="AL1005" s="44"/>
      <c r="AM1005" s="44"/>
      <c r="AN1005" s="44"/>
      <c r="AO1005" s="44"/>
      <c r="AP1005" s="44"/>
    </row>
    <row r="1006" spans="1:44" s="120" customFormat="1" hidden="1" x14ac:dyDescent="0.25">
      <c r="A1006" s="119" t="s">
        <v>204</v>
      </c>
      <c r="C1006" s="121">
        <f>C1004</f>
        <v>76296887.893373474</v>
      </c>
      <c r="D1006" s="128">
        <v>0</v>
      </c>
      <c r="E1006" s="122"/>
      <c r="F1006" s="123"/>
      <c r="G1006" s="124">
        <v>0</v>
      </c>
      <c r="H1006" s="256" t="s">
        <v>89</v>
      </c>
      <c r="I1006" s="123">
        <f>ROUND(G1006/100*$C1006,0)</f>
        <v>0</v>
      </c>
      <c r="J1006" s="123"/>
      <c r="K1006" s="124" t="s">
        <v>0</v>
      </c>
      <c r="L1006" s="256" t="s">
        <v>0</v>
      </c>
      <c r="M1006" s="111">
        <v>0</v>
      </c>
      <c r="N1006" s="256"/>
      <c r="O1006" s="124" t="s">
        <v>0</v>
      </c>
      <c r="P1006" s="256" t="s">
        <v>0</v>
      </c>
      <c r="Q1006" s="111">
        <v>0</v>
      </c>
      <c r="R1006" s="256"/>
      <c r="S1006" s="124">
        <v>0</v>
      </c>
      <c r="T1006" s="256" t="s">
        <v>89</v>
      </c>
      <c r="U1006" s="111">
        <v>0</v>
      </c>
      <c r="V1006" s="126">
        <v>2438646.2051787861</v>
      </c>
      <c r="W1006" s="112" t="s">
        <v>205</v>
      </c>
      <c r="Z1006" s="127"/>
      <c r="AA1006" s="127"/>
      <c r="AF1006" s="122"/>
      <c r="AG1006" s="122"/>
      <c r="AH1006" s="122"/>
      <c r="AI1006" s="122"/>
      <c r="AJ1006" s="122"/>
      <c r="AK1006" s="122"/>
      <c r="AL1006" s="122"/>
      <c r="AM1006" s="122"/>
      <c r="AN1006" s="122"/>
      <c r="AO1006" s="122"/>
      <c r="AP1006" s="122"/>
      <c r="AR1006" s="126"/>
    </row>
    <row r="1007" spans="1:44" s="183" customFormat="1" hidden="1" x14ac:dyDescent="0.25">
      <c r="A1007" s="182" t="s">
        <v>206</v>
      </c>
      <c r="C1007" s="341"/>
      <c r="D1007" s="333">
        <v>4.6879999999999997</v>
      </c>
      <c r="E1007" s="272" t="s">
        <v>89</v>
      </c>
      <c r="F1007" s="187"/>
      <c r="G1007" s="185">
        <f>G1004+G1006</f>
        <v>4.798</v>
      </c>
      <c r="H1007" s="272" t="s">
        <v>89</v>
      </c>
      <c r="I1007" s="187"/>
      <c r="J1007" s="187"/>
      <c r="K1007" s="334" t="s">
        <v>0</v>
      </c>
      <c r="L1007" s="272" t="s">
        <v>0</v>
      </c>
      <c r="M1007" s="272"/>
      <c r="N1007" s="272"/>
      <c r="O1007" s="334" t="e">
        <f>O1004+O1006</f>
        <v>#DIV/0!</v>
      </c>
      <c r="P1007" s="272" t="s">
        <v>89</v>
      </c>
      <c r="Q1007" s="272"/>
      <c r="R1007" s="272"/>
      <c r="S1007" s="334" t="e">
        <f>S1004+S1006</f>
        <v>#DIV/0!</v>
      </c>
      <c r="T1007" s="272" t="s">
        <v>89</v>
      </c>
      <c r="U1007" s="272"/>
      <c r="V1007" s="335"/>
      <c r="W1007" s="336"/>
      <c r="X1007" s="337">
        <f>(G1007-D1007)/D1007</f>
        <v>2.3464163822525665E-2</v>
      </c>
      <c r="Z1007" s="338"/>
      <c r="AA1007" s="338"/>
      <c r="AF1007" s="339"/>
      <c r="AG1007" s="339"/>
      <c r="AH1007" s="339"/>
      <c r="AI1007" s="339"/>
      <c r="AJ1007" s="339"/>
      <c r="AK1007" s="339"/>
      <c r="AL1007" s="339"/>
      <c r="AM1007" s="339"/>
      <c r="AN1007" s="339"/>
      <c r="AO1007" s="339"/>
      <c r="AP1007" s="339"/>
      <c r="AR1007" s="335"/>
    </row>
    <row r="1008" spans="1:44" x14ac:dyDescent="0.25">
      <c r="A1008" s="149" t="s">
        <v>114</v>
      </c>
      <c r="B1008" s="149"/>
      <c r="C1008" s="204">
        <f>C1004</f>
        <v>76296887.893373474</v>
      </c>
      <c r="D1008" s="212"/>
      <c r="E1008" s="149"/>
      <c r="F1008" s="111">
        <f>SUM(F997:F1005)</f>
        <v>5362196</v>
      </c>
      <c r="G1008" s="212"/>
      <c r="H1008" s="149"/>
      <c r="I1008" s="111">
        <f>SUM(I997:I1007)</f>
        <v>5488559</v>
      </c>
      <c r="J1008" s="111"/>
      <c r="K1008" s="212"/>
      <c r="L1008" s="149"/>
      <c r="M1008" s="111" t="e">
        <f>SUM(M997:M1007)</f>
        <v>#DIV/0!</v>
      </c>
      <c r="N1008" s="111"/>
      <c r="O1008" s="212"/>
      <c r="P1008" s="149"/>
      <c r="Q1008" s="111" t="e">
        <f>SUM(Q997:Q1007)</f>
        <v>#DIV/0!</v>
      </c>
      <c r="R1008" s="111"/>
      <c r="S1008" s="212"/>
      <c r="T1008" s="149"/>
      <c r="U1008" s="111" t="e">
        <f>SUM(U997:U1007)</f>
        <v>#DIV/0!</v>
      </c>
      <c r="V1008" s="44"/>
      <c r="W1008" s="91"/>
      <c r="X1008" s="91"/>
      <c r="Y1008" s="91"/>
      <c r="Z1008" s="44"/>
      <c r="AA1008" s="44"/>
      <c r="AB1008" s="44"/>
      <c r="AC1008" s="44"/>
      <c r="AD1008" s="44"/>
      <c r="AE1008" s="44"/>
      <c r="AF1008" s="44"/>
      <c r="AG1008" s="44"/>
      <c r="AH1008" s="44"/>
      <c r="AI1008" s="44"/>
      <c r="AJ1008" s="44"/>
      <c r="AK1008" s="44"/>
      <c r="AL1008" s="44"/>
      <c r="AM1008" s="44"/>
      <c r="AN1008" s="44"/>
      <c r="AO1008" s="44"/>
      <c r="AP1008" s="44"/>
    </row>
    <row r="1009" spans="1:42" x14ac:dyDescent="0.25">
      <c r="A1009" s="149" t="s">
        <v>92</v>
      </c>
      <c r="B1009" s="149"/>
      <c r="C1009" s="204">
        <f>C1029+C1047</f>
        <v>511974.75164792698</v>
      </c>
      <c r="D1009" s="134"/>
      <c r="E1009" s="134"/>
      <c r="F1009" s="230">
        <f>F1029+F1047</f>
        <v>39171.082166675216</v>
      </c>
      <c r="G1009" s="134"/>
      <c r="H1009" s="134"/>
      <c r="I1009" s="230">
        <f>F1009</f>
        <v>39171.082166675216</v>
      </c>
      <c r="J1009" s="207"/>
      <c r="K1009" s="134"/>
      <c r="L1009" s="134"/>
      <c r="M1009" s="314" t="e">
        <f>$I$1009*V1012/(V1012+$W$1012+$X$1012)</f>
        <v>#DIV/0!</v>
      </c>
      <c r="N1009" s="133"/>
      <c r="O1009" s="134"/>
      <c r="P1009" s="134"/>
      <c r="Q1009" s="314" t="e">
        <f>$I$1009*W1012/(V1012+$W$1012+$X$1012)</f>
        <v>#DIV/0!</v>
      </c>
      <c r="R1009" s="133"/>
      <c r="S1009" s="134"/>
      <c r="T1009" s="134"/>
      <c r="U1009" s="314" t="e">
        <f>$I$1009*X1012/(V1012+$W$1012+$X$1012)</f>
        <v>#DIV/0!</v>
      </c>
      <c r="V1009" s="165"/>
      <c r="W1009" s="163"/>
      <c r="X1009" s="91"/>
      <c r="Y1009" s="91"/>
      <c r="Z1009" s="44"/>
      <c r="AA1009" s="44"/>
      <c r="AB1009" s="44"/>
      <c r="AC1009" s="44"/>
      <c r="AD1009" s="44"/>
      <c r="AE1009" s="44"/>
      <c r="AF1009" s="44"/>
      <c r="AG1009" s="44"/>
      <c r="AH1009" s="44"/>
      <c r="AI1009" s="44"/>
      <c r="AJ1009" s="44"/>
      <c r="AK1009" s="44"/>
      <c r="AL1009" s="44"/>
      <c r="AM1009" s="44"/>
      <c r="AN1009" s="44"/>
      <c r="AO1009" s="44"/>
      <c r="AP1009" s="44"/>
    </row>
    <row r="1010" spans="1:42" ht="16.5" thickBot="1" x14ac:dyDescent="0.3">
      <c r="A1010" s="149" t="s">
        <v>115</v>
      </c>
      <c r="B1010" s="149"/>
      <c r="C1010" s="315">
        <f>SUM(C1008)+C1009</f>
        <v>76808862.645021409</v>
      </c>
      <c r="D1010" s="245"/>
      <c r="E1010" s="232"/>
      <c r="F1010" s="233">
        <f>F1008+F1009</f>
        <v>5401367.0821666755</v>
      </c>
      <c r="G1010" s="245"/>
      <c r="H1010" s="232"/>
      <c r="I1010" s="233">
        <f>I1008+I1009</f>
        <v>5527730.0821666755</v>
      </c>
      <c r="J1010" s="207"/>
      <c r="K1010" s="245"/>
      <c r="L1010" s="232"/>
      <c r="M1010" s="233" t="e">
        <f>SUM(M1008:M1009)</f>
        <v>#DIV/0!</v>
      </c>
      <c r="N1010" s="233"/>
      <c r="O1010" s="245"/>
      <c r="P1010" s="232"/>
      <c r="Q1010" s="233" t="e">
        <f>SUM(Q1008:Q1009)</f>
        <v>#DIV/0!</v>
      </c>
      <c r="R1010" s="233"/>
      <c r="S1010" s="245"/>
      <c r="T1010" s="232"/>
      <c r="U1010" s="233" t="e">
        <f>SUM(U1008:U1009)</f>
        <v>#DIV/0!</v>
      </c>
      <c r="V1010" s="166" t="s">
        <v>0</v>
      </c>
      <c r="W1010" s="142" t="s">
        <v>0</v>
      </c>
      <c r="X1010" s="342">
        <f>(I1010-F1010)/F1010</f>
        <v>2.3394632891588517E-2</v>
      </c>
      <c r="Y1010" s="91"/>
      <c r="AA1010" s="44"/>
      <c r="AB1010" s="44"/>
      <c r="AC1010" s="44"/>
      <c r="AD1010" s="44"/>
      <c r="AE1010" s="44"/>
      <c r="AF1010" s="44"/>
      <c r="AG1010" s="44"/>
      <c r="AH1010" s="44"/>
      <c r="AI1010" s="44"/>
      <c r="AJ1010" s="44"/>
      <c r="AK1010" s="44"/>
      <c r="AL1010" s="44"/>
      <c r="AM1010" s="44"/>
      <c r="AN1010" s="44"/>
      <c r="AO1010" s="44"/>
      <c r="AP1010" s="44"/>
    </row>
    <row r="1011" spans="1:42" ht="16.5" hidden="1" thickTop="1" x14ac:dyDescent="0.25">
      <c r="A1011" s="149"/>
      <c r="B1011" s="149"/>
      <c r="C1011" s="169"/>
      <c r="D1011" s="226" t="s">
        <v>0</v>
      </c>
      <c r="E1011" s="149"/>
      <c r="F1011" s="111"/>
      <c r="G1011" s="250" t="s">
        <v>0</v>
      </c>
      <c r="H1011" s="149"/>
      <c r="I1011" s="111" t="s">
        <v>0</v>
      </c>
      <c r="J1011" s="111"/>
      <c r="K1011" s="250" t="s">
        <v>0</v>
      </c>
      <c r="L1011" s="149"/>
      <c r="M1011" s="111" t="s">
        <v>0</v>
      </c>
      <c r="N1011" s="111"/>
      <c r="O1011" s="250" t="s">
        <v>0</v>
      </c>
      <c r="P1011" s="149"/>
      <c r="Q1011" s="111" t="s">
        <v>0</v>
      </c>
      <c r="R1011" s="111"/>
      <c r="S1011" s="250" t="s">
        <v>0</v>
      </c>
      <c r="T1011" s="149"/>
      <c r="U1011" s="111" t="s">
        <v>0</v>
      </c>
      <c r="V1011" s="340"/>
      <c r="W1011" s="340"/>
      <c r="X1011" s="340"/>
      <c r="Y1011" s="91"/>
      <c r="Z1011" s="44"/>
      <c r="AA1011" s="44"/>
      <c r="AB1011" s="44"/>
      <c r="AC1011" s="44"/>
      <c r="AD1011" s="44"/>
      <c r="AE1011" s="44"/>
      <c r="AF1011" s="44"/>
      <c r="AG1011" s="44"/>
      <c r="AH1011" s="44"/>
      <c r="AI1011" s="44"/>
      <c r="AJ1011" s="44"/>
      <c r="AK1011" s="44"/>
      <c r="AL1011" s="44"/>
      <c r="AM1011" s="44"/>
      <c r="AN1011" s="44"/>
      <c r="AO1011" s="44"/>
      <c r="AP1011" s="44"/>
    </row>
    <row r="1012" spans="1:42" ht="16.5" hidden="1" thickTop="1" x14ac:dyDescent="0.25">
      <c r="A1012" s="149"/>
      <c r="B1012" s="149"/>
      <c r="C1012" s="169"/>
      <c r="D1012" s="226" t="s">
        <v>0</v>
      </c>
      <c r="E1012" s="149"/>
      <c r="F1012" s="111"/>
      <c r="G1012" s="250" t="s">
        <v>0</v>
      </c>
      <c r="H1012" s="149"/>
      <c r="I1012" s="111" t="s">
        <v>0</v>
      </c>
      <c r="J1012" s="111"/>
      <c r="K1012" s="250" t="s">
        <v>0</v>
      </c>
      <c r="L1012" s="149"/>
      <c r="M1012" s="111" t="s">
        <v>0</v>
      </c>
      <c r="N1012" s="111"/>
      <c r="O1012" s="250" t="s">
        <v>0</v>
      </c>
      <c r="P1012" s="149"/>
      <c r="Q1012" s="111" t="s">
        <v>0</v>
      </c>
      <c r="R1012" s="111"/>
      <c r="S1012" s="250" t="s">
        <v>0</v>
      </c>
      <c r="T1012" s="149"/>
      <c r="U1012" s="111" t="s">
        <v>0</v>
      </c>
      <c r="V1012" s="166"/>
      <c r="W1012" s="166"/>
      <c r="X1012" s="166"/>
      <c r="Y1012" s="91"/>
      <c r="Z1012" s="44"/>
      <c r="AA1012" s="44"/>
      <c r="AB1012" s="44"/>
      <c r="AC1012" s="44"/>
      <c r="AD1012" s="44"/>
      <c r="AE1012" s="44"/>
      <c r="AF1012" s="44"/>
      <c r="AG1012" s="44"/>
      <c r="AH1012" s="44"/>
      <c r="AI1012" s="44"/>
      <c r="AJ1012" s="44"/>
      <c r="AK1012" s="44"/>
      <c r="AL1012" s="44"/>
      <c r="AM1012" s="44"/>
      <c r="AN1012" s="44"/>
      <c r="AO1012" s="44"/>
      <c r="AP1012" s="44"/>
    </row>
    <row r="1013" spans="1:42" ht="16.5" hidden="1" thickTop="1" x14ac:dyDescent="0.25">
      <c r="A1013" s="149"/>
      <c r="B1013" s="149"/>
      <c r="C1013" s="169"/>
      <c r="D1013" s="226"/>
      <c r="E1013" s="149"/>
      <c r="F1013" s="111"/>
      <c r="G1013" s="226"/>
      <c r="H1013" s="149"/>
      <c r="I1013" s="246"/>
      <c r="J1013" s="246"/>
      <c r="K1013" s="226"/>
      <c r="L1013" s="149"/>
      <c r="M1013" s="246"/>
      <c r="N1013" s="246"/>
      <c r="O1013" s="226"/>
      <c r="P1013" s="149"/>
      <c r="Q1013" s="246"/>
      <c r="R1013" s="246"/>
      <c r="S1013" s="226"/>
      <c r="T1013" s="149"/>
      <c r="U1013" s="246"/>
      <c r="V1013" s="44"/>
      <c r="W1013" s="91"/>
      <c r="X1013" s="91"/>
      <c r="Y1013" s="91"/>
      <c r="Z1013" s="44"/>
      <c r="AA1013" s="44"/>
      <c r="AB1013" s="44"/>
      <c r="AC1013" s="44"/>
      <c r="AD1013" s="44"/>
      <c r="AE1013" s="44"/>
      <c r="AF1013" s="44"/>
      <c r="AG1013" s="44"/>
      <c r="AH1013" s="44"/>
      <c r="AI1013" s="44"/>
      <c r="AJ1013" s="44"/>
      <c r="AK1013" s="44"/>
      <c r="AL1013" s="44"/>
      <c r="AM1013" s="44"/>
      <c r="AN1013" s="44"/>
      <c r="AO1013" s="44"/>
      <c r="AP1013" s="44"/>
    </row>
    <row r="1014" spans="1:42" ht="16.5" hidden="1" thickTop="1" x14ac:dyDescent="0.25">
      <c r="A1014" s="168" t="s">
        <v>217</v>
      </c>
      <c r="B1014" s="149"/>
      <c r="C1014" s="149"/>
      <c r="D1014" s="111"/>
      <c r="E1014" s="149"/>
      <c r="F1014" s="149"/>
      <c r="G1014" s="111"/>
      <c r="H1014" s="149"/>
      <c r="I1014" s="149"/>
      <c r="J1014" s="149"/>
      <c r="K1014" s="111"/>
      <c r="L1014" s="149"/>
      <c r="M1014" s="149"/>
      <c r="N1014" s="149"/>
      <c r="O1014" s="111"/>
      <c r="P1014" s="149"/>
      <c r="Q1014" s="149"/>
      <c r="R1014" s="149"/>
      <c r="S1014" s="111"/>
      <c r="T1014" s="149"/>
      <c r="U1014" s="149"/>
      <c r="V1014" s="44"/>
      <c r="W1014" s="91"/>
      <c r="X1014" s="91"/>
      <c r="Y1014" s="91"/>
      <c r="Z1014" s="44"/>
      <c r="AA1014" s="44"/>
      <c r="AB1014" s="44"/>
      <c r="AC1014" s="44"/>
      <c r="AD1014" s="44"/>
      <c r="AE1014" s="44"/>
      <c r="AF1014" s="44"/>
      <c r="AG1014" s="44"/>
      <c r="AH1014" s="44"/>
      <c r="AI1014" s="44"/>
      <c r="AJ1014" s="44"/>
      <c r="AK1014" s="44"/>
      <c r="AL1014" s="44"/>
      <c r="AM1014" s="44"/>
      <c r="AN1014" s="44"/>
      <c r="AO1014" s="44"/>
      <c r="AP1014" s="44"/>
    </row>
    <row r="1015" spans="1:42" ht="16.5" hidden="1" thickTop="1" x14ac:dyDescent="0.25">
      <c r="A1015" s="134" t="s">
        <v>225</v>
      </c>
      <c r="B1015" s="149"/>
      <c r="C1015" s="149"/>
      <c r="D1015" s="111"/>
      <c r="E1015" s="149"/>
      <c r="F1015" s="149"/>
      <c r="G1015" s="111"/>
      <c r="H1015" s="149"/>
      <c r="I1015" s="149"/>
      <c r="J1015" s="149"/>
      <c r="K1015" s="111"/>
      <c r="L1015" s="149"/>
      <c r="M1015" s="149"/>
      <c r="N1015" s="149"/>
      <c r="O1015" s="111"/>
      <c r="P1015" s="149"/>
      <c r="Q1015" s="149"/>
      <c r="R1015" s="149"/>
      <c r="S1015" s="111"/>
      <c r="T1015" s="149"/>
      <c r="U1015" s="149"/>
      <c r="V1015" s="44"/>
      <c r="W1015" s="91"/>
      <c r="X1015" s="91"/>
      <c r="Y1015" s="91"/>
      <c r="Z1015" s="44"/>
      <c r="AA1015" s="44"/>
      <c r="AB1015" s="44"/>
      <c r="AC1015" s="44"/>
      <c r="AD1015" s="44"/>
      <c r="AE1015" s="44"/>
      <c r="AF1015" s="44"/>
      <c r="AG1015" s="44"/>
      <c r="AH1015" s="44"/>
      <c r="AI1015" s="44"/>
      <c r="AJ1015" s="44"/>
      <c r="AK1015" s="44"/>
      <c r="AL1015" s="44"/>
      <c r="AM1015" s="44"/>
      <c r="AN1015" s="44"/>
      <c r="AO1015" s="44"/>
      <c r="AP1015" s="44"/>
    </row>
    <row r="1016" spans="1:42" ht="16.5" hidden="1" thickTop="1" x14ac:dyDescent="0.25">
      <c r="A1016" s="149" t="s">
        <v>0</v>
      </c>
      <c r="B1016" s="149"/>
      <c r="C1016" s="149"/>
      <c r="D1016" s="111"/>
      <c r="E1016" s="149"/>
      <c r="F1016" s="149"/>
      <c r="G1016" s="111"/>
      <c r="H1016" s="149"/>
      <c r="I1016" s="149"/>
      <c r="J1016" s="149"/>
      <c r="K1016" s="111"/>
      <c r="L1016" s="149"/>
      <c r="M1016" s="149"/>
      <c r="N1016" s="149"/>
      <c r="O1016" s="111"/>
      <c r="P1016" s="149"/>
      <c r="Q1016" s="149"/>
      <c r="R1016" s="149"/>
      <c r="S1016" s="111"/>
      <c r="T1016" s="149"/>
      <c r="U1016" s="149"/>
      <c r="V1016" s="44"/>
      <c r="W1016" s="91"/>
      <c r="X1016" s="91"/>
      <c r="Y1016" s="91"/>
      <c r="Z1016" s="44"/>
      <c r="AA1016" s="44"/>
      <c r="AB1016" s="44"/>
      <c r="AC1016" s="44"/>
      <c r="AD1016" s="44"/>
      <c r="AE1016" s="44"/>
      <c r="AF1016" s="44"/>
      <c r="AG1016" s="44"/>
      <c r="AH1016" s="44"/>
      <c r="AI1016" s="44"/>
      <c r="AJ1016" s="44"/>
      <c r="AK1016" s="44"/>
      <c r="AL1016" s="44"/>
      <c r="AM1016" s="44"/>
      <c r="AN1016" s="44"/>
      <c r="AO1016" s="44"/>
      <c r="AP1016" s="44"/>
    </row>
    <row r="1017" spans="1:42" ht="16.5" hidden="1" thickTop="1" x14ac:dyDescent="0.25">
      <c r="A1017" s="206" t="s">
        <v>127</v>
      </c>
      <c r="B1017" s="149"/>
      <c r="C1017" s="204"/>
      <c r="D1017" s="111"/>
      <c r="E1017" s="149"/>
      <c r="F1017" s="149"/>
      <c r="G1017" s="111"/>
      <c r="H1017" s="149"/>
      <c r="I1017" s="149"/>
      <c r="J1017" s="149"/>
      <c r="K1017" s="111"/>
      <c r="L1017" s="149"/>
      <c r="M1017" s="149"/>
      <c r="N1017" s="149"/>
      <c r="O1017" s="111"/>
      <c r="P1017" s="149"/>
      <c r="Q1017" s="149"/>
      <c r="R1017" s="149"/>
      <c r="S1017" s="111"/>
      <c r="T1017" s="149"/>
      <c r="U1017" s="149"/>
      <c r="W1017" s="91"/>
      <c r="X1017" s="91"/>
      <c r="Y1017" s="91"/>
      <c r="Z1017" s="44"/>
      <c r="AA1017" s="44"/>
      <c r="AB1017" s="44"/>
      <c r="AC1017" s="44"/>
      <c r="AD1017" s="44"/>
      <c r="AE1017" s="44"/>
      <c r="AF1017" s="44"/>
      <c r="AG1017" s="44"/>
      <c r="AH1017" s="44"/>
      <c r="AI1017" s="44"/>
      <c r="AJ1017" s="44"/>
      <c r="AK1017" s="44"/>
      <c r="AL1017" s="44"/>
      <c r="AM1017" s="44"/>
      <c r="AN1017" s="44"/>
      <c r="AO1017" s="44"/>
      <c r="AP1017" s="44"/>
    </row>
    <row r="1018" spans="1:42" ht="16.5" hidden="1" thickTop="1" x14ac:dyDescent="0.25">
      <c r="A1018" s="206" t="s">
        <v>213</v>
      </c>
      <c r="B1018" s="149"/>
      <c r="C1018" s="204">
        <v>106.57575757575761</v>
      </c>
      <c r="D1018" s="226">
        <v>1443</v>
      </c>
      <c r="E1018" s="223"/>
      <c r="F1018" s="111">
        <f>ROUND(D1018*C1018,0)</f>
        <v>153789</v>
      </c>
      <c r="G1018" s="226">
        <f>G997</f>
        <v>1477</v>
      </c>
      <c r="H1018" s="223"/>
      <c r="I1018" s="111">
        <f>ROUND(G1018*$C1018,0)</f>
        <v>157412</v>
      </c>
      <c r="J1018" s="111"/>
      <c r="K1018" s="226">
        <f>K997</f>
        <v>1443</v>
      </c>
      <c r="L1018" s="223"/>
      <c r="M1018" s="111">
        <f>ROUND(K1018*$C1018,0)</f>
        <v>153789</v>
      </c>
      <c r="N1018" s="111"/>
      <c r="O1018" s="226" t="str">
        <f>O997</f>
        <v xml:space="preserve"> </v>
      </c>
      <c r="P1018" s="223"/>
      <c r="Q1018" s="111">
        <f>ROUND(O1018*$C1018,0)</f>
        <v>0</v>
      </c>
      <c r="R1018" s="111"/>
      <c r="S1018" s="226" t="str">
        <f>S997</f>
        <v xml:space="preserve"> </v>
      </c>
      <c r="T1018" s="223"/>
      <c r="U1018" s="111">
        <f>ROUND(S1018*$C1018,0)</f>
        <v>0</v>
      </c>
      <c r="V1018" s="44"/>
      <c r="W1018" s="91"/>
      <c r="X1018" s="91"/>
      <c r="Y1018" s="91"/>
      <c r="Z1018" s="44"/>
      <c r="AA1018" s="44"/>
      <c r="AB1018" s="44"/>
      <c r="AC1018" s="44"/>
      <c r="AD1018" s="44"/>
      <c r="AE1018" s="44"/>
      <c r="AF1018" s="44"/>
      <c r="AG1018" s="44"/>
      <c r="AH1018" s="44"/>
      <c r="AI1018" s="44"/>
      <c r="AJ1018" s="44"/>
      <c r="AK1018" s="44"/>
      <c r="AL1018" s="44"/>
      <c r="AM1018" s="44"/>
      <c r="AN1018" s="44"/>
      <c r="AO1018" s="44"/>
      <c r="AP1018" s="44"/>
    </row>
    <row r="1019" spans="1:42" ht="16.5" hidden="1" thickTop="1" x14ac:dyDescent="0.25">
      <c r="A1019" s="206" t="s">
        <v>214</v>
      </c>
      <c r="B1019" s="149"/>
      <c r="C1019" s="204">
        <v>0</v>
      </c>
      <c r="D1019" s="226">
        <v>1736</v>
      </c>
      <c r="E1019" s="251"/>
      <c r="F1019" s="111">
        <f>ROUND(D1019*C1019,0)</f>
        <v>0</v>
      </c>
      <c r="G1019" s="226">
        <f>G998</f>
        <v>1777</v>
      </c>
      <c r="H1019" s="251"/>
      <c r="I1019" s="111">
        <f>ROUND(G1019*$C1019,0)</f>
        <v>0</v>
      </c>
      <c r="J1019" s="111"/>
      <c r="K1019" s="226">
        <f>K998</f>
        <v>1736</v>
      </c>
      <c r="L1019" s="251"/>
      <c r="M1019" s="111">
        <f>ROUND(K1019*$C1019,0)</f>
        <v>0</v>
      </c>
      <c r="N1019" s="111"/>
      <c r="O1019" s="226" t="str">
        <f>O998</f>
        <v xml:space="preserve"> </v>
      </c>
      <c r="P1019" s="251"/>
      <c r="Q1019" s="111">
        <f>ROUND(O1019*$C1019,0)</f>
        <v>0</v>
      </c>
      <c r="R1019" s="111"/>
      <c r="S1019" s="226" t="str">
        <f>S998</f>
        <v xml:space="preserve"> </v>
      </c>
      <c r="T1019" s="251"/>
      <c r="U1019" s="111">
        <f>ROUND(S1019*$C1019,0)</f>
        <v>0</v>
      </c>
      <c r="V1019" s="44"/>
      <c r="W1019" s="91"/>
      <c r="X1019" s="91"/>
      <c r="Y1019" s="91"/>
      <c r="Z1019" s="44"/>
      <c r="AA1019" s="44"/>
      <c r="AB1019" s="44"/>
      <c r="AC1019" s="44"/>
      <c r="AD1019" s="44"/>
      <c r="AE1019" s="44"/>
      <c r="AF1019" s="44"/>
      <c r="AG1019" s="44"/>
      <c r="AH1019" s="44"/>
      <c r="AI1019" s="44"/>
      <c r="AJ1019" s="44"/>
      <c r="AK1019" s="44"/>
      <c r="AL1019" s="44"/>
      <c r="AM1019" s="44"/>
      <c r="AN1019" s="44"/>
      <c r="AO1019" s="44"/>
      <c r="AP1019" s="44"/>
    </row>
    <row r="1020" spans="1:42" ht="16.5" hidden="1" thickTop="1" x14ac:dyDescent="0.25">
      <c r="A1020" s="206" t="s">
        <v>128</v>
      </c>
      <c r="B1020" s="149"/>
      <c r="C1020" s="204">
        <f>SUM(C1018:C1019)</f>
        <v>106.57575757575761</v>
      </c>
      <c r="D1020" s="226"/>
      <c r="E1020" s="223"/>
      <c r="F1020" s="111" t="s">
        <v>0</v>
      </c>
      <c r="G1020" s="226" t="s">
        <v>0</v>
      </c>
      <c r="H1020" s="223"/>
      <c r="I1020" s="111" t="s">
        <v>0</v>
      </c>
      <c r="J1020" s="111"/>
      <c r="K1020" s="226" t="s">
        <v>0</v>
      </c>
      <c r="L1020" s="223"/>
      <c r="M1020" s="111" t="s">
        <v>0</v>
      </c>
      <c r="N1020" s="111"/>
      <c r="O1020" s="226" t="s">
        <v>0</v>
      </c>
      <c r="P1020" s="223"/>
      <c r="Q1020" s="111" t="s">
        <v>0</v>
      </c>
      <c r="R1020" s="111"/>
      <c r="S1020" s="226" t="s">
        <v>0</v>
      </c>
      <c r="T1020" s="223"/>
      <c r="U1020" s="111" t="s">
        <v>0</v>
      </c>
      <c r="V1020" s="44"/>
      <c r="W1020" s="91"/>
      <c r="X1020" s="91"/>
      <c r="Y1020" s="91"/>
      <c r="Z1020" s="44"/>
      <c r="AA1020" s="44"/>
      <c r="AB1020" s="44"/>
      <c r="AC1020" s="44"/>
      <c r="AD1020" s="44"/>
      <c r="AE1020" s="44"/>
      <c r="AF1020" s="44"/>
      <c r="AG1020" s="44"/>
      <c r="AH1020" s="44"/>
      <c r="AI1020" s="44"/>
      <c r="AJ1020" s="44"/>
      <c r="AK1020" s="44"/>
      <c r="AL1020" s="44"/>
      <c r="AM1020" s="44"/>
      <c r="AN1020" s="44"/>
      <c r="AO1020" s="44"/>
      <c r="AP1020" s="44"/>
    </row>
    <row r="1021" spans="1:42" ht="16.5" hidden="1" thickTop="1" x14ac:dyDescent="0.25">
      <c r="A1021" s="206" t="s">
        <v>215</v>
      </c>
      <c r="B1021" s="149"/>
      <c r="C1021" s="204">
        <v>201387.96551724101</v>
      </c>
      <c r="D1021" s="226">
        <v>0.56999999999999995</v>
      </c>
      <c r="E1021" s="223"/>
      <c r="F1021" s="111">
        <f>ROUND(D1021*C1021,0)</f>
        <v>114791</v>
      </c>
      <c r="G1021" s="226">
        <f>G1000</f>
        <v>0.57999999999999996</v>
      </c>
      <c r="H1021" s="223"/>
      <c r="I1021" s="111">
        <f>ROUND(G1021*$C1021,0)</f>
        <v>116805</v>
      </c>
      <c r="J1021" s="111"/>
      <c r="K1021" s="226">
        <f>K1000</f>
        <v>0.56999999999999995</v>
      </c>
      <c r="L1021" s="223"/>
      <c r="M1021" s="111">
        <f>ROUND(K1021*$C1021,0)</f>
        <v>114791</v>
      </c>
      <c r="N1021" s="111"/>
      <c r="O1021" s="226" t="str">
        <f>O1000</f>
        <v xml:space="preserve"> </v>
      </c>
      <c r="P1021" s="223"/>
      <c r="Q1021" s="111">
        <f>ROUND(O1021*$C1021,0)</f>
        <v>0</v>
      </c>
      <c r="R1021" s="111"/>
      <c r="S1021" s="226" t="str">
        <f>S1000</f>
        <v xml:space="preserve"> </v>
      </c>
      <c r="T1021" s="223"/>
      <c r="U1021" s="111">
        <f>ROUND(S1021*$C1021,0)</f>
        <v>0</v>
      </c>
      <c r="V1021" s="199" t="s">
        <v>0</v>
      </c>
      <c r="W1021" s="91"/>
      <c r="X1021" s="91" t="s">
        <v>0</v>
      </c>
      <c r="Y1021" s="91"/>
      <c r="Z1021" s="44"/>
      <c r="AA1021" s="44"/>
      <c r="AB1021" s="44"/>
      <c r="AC1021" s="44"/>
      <c r="AD1021" s="44"/>
      <c r="AE1021" s="44"/>
      <c r="AF1021" s="44"/>
      <c r="AG1021" s="44"/>
      <c r="AH1021" s="44"/>
      <c r="AI1021" s="44"/>
      <c r="AJ1021" s="44"/>
      <c r="AK1021" s="44"/>
      <c r="AL1021" s="44"/>
      <c r="AM1021" s="44"/>
      <c r="AN1021" s="44"/>
      <c r="AO1021" s="44"/>
      <c r="AP1021" s="44"/>
    </row>
    <row r="1022" spans="1:42" ht="16.5" hidden="1" thickTop="1" x14ac:dyDescent="0.25">
      <c r="A1022" s="206" t="s">
        <v>216</v>
      </c>
      <c r="B1022" s="149"/>
      <c r="C1022" s="204">
        <v>0</v>
      </c>
      <c r="D1022" s="226">
        <v>0.46</v>
      </c>
      <c r="E1022" s="223"/>
      <c r="F1022" s="111">
        <f>ROUND(D1022*C1022,0)</f>
        <v>0</v>
      </c>
      <c r="G1022" s="226">
        <f>G1001</f>
        <v>0.47</v>
      </c>
      <c r="H1022" s="223"/>
      <c r="I1022" s="111">
        <f>ROUND(G1022*$C1022,0)</f>
        <v>0</v>
      </c>
      <c r="J1022" s="111"/>
      <c r="K1022" s="226">
        <f>K1001</f>
        <v>0.46</v>
      </c>
      <c r="L1022" s="223"/>
      <c r="M1022" s="111">
        <f>ROUND(K1022*$C1022,0)</f>
        <v>0</v>
      </c>
      <c r="N1022" s="111"/>
      <c r="O1022" s="226" t="str">
        <f>O1001</f>
        <v xml:space="preserve"> </v>
      </c>
      <c r="P1022" s="223"/>
      <c r="Q1022" s="111">
        <f>ROUND(O1022*$C1022,0)</f>
        <v>0</v>
      </c>
      <c r="R1022" s="111"/>
      <c r="S1022" s="226" t="str">
        <f>S1001</f>
        <v xml:space="preserve"> </v>
      </c>
      <c r="T1022" s="223"/>
      <c r="U1022" s="111">
        <f>ROUND(S1022*$C1022,0)</f>
        <v>0</v>
      </c>
      <c r="V1022" s="44"/>
      <c r="W1022" s="91"/>
      <c r="X1022" s="91"/>
      <c r="Y1022" s="91"/>
      <c r="Z1022" s="44"/>
      <c r="AA1022" s="44"/>
      <c r="AB1022" s="44"/>
      <c r="AC1022" s="44"/>
      <c r="AD1022" s="44"/>
      <c r="AE1022" s="44"/>
      <c r="AF1022" s="44"/>
      <c r="AG1022" s="44"/>
      <c r="AH1022" s="44"/>
      <c r="AI1022" s="44"/>
      <c r="AJ1022" s="44"/>
      <c r="AK1022" s="44"/>
      <c r="AL1022" s="44"/>
      <c r="AM1022" s="44"/>
      <c r="AN1022" s="44"/>
      <c r="AO1022" s="44"/>
      <c r="AP1022" s="44"/>
    </row>
    <row r="1023" spans="1:42" ht="16.5" hidden="1" thickTop="1" x14ac:dyDescent="0.25">
      <c r="A1023" s="134" t="s">
        <v>142</v>
      </c>
      <c r="B1023" s="149"/>
      <c r="C1023" s="204">
        <v>162363.62068965501</v>
      </c>
      <c r="D1023" s="226">
        <v>7.79</v>
      </c>
      <c r="E1023" s="223"/>
      <c r="F1023" s="111">
        <f>ROUND(D1023*C1023,0)</f>
        <v>1264813</v>
      </c>
      <c r="G1023" s="226">
        <f>G1002</f>
        <v>7.9799999999999995</v>
      </c>
      <c r="H1023" s="223"/>
      <c r="I1023" s="111">
        <f>ROUND(G1023*$C1023,0)</f>
        <v>1295662</v>
      </c>
      <c r="J1023" s="111"/>
      <c r="K1023" s="226" t="e">
        <f>K1002</f>
        <v>#DIV/0!</v>
      </c>
      <c r="L1023" s="223"/>
      <c r="M1023" s="111" t="e">
        <f>ROUND(K1023*$C1023,0)</f>
        <v>#DIV/0!</v>
      </c>
      <c r="N1023" s="111"/>
      <c r="O1023" s="226" t="e">
        <f>O1002</f>
        <v>#DIV/0!</v>
      </c>
      <c r="P1023" s="223"/>
      <c r="Q1023" s="111" t="e">
        <f>ROUND(O1023*$C1023,0)</f>
        <v>#DIV/0!</v>
      </c>
      <c r="R1023" s="111"/>
      <c r="S1023" s="226" t="e">
        <f>S1002</f>
        <v>#DIV/0!</v>
      </c>
      <c r="T1023" s="223"/>
      <c r="U1023" s="111" t="e">
        <f>ROUND(S1023*$C1023,0)</f>
        <v>#DIV/0!</v>
      </c>
      <c r="V1023" s="44"/>
      <c r="W1023" s="91"/>
      <c r="X1023" s="91"/>
      <c r="Y1023" s="91"/>
      <c r="Z1023" s="44"/>
      <c r="AA1023" s="44"/>
      <c r="AB1023" s="44"/>
      <c r="AC1023" s="44"/>
      <c r="AD1023" s="44"/>
      <c r="AE1023" s="44"/>
      <c r="AF1023" s="44"/>
      <c r="AG1023" s="44"/>
      <c r="AH1023" s="44"/>
      <c r="AI1023" s="44"/>
      <c r="AJ1023" s="44"/>
      <c r="AK1023" s="44"/>
      <c r="AL1023" s="44"/>
      <c r="AM1023" s="44"/>
      <c r="AN1023" s="44"/>
      <c r="AO1023" s="44"/>
      <c r="AP1023" s="44"/>
    </row>
    <row r="1024" spans="1:42" ht="16.5" hidden="1" thickTop="1" x14ac:dyDescent="0.25">
      <c r="A1024" s="206" t="s">
        <v>164</v>
      </c>
      <c r="B1024" s="149"/>
      <c r="C1024" s="204"/>
      <c r="D1024" s="226"/>
      <c r="E1024" s="223"/>
      <c r="F1024" s="111"/>
      <c r="G1024" s="226" t="s">
        <v>0</v>
      </c>
      <c r="H1024" s="223"/>
      <c r="I1024" s="111"/>
      <c r="J1024" s="111"/>
      <c r="K1024" s="226" t="s">
        <v>0</v>
      </c>
      <c r="L1024" s="223"/>
      <c r="M1024" s="111"/>
      <c r="N1024" s="111"/>
      <c r="O1024" s="226" t="s">
        <v>0</v>
      </c>
      <c r="P1024" s="223"/>
      <c r="Q1024" s="111"/>
      <c r="R1024" s="111"/>
      <c r="S1024" s="226" t="s">
        <v>0</v>
      </c>
      <c r="T1024" s="223"/>
      <c r="U1024" s="111"/>
      <c r="V1024" s="44"/>
      <c r="W1024" s="91"/>
      <c r="X1024" s="91"/>
      <c r="Y1024" s="91"/>
      <c r="Z1024" s="44"/>
      <c r="AA1024" s="44"/>
      <c r="AB1024" s="44"/>
      <c r="AC1024" s="44"/>
      <c r="AD1024" s="44"/>
      <c r="AE1024" s="44"/>
      <c r="AF1024" s="44"/>
      <c r="AG1024" s="44"/>
      <c r="AH1024" s="44"/>
      <c r="AI1024" s="44"/>
      <c r="AJ1024" s="44"/>
      <c r="AK1024" s="44"/>
      <c r="AL1024" s="44"/>
      <c r="AM1024" s="44"/>
      <c r="AN1024" s="44"/>
      <c r="AO1024" s="44"/>
      <c r="AP1024" s="44"/>
    </row>
    <row r="1025" spans="1:44" ht="16.5" hidden="1" thickTop="1" x14ac:dyDescent="0.25">
      <c r="A1025" s="206" t="s">
        <v>203</v>
      </c>
      <c r="B1025" s="149"/>
      <c r="C1025" s="204">
        <v>69500087.893373474</v>
      </c>
      <c r="D1025" s="318">
        <v>4.6879999999999997</v>
      </c>
      <c r="E1025" s="223" t="s">
        <v>89</v>
      </c>
      <c r="F1025" s="111">
        <f>ROUND(D1025/100*C1025,0)</f>
        <v>3258164</v>
      </c>
      <c r="G1025" s="318">
        <f>G1004</f>
        <v>4.798</v>
      </c>
      <c r="H1025" s="223" t="s">
        <v>89</v>
      </c>
      <c r="I1025" s="111">
        <f>ROUND(G1025/100*$C1025,0)</f>
        <v>3334614</v>
      </c>
      <c r="J1025" s="111"/>
      <c r="K1025" s="318" t="str">
        <f>K1004</f>
        <v xml:space="preserve"> </v>
      </c>
      <c r="L1025" s="223" t="s">
        <v>89</v>
      </c>
      <c r="M1025" s="111">
        <f>ROUND(K1025/100*$C1025,0)</f>
        <v>0</v>
      </c>
      <c r="N1025" s="111"/>
      <c r="O1025" s="318" t="e">
        <f>O1004</f>
        <v>#DIV/0!</v>
      </c>
      <c r="P1025" s="223" t="s">
        <v>89</v>
      </c>
      <c r="Q1025" s="111" t="e">
        <f>ROUND(O1025/100*$C1025,0)</f>
        <v>#DIV/0!</v>
      </c>
      <c r="R1025" s="111"/>
      <c r="S1025" s="318" t="e">
        <f>S1004</f>
        <v>#DIV/0!</v>
      </c>
      <c r="T1025" s="223" t="s">
        <v>89</v>
      </c>
      <c r="U1025" s="111" t="e">
        <f>ROUND(S1025/100*$C1025,0)</f>
        <v>#DIV/0!</v>
      </c>
      <c r="V1025" s="44"/>
      <c r="W1025" s="91"/>
      <c r="X1025" s="91"/>
      <c r="Y1025" s="91"/>
      <c r="Z1025" s="44"/>
      <c r="AA1025" s="44"/>
      <c r="AB1025" s="44"/>
      <c r="AC1025" s="44"/>
      <c r="AD1025" s="44"/>
      <c r="AE1025" s="44"/>
      <c r="AF1025" s="44"/>
      <c r="AG1025" s="44"/>
      <c r="AH1025" s="44"/>
      <c r="AI1025" s="44"/>
      <c r="AJ1025" s="44"/>
      <c r="AK1025" s="44"/>
      <c r="AL1025" s="44"/>
      <c r="AM1025" s="44"/>
      <c r="AN1025" s="44"/>
      <c r="AO1025" s="44"/>
      <c r="AP1025" s="44"/>
    </row>
    <row r="1026" spans="1:44" ht="16.5" hidden="1" thickTop="1" x14ac:dyDescent="0.25">
      <c r="A1026" s="206" t="s">
        <v>133</v>
      </c>
      <c r="B1026" s="149"/>
      <c r="C1026" s="204">
        <v>14336.3939393939</v>
      </c>
      <c r="D1026" s="226">
        <v>0.55000000000000004</v>
      </c>
      <c r="E1026" s="223"/>
      <c r="F1026" s="111">
        <f>ROUND(D1026*C1026,0)</f>
        <v>7885</v>
      </c>
      <c r="G1026" s="226">
        <f>G1005</f>
        <v>0.56000000000000005</v>
      </c>
      <c r="H1026" s="223"/>
      <c r="I1026" s="111">
        <f>ROUND(G1026*$C1026,0)</f>
        <v>8028</v>
      </c>
      <c r="J1026" s="111"/>
      <c r="K1026" s="226" t="str">
        <f>K1005</f>
        <v xml:space="preserve"> </v>
      </c>
      <c r="L1026" s="223"/>
      <c r="M1026" s="111">
        <f>ROUND(K1026*$C1026,0)</f>
        <v>0</v>
      </c>
      <c r="N1026" s="111"/>
      <c r="O1026" s="226" t="e">
        <f>O1005</f>
        <v>#DIV/0!</v>
      </c>
      <c r="P1026" s="223"/>
      <c r="Q1026" s="111" t="e">
        <f>ROUND(O1026*$C1026,0)</f>
        <v>#DIV/0!</v>
      </c>
      <c r="R1026" s="111"/>
      <c r="S1026" s="226" t="e">
        <f>S1005</f>
        <v>#DIV/0!</v>
      </c>
      <c r="T1026" s="223"/>
      <c r="U1026" s="111" t="e">
        <f>ROUND(S1026*$C1026,0)</f>
        <v>#DIV/0!</v>
      </c>
      <c r="V1026" s="44"/>
      <c r="W1026" s="91"/>
      <c r="X1026" s="91"/>
      <c r="Y1026" s="91"/>
      <c r="Z1026" s="44"/>
      <c r="AA1026" s="44"/>
      <c r="AB1026" s="44"/>
      <c r="AC1026" s="44"/>
      <c r="AD1026" s="44"/>
      <c r="AE1026" s="44"/>
      <c r="AF1026" s="44"/>
      <c r="AG1026" s="44"/>
      <c r="AH1026" s="44"/>
      <c r="AI1026" s="44"/>
      <c r="AJ1026" s="44"/>
      <c r="AK1026" s="44"/>
      <c r="AL1026" s="44"/>
      <c r="AM1026" s="44"/>
      <c r="AN1026" s="44"/>
      <c r="AO1026" s="44"/>
      <c r="AP1026" s="44"/>
    </row>
    <row r="1027" spans="1:44" s="120" customFormat="1" ht="16.5" hidden="1" thickTop="1" x14ac:dyDescent="0.25">
      <c r="A1027" s="119" t="s">
        <v>204</v>
      </c>
      <c r="C1027" s="121">
        <f>C1025</f>
        <v>69500087.893373474</v>
      </c>
      <c r="D1027" s="128">
        <v>0</v>
      </c>
      <c r="E1027" s="122"/>
      <c r="F1027" s="123"/>
      <c r="G1027" s="124">
        <f>G1006</f>
        <v>0</v>
      </c>
      <c r="H1027" s="256" t="s">
        <v>89</v>
      </c>
      <c r="I1027" s="123">
        <f>ROUND(G1027/100*$C1027,0)</f>
        <v>0</v>
      </c>
      <c r="J1027" s="123"/>
      <c r="K1027" s="124" t="str">
        <f>K1006</f>
        <v xml:space="preserve"> </v>
      </c>
      <c r="L1027" s="256" t="s">
        <v>89</v>
      </c>
      <c r="M1027" s="123">
        <f>ROUND(K1027/100*$C1027,0)</f>
        <v>0</v>
      </c>
      <c r="N1027" s="123"/>
      <c r="O1027" s="124" t="str">
        <f>O1006</f>
        <v xml:space="preserve"> </v>
      </c>
      <c r="P1027" s="256" t="s">
        <v>89</v>
      </c>
      <c r="Q1027" s="123">
        <f>ROUND(O1027/100*$C1027,0)</f>
        <v>0</v>
      </c>
      <c r="R1027" s="123"/>
      <c r="S1027" s="124">
        <f>S1006</f>
        <v>0</v>
      </c>
      <c r="T1027" s="256" t="s">
        <v>89</v>
      </c>
      <c r="U1027" s="123">
        <f>ROUND(S1027/100*$C1027,0)</f>
        <v>0</v>
      </c>
      <c r="W1027" s="112"/>
      <c r="Z1027" s="127"/>
      <c r="AA1027" s="127"/>
      <c r="AF1027" s="122"/>
      <c r="AG1027" s="122"/>
      <c r="AH1027" s="122"/>
      <c r="AI1027" s="122"/>
      <c r="AJ1027" s="122"/>
      <c r="AK1027" s="122"/>
      <c r="AL1027" s="122"/>
      <c r="AM1027" s="122"/>
      <c r="AN1027" s="122"/>
      <c r="AO1027" s="122"/>
      <c r="AP1027" s="122"/>
      <c r="AR1027" s="126"/>
    </row>
    <row r="1028" spans="1:44" ht="16.5" hidden="1" thickTop="1" x14ac:dyDescent="0.25">
      <c r="A1028" s="149" t="s">
        <v>114</v>
      </c>
      <c r="B1028" s="149"/>
      <c r="C1028" s="204">
        <f>C1025</f>
        <v>69500087.893373474</v>
      </c>
      <c r="D1028" s="212"/>
      <c r="E1028" s="149"/>
      <c r="F1028" s="111">
        <f>SUM(F1018:F1026)</f>
        <v>4799442</v>
      </c>
      <c r="G1028" s="212"/>
      <c r="H1028" s="149"/>
      <c r="I1028" s="111">
        <f>SUM(I1018:I1027)</f>
        <v>4912521</v>
      </c>
      <c r="J1028" s="111"/>
      <c r="K1028" s="212"/>
      <c r="L1028" s="149"/>
      <c r="M1028" s="111" t="e">
        <f>SUM(M1018:M1027)</f>
        <v>#DIV/0!</v>
      </c>
      <c r="N1028" s="111"/>
      <c r="O1028" s="212"/>
      <c r="P1028" s="149"/>
      <c r="Q1028" s="111" t="e">
        <f>SUM(Q1018:Q1027)</f>
        <v>#DIV/0!</v>
      </c>
      <c r="R1028" s="111"/>
      <c r="S1028" s="212"/>
      <c r="T1028" s="149"/>
      <c r="U1028" s="111" t="e">
        <f>SUM(U1018:U1027)</f>
        <v>#DIV/0!</v>
      </c>
      <c r="V1028" s="44"/>
      <c r="W1028" s="91"/>
      <c r="X1028" s="91"/>
      <c r="Y1028" s="91"/>
      <c r="Z1028" s="44"/>
      <c r="AA1028" s="44"/>
      <c r="AB1028" s="44"/>
      <c r="AC1028" s="44"/>
      <c r="AD1028" s="44"/>
      <c r="AE1028" s="44"/>
      <c r="AF1028" s="44"/>
      <c r="AG1028" s="44"/>
      <c r="AH1028" s="44"/>
      <c r="AI1028" s="44"/>
      <c r="AJ1028" s="44"/>
      <c r="AK1028" s="44"/>
      <c r="AL1028" s="44"/>
      <c r="AM1028" s="44"/>
      <c r="AN1028" s="44"/>
      <c r="AO1028" s="44"/>
      <c r="AP1028" s="44"/>
    </row>
    <row r="1029" spans="1:44" ht="16.5" hidden="1" thickTop="1" x14ac:dyDescent="0.25">
      <c r="A1029" s="149" t="s">
        <v>92</v>
      </c>
      <c r="B1029" s="149"/>
      <c r="C1029" s="204">
        <f>C1028/($C$970+$C$1028)*$C$1065</f>
        <v>490842.11068979814</v>
      </c>
      <c r="D1029" s="134"/>
      <c r="E1029" s="134"/>
      <c r="F1029" s="230">
        <f>F1028/($F$970+$F$1028)*$F$1065</f>
        <v>37420.908455534263</v>
      </c>
      <c r="G1029" s="134"/>
      <c r="H1029" s="134"/>
      <c r="I1029" s="230">
        <f>F1029</f>
        <v>37420.908455534263</v>
      </c>
      <c r="J1029" s="207"/>
      <c r="K1029" s="134"/>
      <c r="L1029" s="134"/>
      <c r="M1029" s="230" t="e">
        <f>$I$1029*V1012/(V1012+$W$1012+$X$1012)</f>
        <v>#DIV/0!</v>
      </c>
      <c r="N1029" s="133"/>
      <c r="O1029" s="134"/>
      <c r="P1029" s="134"/>
      <c r="Q1029" s="230" t="e">
        <f>$I$1029*W1012/(V1012+$W$1012+$X$1012)</f>
        <v>#DIV/0!</v>
      </c>
      <c r="R1029" s="133"/>
      <c r="S1029" s="134"/>
      <c r="T1029" s="134"/>
      <c r="U1029" s="230" t="e">
        <f>$I$1029*X1012/(V1012+$W$1012+$X$1012)</f>
        <v>#DIV/0!</v>
      </c>
      <c r="V1029" s="165"/>
      <c r="W1029" s="163"/>
      <c r="X1029" s="91"/>
      <c r="Y1029" s="91"/>
      <c r="Z1029" s="44"/>
      <c r="AA1029" s="44"/>
      <c r="AB1029" s="44"/>
      <c r="AC1029" s="44"/>
      <c r="AD1029" s="44"/>
      <c r="AE1029" s="44"/>
      <c r="AF1029" s="44"/>
      <c r="AG1029" s="44"/>
      <c r="AH1029" s="44"/>
      <c r="AI1029" s="44"/>
      <c r="AJ1029" s="44"/>
      <c r="AK1029" s="44"/>
      <c r="AL1029" s="44"/>
      <c r="AM1029" s="44"/>
      <c r="AN1029" s="44"/>
      <c r="AO1029" s="44"/>
      <c r="AP1029" s="44"/>
    </row>
    <row r="1030" spans="1:44" ht="17.25" hidden="1" thickTop="1" thickBot="1" x14ac:dyDescent="0.3">
      <c r="A1030" s="149" t="s">
        <v>115</v>
      </c>
      <c r="B1030" s="149"/>
      <c r="C1030" s="315">
        <f>SUM(C1028)+C1029</f>
        <v>69990930.004063278</v>
      </c>
      <c r="D1030" s="245"/>
      <c r="E1030" s="232"/>
      <c r="F1030" s="233">
        <f>F1028+F1029</f>
        <v>4836862.9084555339</v>
      </c>
      <c r="G1030" s="245"/>
      <c r="H1030" s="232"/>
      <c r="I1030" s="233">
        <f>I1028+I1029</f>
        <v>4949941.9084555339</v>
      </c>
      <c r="J1030" s="207"/>
      <c r="K1030" s="245"/>
      <c r="L1030" s="232"/>
      <c r="M1030" s="233" t="e">
        <f>M1028+M1029</f>
        <v>#DIV/0!</v>
      </c>
      <c r="N1030" s="233"/>
      <c r="O1030" s="245"/>
      <c r="P1030" s="232"/>
      <c r="Q1030" s="233" t="e">
        <f>Q1028+Q1029</f>
        <v>#DIV/0!</v>
      </c>
      <c r="R1030" s="233"/>
      <c r="S1030" s="245"/>
      <c r="T1030" s="232"/>
      <c r="U1030" s="233" t="e">
        <f>U1028+U1029</f>
        <v>#DIV/0!</v>
      </c>
      <c r="V1030" s="166" t="s">
        <v>0</v>
      </c>
      <c r="W1030" s="167"/>
      <c r="X1030" s="91"/>
      <c r="Y1030" s="91"/>
      <c r="Z1030" s="80" t="s">
        <v>0</v>
      </c>
      <c r="AA1030" s="44"/>
      <c r="AB1030" s="44"/>
      <c r="AC1030" s="44"/>
      <c r="AD1030" s="44"/>
      <c r="AE1030" s="44"/>
      <c r="AF1030" s="44"/>
      <c r="AG1030" s="44"/>
      <c r="AH1030" s="44"/>
      <c r="AI1030" s="44"/>
      <c r="AJ1030" s="44"/>
      <c r="AK1030" s="44"/>
      <c r="AL1030" s="44"/>
      <c r="AM1030" s="44"/>
      <c r="AN1030" s="44"/>
      <c r="AO1030" s="44"/>
      <c r="AP1030" s="44"/>
    </row>
    <row r="1031" spans="1:44" ht="16.5" hidden="1" thickTop="1" x14ac:dyDescent="0.25">
      <c r="A1031" s="149"/>
      <c r="B1031" s="149"/>
      <c r="C1031" s="169"/>
      <c r="D1031" s="226" t="s">
        <v>0</v>
      </c>
      <c r="E1031" s="149"/>
      <c r="F1031" s="111"/>
      <c r="G1031" s="250" t="s">
        <v>0</v>
      </c>
      <c r="H1031" s="149"/>
      <c r="I1031" s="111" t="s">
        <v>0</v>
      </c>
      <c r="J1031" s="111"/>
      <c r="K1031" s="250" t="s">
        <v>0</v>
      </c>
      <c r="L1031" s="149"/>
      <c r="M1031" s="111" t="s">
        <v>0</v>
      </c>
      <c r="N1031" s="111"/>
      <c r="O1031" s="250" t="s">
        <v>0</v>
      </c>
      <c r="P1031" s="149"/>
      <c r="Q1031" s="111" t="s">
        <v>0</v>
      </c>
      <c r="R1031" s="111"/>
      <c r="S1031" s="250" t="s">
        <v>0</v>
      </c>
      <c r="T1031" s="149"/>
      <c r="U1031" s="111" t="s">
        <v>0</v>
      </c>
      <c r="V1031" s="44"/>
      <c r="W1031" s="91"/>
      <c r="X1031" s="91"/>
      <c r="Y1031" s="91"/>
      <c r="Z1031" s="44"/>
      <c r="AA1031" s="44"/>
      <c r="AB1031" s="44"/>
      <c r="AC1031" s="44"/>
      <c r="AD1031" s="44"/>
      <c r="AE1031" s="44"/>
      <c r="AF1031" s="44"/>
      <c r="AG1031" s="44"/>
      <c r="AH1031" s="44"/>
      <c r="AI1031" s="44"/>
      <c r="AJ1031" s="44"/>
      <c r="AK1031" s="44"/>
      <c r="AL1031" s="44"/>
      <c r="AM1031" s="44"/>
      <c r="AN1031" s="44"/>
      <c r="AO1031" s="44"/>
      <c r="AP1031" s="44"/>
    </row>
    <row r="1032" spans="1:44" ht="16.5" hidden="1" thickTop="1" x14ac:dyDescent="0.25">
      <c r="A1032" s="168" t="s">
        <v>217</v>
      </c>
      <c r="B1032" s="149"/>
      <c r="C1032" s="149"/>
      <c r="D1032" s="111"/>
      <c r="E1032" s="149"/>
      <c r="F1032" s="149"/>
      <c r="G1032" s="111"/>
      <c r="H1032" s="149"/>
      <c r="I1032" s="149"/>
      <c r="J1032" s="149"/>
      <c r="K1032" s="111"/>
      <c r="L1032" s="149"/>
      <c r="M1032" s="149"/>
      <c r="N1032" s="149"/>
      <c r="O1032" s="111"/>
      <c r="P1032" s="149"/>
      <c r="Q1032" s="149"/>
      <c r="R1032" s="149"/>
      <c r="S1032" s="111"/>
      <c r="T1032" s="149"/>
      <c r="U1032" s="149"/>
      <c r="V1032" s="44"/>
      <c r="W1032" s="91"/>
      <c r="X1032" s="91"/>
      <c r="Y1032" s="91"/>
      <c r="Z1032" s="44"/>
      <c r="AA1032" s="44"/>
      <c r="AB1032" s="44"/>
      <c r="AC1032" s="44"/>
      <c r="AD1032" s="44"/>
      <c r="AE1032" s="44"/>
      <c r="AF1032" s="44"/>
      <c r="AG1032" s="44"/>
      <c r="AH1032" s="44"/>
      <c r="AI1032" s="44"/>
      <c r="AJ1032" s="44"/>
      <c r="AK1032" s="44"/>
      <c r="AL1032" s="44"/>
      <c r="AM1032" s="44"/>
      <c r="AN1032" s="44"/>
      <c r="AO1032" s="44"/>
      <c r="AP1032" s="44"/>
    </row>
    <row r="1033" spans="1:44" ht="16.5" hidden="1" thickTop="1" x14ac:dyDescent="0.25">
      <c r="A1033" s="134" t="s">
        <v>226</v>
      </c>
      <c r="B1033" s="149"/>
      <c r="C1033" s="149"/>
      <c r="D1033" s="111"/>
      <c r="E1033" s="149"/>
      <c r="F1033" s="149"/>
      <c r="G1033" s="111"/>
      <c r="H1033" s="149"/>
      <c r="I1033" s="149"/>
      <c r="J1033" s="149"/>
      <c r="K1033" s="111"/>
      <c r="L1033" s="149"/>
      <c r="M1033" s="149"/>
      <c r="N1033" s="149"/>
      <c r="O1033" s="111"/>
      <c r="P1033" s="149"/>
      <c r="Q1033" s="149"/>
      <c r="R1033" s="149"/>
      <c r="S1033" s="111"/>
      <c r="T1033" s="149"/>
      <c r="U1033" s="149"/>
      <c r="V1033" s="44"/>
      <c r="W1033" s="91"/>
      <c r="X1033" s="91"/>
      <c r="Y1033" s="91"/>
      <c r="Z1033" s="44"/>
      <c r="AA1033" s="44"/>
      <c r="AB1033" s="44"/>
      <c r="AC1033" s="44"/>
      <c r="AD1033" s="44"/>
      <c r="AE1033" s="44"/>
      <c r="AF1033" s="44"/>
      <c r="AG1033" s="44"/>
      <c r="AH1033" s="44"/>
      <c r="AI1033" s="44"/>
      <c r="AJ1033" s="44"/>
      <c r="AK1033" s="44"/>
      <c r="AL1033" s="44"/>
      <c r="AM1033" s="44"/>
      <c r="AN1033" s="44"/>
      <c r="AO1033" s="44"/>
      <c r="AP1033" s="44"/>
    </row>
    <row r="1034" spans="1:44" ht="16.5" hidden="1" thickTop="1" x14ac:dyDescent="0.25">
      <c r="A1034" s="149" t="s">
        <v>0</v>
      </c>
      <c r="B1034" s="149"/>
      <c r="C1034" s="149"/>
      <c r="D1034" s="111"/>
      <c r="E1034" s="149"/>
      <c r="F1034" s="149"/>
      <c r="G1034" s="111"/>
      <c r="H1034" s="149"/>
      <c r="I1034" s="149"/>
      <c r="J1034" s="149"/>
      <c r="K1034" s="111"/>
      <c r="L1034" s="149"/>
      <c r="M1034" s="149"/>
      <c r="N1034" s="149"/>
      <c r="O1034" s="111"/>
      <c r="P1034" s="149"/>
      <c r="Q1034" s="149"/>
      <c r="R1034" s="149"/>
      <c r="S1034" s="111"/>
      <c r="T1034" s="149"/>
      <c r="U1034" s="149"/>
      <c r="V1034" s="44"/>
      <c r="W1034" s="91"/>
      <c r="X1034" s="91"/>
      <c r="Y1034" s="91"/>
      <c r="Z1034" s="44"/>
      <c r="AA1034" s="44"/>
      <c r="AB1034" s="44"/>
      <c r="AC1034" s="44"/>
      <c r="AD1034" s="44"/>
      <c r="AE1034" s="44"/>
      <c r="AF1034" s="44"/>
      <c r="AG1034" s="44"/>
      <c r="AH1034" s="44"/>
      <c r="AI1034" s="44"/>
      <c r="AJ1034" s="44"/>
      <c r="AK1034" s="44"/>
      <c r="AL1034" s="44"/>
      <c r="AM1034" s="44"/>
      <c r="AN1034" s="44"/>
      <c r="AO1034" s="44"/>
      <c r="AP1034" s="44"/>
    </row>
    <row r="1035" spans="1:44" ht="16.5" hidden="1" thickTop="1" x14ac:dyDescent="0.25">
      <c r="A1035" s="206" t="s">
        <v>127</v>
      </c>
      <c r="B1035" s="149"/>
      <c r="C1035" s="204"/>
      <c r="D1035" s="111"/>
      <c r="E1035" s="149"/>
      <c r="F1035" s="149"/>
      <c r="G1035" s="111"/>
      <c r="H1035" s="149"/>
      <c r="I1035" s="149"/>
      <c r="J1035" s="149"/>
      <c r="K1035" s="111"/>
      <c r="L1035" s="149"/>
      <c r="M1035" s="149"/>
      <c r="N1035" s="149"/>
      <c r="O1035" s="111"/>
      <c r="P1035" s="149"/>
      <c r="Q1035" s="149"/>
      <c r="R1035" s="149"/>
      <c r="S1035" s="111"/>
      <c r="T1035" s="149"/>
      <c r="U1035" s="149"/>
      <c r="W1035" s="91"/>
      <c r="X1035" s="91"/>
      <c r="Y1035" s="91"/>
      <c r="Z1035" s="44"/>
      <c r="AA1035" s="44"/>
      <c r="AB1035" s="44"/>
      <c r="AC1035" s="44"/>
      <c r="AD1035" s="44"/>
      <c r="AE1035" s="44"/>
      <c r="AF1035" s="44"/>
      <c r="AG1035" s="44"/>
      <c r="AH1035" s="44"/>
      <c r="AI1035" s="44"/>
      <c r="AJ1035" s="44"/>
      <c r="AK1035" s="44"/>
      <c r="AL1035" s="44"/>
      <c r="AM1035" s="44"/>
      <c r="AN1035" s="44"/>
      <c r="AO1035" s="44"/>
      <c r="AP1035" s="44"/>
    </row>
    <row r="1036" spans="1:44" ht="16.5" hidden="1" thickTop="1" x14ac:dyDescent="0.25">
      <c r="A1036" s="206" t="s">
        <v>213</v>
      </c>
      <c r="B1036" s="149"/>
      <c r="C1036" s="204">
        <v>23.7575757575758</v>
      </c>
      <c r="D1036" s="226">
        <v>1443</v>
      </c>
      <c r="E1036" s="223"/>
      <c r="F1036" s="111">
        <f>ROUND(D1036*C1036,0)</f>
        <v>34282</v>
      </c>
      <c r="G1036" s="226">
        <f>G997</f>
        <v>1477</v>
      </c>
      <c r="H1036" s="223"/>
      <c r="I1036" s="111">
        <f>ROUND(G1036*$C1036,0)</f>
        <v>35090</v>
      </c>
      <c r="J1036" s="111"/>
      <c r="K1036" s="226">
        <f>K997</f>
        <v>1443</v>
      </c>
      <c r="L1036" s="223"/>
      <c r="M1036" s="111">
        <f>ROUND(K1036*$C1036,0)</f>
        <v>34282</v>
      </c>
      <c r="N1036" s="111"/>
      <c r="O1036" s="226" t="str">
        <f>O997</f>
        <v xml:space="preserve"> </v>
      </c>
      <c r="P1036" s="223"/>
      <c r="Q1036" s="111">
        <f>ROUND(O1036*$C1036,0)</f>
        <v>0</v>
      </c>
      <c r="R1036" s="111"/>
      <c r="S1036" s="226" t="str">
        <f>S997</f>
        <v xml:space="preserve"> </v>
      </c>
      <c r="T1036" s="223"/>
      <c r="U1036" s="111">
        <f>ROUND(S1036*$C1036,0)</f>
        <v>0</v>
      </c>
      <c r="V1036" s="44"/>
      <c r="W1036" s="91"/>
      <c r="X1036" s="91"/>
      <c r="Y1036" s="91"/>
      <c r="Z1036" s="44"/>
      <c r="AA1036" s="44"/>
      <c r="AB1036" s="44"/>
      <c r="AC1036" s="44"/>
      <c r="AD1036" s="44"/>
      <c r="AE1036" s="44"/>
      <c r="AF1036" s="44"/>
      <c r="AG1036" s="44"/>
      <c r="AH1036" s="44"/>
      <c r="AI1036" s="44"/>
      <c r="AJ1036" s="44"/>
      <c r="AK1036" s="44"/>
      <c r="AL1036" s="44"/>
      <c r="AM1036" s="44"/>
      <c r="AN1036" s="44"/>
      <c r="AO1036" s="44"/>
      <c r="AP1036" s="44"/>
    </row>
    <row r="1037" spans="1:44" ht="16.5" hidden="1" thickTop="1" x14ac:dyDescent="0.25">
      <c r="A1037" s="206" t="s">
        <v>214</v>
      </c>
      <c r="B1037" s="149"/>
      <c r="C1037" s="204">
        <v>0</v>
      </c>
      <c r="D1037" s="226">
        <v>1736</v>
      </c>
      <c r="E1037" s="251"/>
      <c r="F1037" s="111">
        <f>ROUND(D1037*C1037,0)</f>
        <v>0</v>
      </c>
      <c r="G1037" s="226">
        <f>G998</f>
        <v>1777</v>
      </c>
      <c r="H1037" s="251"/>
      <c r="I1037" s="111">
        <f>ROUND(G1037*$C1037,0)</f>
        <v>0</v>
      </c>
      <c r="J1037" s="111"/>
      <c r="K1037" s="226">
        <f>K998</f>
        <v>1736</v>
      </c>
      <c r="L1037" s="251"/>
      <c r="M1037" s="111">
        <f>ROUND(K1037*$C1037,0)</f>
        <v>0</v>
      </c>
      <c r="N1037" s="111"/>
      <c r="O1037" s="226" t="str">
        <f>O998</f>
        <v xml:space="preserve"> </v>
      </c>
      <c r="P1037" s="251"/>
      <c r="Q1037" s="111">
        <f>ROUND(O1037*$C1037,0)</f>
        <v>0</v>
      </c>
      <c r="R1037" s="111"/>
      <c r="S1037" s="226" t="str">
        <f>S998</f>
        <v xml:space="preserve"> </v>
      </c>
      <c r="T1037" s="251"/>
      <c r="U1037" s="111">
        <f>ROUND(S1037*$C1037,0)</f>
        <v>0</v>
      </c>
      <c r="V1037" s="44"/>
      <c r="W1037" s="91"/>
      <c r="X1037" s="91"/>
      <c r="Y1037" s="91"/>
      <c r="Z1037" s="44"/>
      <c r="AA1037" s="44"/>
      <c r="AB1037" s="44"/>
      <c r="AC1037" s="44"/>
      <c r="AD1037" s="44"/>
      <c r="AE1037" s="44"/>
      <c r="AF1037" s="44"/>
      <c r="AG1037" s="44"/>
      <c r="AH1037" s="44"/>
      <c r="AI1037" s="44"/>
      <c r="AJ1037" s="44"/>
      <c r="AK1037" s="44"/>
      <c r="AL1037" s="44"/>
      <c r="AM1037" s="44"/>
      <c r="AN1037" s="44"/>
      <c r="AO1037" s="44"/>
      <c r="AP1037" s="44"/>
    </row>
    <row r="1038" spans="1:44" ht="16.5" hidden="1" thickTop="1" x14ac:dyDescent="0.25">
      <c r="A1038" s="206" t="s">
        <v>128</v>
      </c>
      <c r="B1038" s="149"/>
      <c r="C1038" s="204">
        <f>SUM(C1036:C1037)</f>
        <v>23.7575757575758</v>
      </c>
      <c r="D1038" s="226"/>
      <c r="E1038" s="223"/>
      <c r="F1038" s="111" t="s">
        <v>0</v>
      </c>
      <c r="G1038" s="226" t="s">
        <v>0</v>
      </c>
      <c r="H1038" s="223"/>
      <c r="I1038" s="111" t="s">
        <v>0</v>
      </c>
      <c r="J1038" s="111"/>
      <c r="K1038" s="226" t="s">
        <v>0</v>
      </c>
      <c r="L1038" s="223"/>
      <c r="M1038" s="111" t="s">
        <v>0</v>
      </c>
      <c r="N1038" s="111"/>
      <c r="O1038" s="226" t="s">
        <v>0</v>
      </c>
      <c r="P1038" s="223"/>
      <c r="Q1038" s="111" t="s">
        <v>0</v>
      </c>
      <c r="R1038" s="111"/>
      <c r="S1038" s="226" t="s">
        <v>0</v>
      </c>
      <c r="T1038" s="223"/>
      <c r="U1038" s="111" t="s">
        <v>0</v>
      </c>
      <c r="V1038" s="44"/>
      <c r="W1038" s="91"/>
      <c r="X1038" s="91"/>
      <c r="Y1038" s="91"/>
      <c r="Z1038" s="44"/>
      <c r="AA1038" s="44"/>
      <c r="AB1038" s="44"/>
      <c r="AC1038" s="44"/>
      <c r="AD1038" s="44"/>
      <c r="AE1038" s="44"/>
      <c r="AF1038" s="44"/>
      <c r="AG1038" s="44"/>
      <c r="AH1038" s="44"/>
      <c r="AI1038" s="44"/>
      <c r="AJ1038" s="44"/>
      <c r="AK1038" s="44"/>
      <c r="AL1038" s="44"/>
      <c r="AM1038" s="44"/>
      <c r="AN1038" s="44"/>
      <c r="AO1038" s="44"/>
      <c r="AP1038" s="44"/>
    </row>
    <row r="1039" spans="1:44" ht="16.5" hidden="1" thickTop="1" x14ac:dyDescent="0.25">
      <c r="A1039" s="206" t="s">
        <v>215</v>
      </c>
      <c r="B1039" s="149"/>
      <c r="C1039" s="204">
        <v>29539</v>
      </c>
      <c r="D1039" s="226">
        <v>0.56999999999999995</v>
      </c>
      <c r="E1039" s="223"/>
      <c r="F1039" s="111">
        <f>ROUND(D1039*C1039,0)</f>
        <v>16837</v>
      </c>
      <c r="G1039" s="226">
        <f>G1000</f>
        <v>0.57999999999999996</v>
      </c>
      <c r="H1039" s="223"/>
      <c r="I1039" s="111">
        <f>ROUND(G1039*$C1039,0)</f>
        <v>17133</v>
      </c>
      <c r="J1039" s="111"/>
      <c r="K1039" s="226">
        <f>K1000</f>
        <v>0.56999999999999995</v>
      </c>
      <c r="L1039" s="223"/>
      <c r="M1039" s="111">
        <f>ROUND(K1039*$C1039,0)</f>
        <v>16837</v>
      </c>
      <c r="N1039" s="111"/>
      <c r="O1039" s="226" t="str">
        <f>O1000</f>
        <v xml:space="preserve"> </v>
      </c>
      <c r="P1039" s="223"/>
      <c r="Q1039" s="111">
        <f>ROUND(O1039*$C1039,0)</f>
        <v>0</v>
      </c>
      <c r="R1039" s="111"/>
      <c r="S1039" s="226" t="str">
        <f>S1000</f>
        <v xml:space="preserve"> </v>
      </c>
      <c r="T1039" s="223"/>
      <c r="U1039" s="111">
        <f>ROUND(S1039*$C1039,0)</f>
        <v>0</v>
      </c>
      <c r="V1039" s="199" t="s">
        <v>0</v>
      </c>
      <c r="W1039" s="91"/>
      <c r="X1039" s="91" t="s">
        <v>0</v>
      </c>
      <c r="Y1039" s="91"/>
      <c r="Z1039" s="44"/>
      <c r="AA1039" s="44"/>
      <c r="AB1039" s="44"/>
      <c r="AC1039" s="44"/>
      <c r="AD1039" s="44"/>
      <c r="AE1039" s="44"/>
      <c r="AF1039" s="44"/>
      <c r="AG1039" s="44"/>
      <c r="AH1039" s="44"/>
      <c r="AI1039" s="44"/>
      <c r="AJ1039" s="44"/>
      <c r="AK1039" s="44"/>
      <c r="AL1039" s="44"/>
      <c r="AM1039" s="44"/>
      <c r="AN1039" s="44"/>
      <c r="AO1039" s="44"/>
      <c r="AP1039" s="44"/>
    </row>
    <row r="1040" spans="1:44" ht="16.5" hidden="1" thickTop="1" x14ac:dyDescent="0.25">
      <c r="A1040" s="206" t="s">
        <v>216</v>
      </c>
      <c r="B1040" s="149"/>
      <c r="C1040" s="204">
        <v>0</v>
      </c>
      <c r="D1040" s="226">
        <v>0.46</v>
      </c>
      <c r="E1040" s="223"/>
      <c r="F1040" s="111">
        <f>ROUND(D1040*C1040,0)</f>
        <v>0</v>
      </c>
      <c r="G1040" s="226">
        <f>G1001</f>
        <v>0.47</v>
      </c>
      <c r="H1040" s="223"/>
      <c r="I1040" s="111">
        <f>ROUND(G1040*$C1040,0)</f>
        <v>0</v>
      </c>
      <c r="J1040" s="111"/>
      <c r="K1040" s="226">
        <f>K1001</f>
        <v>0.46</v>
      </c>
      <c r="L1040" s="223"/>
      <c r="M1040" s="111">
        <f>ROUND(K1040*$C1040,0)</f>
        <v>0</v>
      </c>
      <c r="N1040" s="111"/>
      <c r="O1040" s="226" t="str">
        <f>O1001</f>
        <v xml:space="preserve"> </v>
      </c>
      <c r="P1040" s="223"/>
      <c r="Q1040" s="111">
        <f>ROUND(O1040*$C1040,0)</f>
        <v>0</v>
      </c>
      <c r="R1040" s="111"/>
      <c r="S1040" s="226" t="str">
        <f>S1001</f>
        <v xml:space="preserve"> </v>
      </c>
      <c r="T1040" s="223"/>
      <c r="U1040" s="111">
        <f>ROUND(S1040*$C1040,0)</f>
        <v>0</v>
      </c>
      <c r="V1040" s="44"/>
      <c r="W1040" s="91"/>
      <c r="X1040" s="91"/>
      <c r="Y1040" s="91"/>
      <c r="Z1040" s="44"/>
      <c r="AA1040" s="44"/>
      <c r="AB1040" s="44"/>
      <c r="AC1040" s="44"/>
      <c r="AD1040" s="44"/>
      <c r="AE1040" s="44"/>
      <c r="AF1040" s="44"/>
      <c r="AG1040" s="44"/>
      <c r="AH1040" s="44"/>
      <c r="AI1040" s="44"/>
      <c r="AJ1040" s="44"/>
      <c r="AK1040" s="44"/>
      <c r="AL1040" s="44"/>
      <c r="AM1040" s="44"/>
      <c r="AN1040" s="44"/>
      <c r="AO1040" s="44"/>
      <c r="AP1040" s="44"/>
    </row>
    <row r="1041" spans="1:44" ht="16.5" hidden="1" thickTop="1" x14ac:dyDescent="0.25">
      <c r="A1041" s="134" t="s">
        <v>142</v>
      </c>
      <c r="B1041" s="149"/>
      <c r="C1041" s="204">
        <v>24659</v>
      </c>
      <c r="D1041" s="226">
        <v>7.79</v>
      </c>
      <c r="E1041" s="223"/>
      <c r="F1041" s="111">
        <f>ROUND(D1041*C1041,0)</f>
        <v>192094</v>
      </c>
      <c r="G1041" s="226">
        <f>G1002</f>
        <v>7.9799999999999995</v>
      </c>
      <c r="H1041" s="223"/>
      <c r="I1041" s="111">
        <f>ROUND(G1041*$C1041,0)</f>
        <v>196779</v>
      </c>
      <c r="J1041" s="111"/>
      <c r="K1041" s="226" t="e">
        <f>K1002</f>
        <v>#DIV/0!</v>
      </c>
      <c r="L1041" s="223"/>
      <c r="M1041" s="111" t="e">
        <f>ROUND(K1041*$C1041,0)</f>
        <v>#DIV/0!</v>
      </c>
      <c r="N1041" s="111"/>
      <c r="O1041" s="226" t="e">
        <f>O1002</f>
        <v>#DIV/0!</v>
      </c>
      <c r="P1041" s="223"/>
      <c r="Q1041" s="111" t="e">
        <f>ROUND(O1041*$C1041,0)</f>
        <v>#DIV/0!</v>
      </c>
      <c r="R1041" s="111"/>
      <c r="S1041" s="226" t="e">
        <f>S1002</f>
        <v>#DIV/0!</v>
      </c>
      <c r="T1041" s="223"/>
      <c r="U1041" s="111" t="e">
        <f>ROUND(S1041*$C1041,0)</f>
        <v>#DIV/0!</v>
      </c>
      <c r="V1041" s="44"/>
      <c r="W1041" s="91"/>
      <c r="X1041" s="91"/>
      <c r="Y1041" s="91"/>
      <c r="Z1041" s="44"/>
      <c r="AA1041" s="44"/>
      <c r="AB1041" s="44"/>
      <c r="AC1041" s="44"/>
      <c r="AD1041" s="44"/>
      <c r="AE1041" s="44"/>
      <c r="AF1041" s="44"/>
      <c r="AG1041" s="44"/>
      <c r="AH1041" s="44"/>
      <c r="AI1041" s="44"/>
      <c r="AJ1041" s="44"/>
      <c r="AK1041" s="44"/>
      <c r="AL1041" s="44"/>
      <c r="AM1041" s="44"/>
      <c r="AN1041" s="44"/>
      <c r="AO1041" s="44"/>
      <c r="AP1041" s="44"/>
    </row>
    <row r="1042" spans="1:44" ht="16.5" hidden="1" thickTop="1" x14ac:dyDescent="0.25">
      <c r="A1042" s="206" t="s">
        <v>164</v>
      </c>
      <c r="B1042" s="149"/>
      <c r="C1042" s="204"/>
      <c r="D1042" s="226"/>
      <c r="E1042" s="223"/>
      <c r="F1042" s="111"/>
      <c r="G1042" s="226" t="s">
        <v>0</v>
      </c>
      <c r="H1042" s="223"/>
      <c r="I1042" s="111"/>
      <c r="J1042" s="111"/>
      <c r="K1042" s="226" t="s">
        <v>0</v>
      </c>
      <c r="L1042" s="223"/>
      <c r="M1042" s="111"/>
      <c r="N1042" s="111"/>
      <c r="O1042" s="226" t="s">
        <v>0</v>
      </c>
      <c r="P1042" s="223"/>
      <c r="Q1042" s="111"/>
      <c r="R1042" s="111"/>
      <c r="S1042" s="226" t="s">
        <v>0</v>
      </c>
      <c r="T1042" s="223"/>
      <c r="U1042" s="111"/>
      <c r="V1042" s="44"/>
      <c r="W1042" s="91"/>
      <c r="X1042" s="91"/>
      <c r="Y1042" s="91"/>
      <c r="Z1042" s="44"/>
      <c r="AA1042" s="44"/>
      <c r="AB1042" s="44"/>
      <c r="AC1042" s="44"/>
      <c r="AD1042" s="44"/>
      <c r="AE1042" s="44"/>
      <c r="AF1042" s="44"/>
      <c r="AG1042" s="44"/>
      <c r="AH1042" s="44"/>
      <c r="AI1042" s="44"/>
      <c r="AJ1042" s="44"/>
      <c r="AK1042" s="44"/>
      <c r="AL1042" s="44"/>
      <c r="AM1042" s="44"/>
      <c r="AN1042" s="44"/>
      <c r="AO1042" s="44"/>
      <c r="AP1042" s="44"/>
    </row>
    <row r="1043" spans="1:44" ht="16.5" hidden="1" thickTop="1" x14ac:dyDescent="0.25">
      <c r="A1043" s="206" t="s">
        <v>203</v>
      </c>
      <c r="B1043" s="149"/>
      <c r="C1043" s="204">
        <v>6796800</v>
      </c>
      <c r="D1043" s="318">
        <v>4.6879999999999997</v>
      </c>
      <c r="E1043" s="223" t="s">
        <v>89</v>
      </c>
      <c r="F1043" s="111">
        <f>ROUND(D1043/100*C1043,0)</f>
        <v>318634</v>
      </c>
      <c r="G1043" s="318">
        <f>G1004</f>
        <v>4.798</v>
      </c>
      <c r="H1043" s="223" t="s">
        <v>89</v>
      </c>
      <c r="I1043" s="111">
        <f>ROUND(G1043/100*$C1043,0)</f>
        <v>326110</v>
      </c>
      <c r="J1043" s="111"/>
      <c r="K1043" s="318" t="str">
        <f>K1004</f>
        <v xml:space="preserve"> </v>
      </c>
      <c r="L1043" s="223" t="s">
        <v>89</v>
      </c>
      <c r="M1043" s="111">
        <f>ROUND(K1043/100*$C1043,0)</f>
        <v>0</v>
      </c>
      <c r="N1043" s="111"/>
      <c r="O1043" s="318" t="e">
        <f>O1004</f>
        <v>#DIV/0!</v>
      </c>
      <c r="P1043" s="223" t="s">
        <v>89</v>
      </c>
      <c r="Q1043" s="111" t="e">
        <f>ROUND(O1043/100*$C1043,0)</f>
        <v>#DIV/0!</v>
      </c>
      <c r="R1043" s="111"/>
      <c r="S1043" s="318" t="e">
        <f>S1004</f>
        <v>#DIV/0!</v>
      </c>
      <c r="T1043" s="223" t="s">
        <v>89</v>
      </c>
      <c r="U1043" s="111" t="e">
        <f>ROUND(S1043/100*$C1043,0)</f>
        <v>#DIV/0!</v>
      </c>
      <c r="V1043" s="44"/>
      <c r="W1043" s="91"/>
      <c r="X1043" s="91"/>
      <c r="Y1043" s="91"/>
      <c r="Z1043" s="44"/>
      <c r="AA1043" s="44"/>
      <c r="AB1043" s="44"/>
      <c r="AC1043" s="44"/>
      <c r="AD1043" s="44"/>
      <c r="AE1043" s="44"/>
      <c r="AF1043" s="44"/>
      <c r="AG1043" s="44"/>
      <c r="AH1043" s="44"/>
      <c r="AI1043" s="44"/>
      <c r="AJ1043" s="44"/>
      <c r="AK1043" s="44"/>
      <c r="AL1043" s="44"/>
      <c r="AM1043" s="44"/>
      <c r="AN1043" s="44"/>
      <c r="AO1043" s="44"/>
      <c r="AP1043" s="44"/>
    </row>
    <row r="1044" spans="1:44" ht="16.5" hidden="1" thickTop="1" x14ac:dyDescent="0.25">
      <c r="A1044" s="206" t="s">
        <v>133</v>
      </c>
      <c r="B1044" s="149"/>
      <c r="C1044" s="204">
        <v>1651</v>
      </c>
      <c r="D1044" s="226">
        <v>0.55000000000000004</v>
      </c>
      <c r="E1044" s="223"/>
      <c r="F1044" s="111">
        <f>ROUND(D1044*C1044,0)</f>
        <v>908</v>
      </c>
      <c r="G1044" s="226">
        <f>G1005</f>
        <v>0.56000000000000005</v>
      </c>
      <c r="H1044" s="223"/>
      <c r="I1044" s="111">
        <f>ROUND(G1044*$C1044,0)</f>
        <v>925</v>
      </c>
      <c r="J1044" s="111"/>
      <c r="K1044" s="226" t="str">
        <f>K1005</f>
        <v xml:space="preserve"> </v>
      </c>
      <c r="L1044" s="223"/>
      <c r="M1044" s="111">
        <f>ROUND(K1044*$C1044,0)</f>
        <v>0</v>
      </c>
      <c r="N1044" s="111"/>
      <c r="O1044" s="226" t="e">
        <f>O1005</f>
        <v>#DIV/0!</v>
      </c>
      <c r="P1044" s="223"/>
      <c r="Q1044" s="111" t="e">
        <f>ROUND(O1044*$C1044,0)</f>
        <v>#DIV/0!</v>
      </c>
      <c r="R1044" s="111"/>
      <c r="S1044" s="226" t="e">
        <f>S1005</f>
        <v>#DIV/0!</v>
      </c>
      <c r="T1044" s="223"/>
      <c r="U1044" s="111" t="e">
        <f>ROUND(S1044*$C1044,0)</f>
        <v>#DIV/0!</v>
      </c>
      <c r="V1044" s="44"/>
      <c r="W1044" s="91"/>
      <c r="X1044" s="91"/>
      <c r="Y1044" s="91"/>
      <c r="Z1044" s="44"/>
      <c r="AA1044" s="44"/>
      <c r="AB1044" s="44"/>
      <c r="AC1044" s="44"/>
      <c r="AD1044" s="44"/>
      <c r="AE1044" s="44"/>
      <c r="AF1044" s="44"/>
      <c r="AG1044" s="44"/>
      <c r="AH1044" s="44"/>
      <c r="AI1044" s="44"/>
      <c r="AJ1044" s="44"/>
      <c r="AK1044" s="44"/>
      <c r="AL1044" s="44"/>
      <c r="AM1044" s="44"/>
      <c r="AN1044" s="44"/>
      <c r="AO1044" s="44"/>
      <c r="AP1044" s="44"/>
    </row>
    <row r="1045" spans="1:44" s="120" customFormat="1" ht="16.5" hidden="1" thickTop="1" x14ac:dyDescent="0.25">
      <c r="A1045" s="119" t="s">
        <v>204</v>
      </c>
      <c r="C1045" s="121">
        <f>C1043</f>
        <v>6796800</v>
      </c>
      <c r="D1045" s="128">
        <v>0</v>
      </c>
      <c r="E1045" s="122"/>
      <c r="F1045" s="123"/>
      <c r="G1045" s="124">
        <f>G1006</f>
        <v>0</v>
      </c>
      <c r="H1045" s="256" t="s">
        <v>89</v>
      </c>
      <c r="I1045" s="123">
        <f>ROUND(G1045/100*$C1045,0)</f>
        <v>0</v>
      </c>
      <c r="J1045" s="123"/>
      <c r="K1045" s="124" t="str">
        <f>K1006</f>
        <v xml:space="preserve"> </v>
      </c>
      <c r="L1045" s="256" t="s">
        <v>89</v>
      </c>
      <c r="M1045" s="123">
        <f>ROUND(K1045/100*$C1045,0)</f>
        <v>0</v>
      </c>
      <c r="N1045" s="123"/>
      <c r="O1045" s="124" t="str">
        <f>O1006</f>
        <v xml:space="preserve"> </v>
      </c>
      <c r="P1045" s="256" t="s">
        <v>89</v>
      </c>
      <c r="Q1045" s="123">
        <f>ROUND(O1045/100*$C1045,0)</f>
        <v>0</v>
      </c>
      <c r="R1045" s="123"/>
      <c r="S1045" s="124">
        <f>S1006</f>
        <v>0</v>
      </c>
      <c r="T1045" s="256" t="s">
        <v>89</v>
      </c>
      <c r="U1045" s="123">
        <f>ROUND(S1045/100*$C1045,0)</f>
        <v>0</v>
      </c>
      <c r="W1045" s="112"/>
      <c r="Z1045" s="127"/>
      <c r="AA1045" s="127"/>
      <c r="AF1045" s="122"/>
      <c r="AG1045" s="122"/>
      <c r="AH1045" s="122"/>
      <c r="AI1045" s="122"/>
      <c r="AJ1045" s="122"/>
      <c r="AK1045" s="122"/>
      <c r="AL1045" s="122"/>
      <c r="AM1045" s="122"/>
      <c r="AN1045" s="122"/>
      <c r="AO1045" s="122"/>
      <c r="AP1045" s="122"/>
      <c r="AR1045" s="126"/>
    </row>
    <row r="1046" spans="1:44" ht="16.5" hidden="1" thickTop="1" x14ac:dyDescent="0.25">
      <c r="A1046" s="149" t="s">
        <v>114</v>
      </c>
      <c r="B1046" s="149"/>
      <c r="C1046" s="204">
        <f>C1043</f>
        <v>6796800</v>
      </c>
      <c r="D1046" s="212"/>
      <c r="E1046" s="149"/>
      <c r="F1046" s="111">
        <f>SUM(F1036:F1044)</f>
        <v>562755</v>
      </c>
      <c r="G1046" s="212"/>
      <c r="H1046" s="149"/>
      <c r="I1046" s="111">
        <f>SUM(I1036:I1045)</f>
        <v>576037</v>
      </c>
      <c r="J1046" s="111"/>
      <c r="K1046" s="212"/>
      <c r="L1046" s="149"/>
      <c r="M1046" s="111" t="e">
        <f>SUM(M1036:M1045)</f>
        <v>#DIV/0!</v>
      </c>
      <c r="N1046" s="111"/>
      <c r="O1046" s="212"/>
      <c r="P1046" s="149"/>
      <c r="Q1046" s="111" t="e">
        <f>SUM(Q1036:Q1045)</f>
        <v>#DIV/0!</v>
      </c>
      <c r="R1046" s="111"/>
      <c r="S1046" s="212"/>
      <c r="T1046" s="149"/>
      <c r="U1046" s="111" t="e">
        <f>SUM(U1036:U1045)</f>
        <v>#DIV/0!</v>
      </c>
      <c r="V1046" s="44"/>
      <c r="W1046" s="91"/>
      <c r="X1046" s="91"/>
      <c r="Y1046" s="91"/>
      <c r="Z1046" s="44"/>
      <c r="AA1046" s="44"/>
      <c r="AB1046" s="44"/>
      <c r="AC1046" s="44"/>
      <c r="AD1046" s="44"/>
      <c r="AE1046" s="44"/>
      <c r="AF1046" s="44"/>
      <c r="AG1046" s="44"/>
      <c r="AH1046" s="44"/>
      <c r="AI1046" s="44"/>
      <c r="AJ1046" s="44"/>
      <c r="AK1046" s="44"/>
      <c r="AL1046" s="44"/>
      <c r="AM1046" s="44"/>
      <c r="AN1046" s="44"/>
      <c r="AO1046" s="44"/>
      <c r="AP1046" s="44"/>
    </row>
    <row r="1047" spans="1:44" ht="16.5" hidden="1" thickTop="1" x14ac:dyDescent="0.25">
      <c r="A1047" s="149" t="s">
        <v>92</v>
      </c>
      <c r="B1047" s="149"/>
      <c r="C1047" s="204">
        <f>C1046/($C$988+$C$1046)*$C$1084</f>
        <v>21132.640958128846</v>
      </c>
      <c r="D1047" s="134"/>
      <c r="E1047" s="134"/>
      <c r="F1047" s="230">
        <f>F1046/($F$988+$F$1046)*$F$1084</f>
        <v>1750.1737111409554</v>
      </c>
      <c r="G1047" s="134"/>
      <c r="H1047" s="134"/>
      <c r="I1047" s="230">
        <f>F1047</f>
        <v>1750.1737111409554</v>
      </c>
      <c r="J1047" s="207"/>
      <c r="K1047" s="134"/>
      <c r="L1047" s="134"/>
      <c r="M1047" s="230" t="e">
        <f>$I$1047*V1012/(V1012+$W$1012+$X$1012)</f>
        <v>#DIV/0!</v>
      </c>
      <c r="N1047" s="133"/>
      <c r="O1047" s="134"/>
      <c r="P1047" s="134"/>
      <c r="Q1047" s="230" t="e">
        <f>$I$1047*W1012/(V1012+$W$1012+$X$1012)</f>
        <v>#DIV/0!</v>
      </c>
      <c r="R1047" s="133"/>
      <c r="S1047" s="134"/>
      <c r="T1047" s="134"/>
      <c r="U1047" s="230" t="e">
        <f>$I$1047*X1012/(V1012+$W$1012+$X$1012)</f>
        <v>#DIV/0!</v>
      </c>
      <c r="V1047" s="165"/>
      <c r="W1047" s="163"/>
      <c r="X1047" s="91"/>
      <c r="Y1047" s="91"/>
      <c r="Z1047" s="44"/>
      <c r="AA1047" s="44"/>
      <c r="AB1047" s="44"/>
      <c r="AC1047" s="44"/>
      <c r="AD1047" s="44"/>
      <c r="AE1047" s="44"/>
      <c r="AF1047" s="44"/>
      <c r="AG1047" s="44"/>
      <c r="AH1047" s="44"/>
      <c r="AI1047" s="44"/>
      <c r="AJ1047" s="44"/>
      <c r="AK1047" s="44"/>
      <c r="AL1047" s="44"/>
      <c r="AM1047" s="44"/>
      <c r="AN1047" s="44"/>
      <c r="AO1047" s="44"/>
      <c r="AP1047" s="44"/>
    </row>
    <row r="1048" spans="1:44" ht="17.25" hidden="1" thickTop="1" thickBot="1" x14ac:dyDescent="0.3">
      <c r="A1048" s="149" t="s">
        <v>115</v>
      </c>
      <c r="B1048" s="149"/>
      <c r="C1048" s="315">
        <f>SUM(C1046)+C1047</f>
        <v>6817932.6409581285</v>
      </c>
      <c r="D1048" s="245"/>
      <c r="E1048" s="232"/>
      <c r="F1048" s="233">
        <f>F1046+F1047</f>
        <v>564505.17371114099</v>
      </c>
      <c r="G1048" s="245"/>
      <c r="H1048" s="232"/>
      <c r="I1048" s="233">
        <f>I1046+I1047</f>
        <v>577787.17371114099</v>
      </c>
      <c r="J1048" s="207"/>
      <c r="K1048" s="245"/>
      <c r="L1048" s="232"/>
      <c r="M1048" s="233" t="e">
        <f>M1046+M1047</f>
        <v>#DIV/0!</v>
      </c>
      <c r="N1048" s="233"/>
      <c r="O1048" s="245"/>
      <c r="P1048" s="232"/>
      <c r="Q1048" s="233" t="e">
        <f>Q1046+Q1047</f>
        <v>#DIV/0!</v>
      </c>
      <c r="R1048" s="233"/>
      <c r="S1048" s="245"/>
      <c r="T1048" s="232"/>
      <c r="U1048" s="233" t="e">
        <f>U1046+U1047</f>
        <v>#DIV/0!</v>
      </c>
      <c r="V1048" s="166" t="s">
        <v>0</v>
      </c>
      <c r="W1048" s="167"/>
      <c r="X1048" s="91"/>
      <c r="Y1048" s="91"/>
      <c r="Z1048" s="80" t="s">
        <v>0</v>
      </c>
      <c r="AA1048" s="44"/>
      <c r="AB1048" s="44"/>
      <c r="AC1048" s="44"/>
      <c r="AD1048" s="44"/>
      <c r="AE1048" s="44"/>
      <c r="AF1048" s="44"/>
      <c r="AG1048" s="44"/>
      <c r="AH1048" s="44"/>
      <c r="AI1048" s="44"/>
      <c r="AJ1048" s="44"/>
      <c r="AK1048" s="44"/>
      <c r="AL1048" s="44"/>
      <c r="AM1048" s="44"/>
      <c r="AN1048" s="44"/>
      <c r="AO1048" s="44"/>
      <c r="AP1048" s="44"/>
    </row>
    <row r="1049" spans="1:44" ht="16.5" hidden="1" thickTop="1" x14ac:dyDescent="0.25">
      <c r="A1049" s="149"/>
      <c r="B1049" s="149"/>
      <c r="C1049" s="169"/>
      <c r="D1049" s="226" t="s">
        <v>0</v>
      </c>
      <c r="E1049" s="149"/>
      <c r="F1049" s="111"/>
      <c r="G1049" s="250" t="s">
        <v>0</v>
      </c>
      <c r="H1049" s="149"/>
      <c r="I1049" s="111" t="s">
        <v>0</v>
      </c>
      <c r="J1049" s="111"/>
      <c r="K1049" s="250" t="s">
        <v>0</v>
      </c>
      <c r="L1049" s="149"/>
      <c r="M1049" s="111" t="s">
        <v>0</v>
      </c>
      <c r="N1049" s="111"/>
      <c r="O1049" s="250" t="s">
        <v>0</v>
      </c>
      <c r="P1049" s="149"/>
      <c r="Q1049" s="111" t="s">
        <v>0</v>
      </c>
      <c r="R1049" s="111"/>
      <c r="S1049" s="250" t="s">
        <v>0</v>
      </c>
      <c r="T1049" s="149"/>
      <c r="U1049" s="111" t="s">
        <v>0</v>
      </c>
      <c r="V1049" s="44"/>
      <c r="W1049" s="91"/>
      <c r="X1049" s="91"/>
      <c r="Y1049" s="91"/>
      <c r="Z1049" s="44"/>
      <c r="AA1049" s="44"/>
      <c r="AB1049" s="44"/>
      <c r="AC1049" s="44"/>
      <c r="AD1049" s="44"/>
      <c r="AE1049" s="44"/>
      <c r="AF1049" s="44"/>
      <c r="AG1049" s="44"/>
      <c r="AH1049" s="44"/>
      <c r="AI1049" s="44"/>
      <c r="AJ1049" s="44"/>
      <c r="AK1049" s="44"/>
      <c r="AL1049" s="44"/>
      <c r="AM1049" s="44"/>
      <c r="AN1049" s="44"/>
      <c r="AO1049" s="44"/>
      <c r="AP1049" s="44"/>
    </row>
    <row r="1050" spans="1:44" ht="16.5" hidden="1" thickTop="1" x14ac:dyDescent="0.25">
      <c r="A1050" s="168" t="s">
        <v>217</v>
      </c>
      <c r="B1050" s="149"/>
      <c r="C1050" s="149"/>
      <c r="D1050" s="111"/>
      <c r="E1050" s="149"/>
      <c r="F1050" s="149"/>
      <c r="G1050" s="111"/>
      <c r="H1050" s="149"/>
      <c r="I1050" s="149"/>
      <c r="J1050" s="149"/>
      <c r="K1050" s="111"/>
      <c r="L1050" s="149"/>
      <c r="M1050" s="149"/>
      <c r="N1050" s="149"/>
      <c r="O1050" s="111"/>
      <c r="P1050" s="149"/>
      <c r="Q1050" s="149"/>
      <c r="R1050" s="149"/>
      <c r="S1050" s="111"/>
      <c r="T1050" s="149"/>
      <c r="U1050" s="149"/>
      <c r="V1050" s="44"/>
      <c r="W1050" s="91"/>
      <c r="X1050" s="91"/>
      <c r="Y1050" s="91"/>
      <c r="Z1050" s="44"/>
      <c r="AA1050" s="44"/>
      <c r="AB1050" s="44"/>
      <c r="AC1050" s="44"/>
      <c r="AD1050" s="44"/>
      <c r="AE1050" s="44"/>
      <c r="AF1050" s="44"/>
      <c r="AG1050" s="44"/>
      <c r="AH1050" s="44"/>
      <c r="AI1050" s="44"/>
      <c r="AJ1050" s="44"/>
      <c r="AK1050" s="44"/>
      <c r="AL1050" s="44"/>
      <c r="AM1050" s="44"/>
      <c r="AN1050" s="44"/>
      <c r="AO1050" s="44"/>
      <c r="AP1050" s="44"/>
    </row>
    <row r="1051" spans="1:44" ht="16.5" hidden="1" thickTop="1" x14ac:dyDescent="0.25">
      <c r="A1051" s="134" t="s">
        <v>227</v>
      </c>
      <c r="B1051" s="149"/>
      <c r="C1051" s="149"/>
      <c r="D1051" s="111"/>
      <c r="E1051" s="149"/>
      <c r="F1051" s="149"/>
      <c r="G1051" s="111"/>
      <c r="H1051" s="149"/>
      <c r="I1051" s="149"/>
      <c r="J1051" s="149"/>
      <c r="K1051" s="111"/>
      <c r="L1051" s="149"/>
      <c r="M1051" s="149"/>
      <c r="N1051" s="149"/>
      <c r="O1051" s="111"/>
      <c r="P1051" s="149"/>
      <c r="Q1051" s="149"/>
      <c r="R1051" s="149"/>
      <c r="S1051" s="111"/>
      <c r="T1051" s="149"/>
      <c r="U1051" s="149"/>
      <c r="V1051" s="44"/>
      <c r="W1051" s="91"/>
      <c r="X1051" s="91"/>
      <c r="Y1051" s="91"/>
      <c r="Z1051" s="44"/>
      <c r="AA1051" s="44"/>
      <c r="AB1051" s="44"/>
      <c r="AC1051" s="44"/>
      <c r="AD1051" s="44"/>
      <c r="AE1051" s="44"/>
      <c r="AF1051" s="44"/>
      <c r="AG1051" s="44"/>
      <c r="AH1051" s="44"/>
      <c r="AI1051" s="44"/>
      <c r="AJ1051" s="44"/>
      <c r="AK1051" s="44"/>
      <c r="AL1051" s="44"/>
      <c r="AM1051" s="44"/>
      <c r="AN1051" s="44"/>
      <c r="AO1051" s="44"/>
      <c r="AP1051" s="44"/>
    </row>
    <row r="1052" spans="1:44" ht="16.5" hidden="1" thickTop="1" x14ac:dyDescent="0.25">
      <c r="A1052" s="206"/>
      <c r="B1052" s="149"/>
      <c r="C1052" s="149"/>
      <c r="D1052" s="111"/>
      <c r="E1052" s="149"/>
      <c r="F1052" s="149"/>
      <c r="G1052" s="111"/>
      <c r="H1052" s="149"/>
      <c r="I1052" s="149"/>
      <c r="J1052" s="149"/>
      <c r="K1052" s="111"/>
      <c r="L1052" s="149"/>
      <c r="M1052" s="149"/>
      <c r="N1052" s="149"/>
      <c r="O1052" s="111"/>
      <c r="P1052" s="149"/>
      <c r="Q1052" s="149"/>
      <c r="R1052" s="149"/>
      <c r="S1052" s="111"/>
      <c r="T1052" s="149"/>
      <c r="U1052" s="149"/>
      <c r="V1052" s="44"/>
      <c r="W1052" s="91"/>
      <c r="X1052" s="91"/>
      <c r="Y1052" s="91"/>
      <c r="Z1052" s="44"/>
      <c r="AA1052" s="44"/>
      <c r="AB1052" s="44"/>
      <c r="AC1052" s="44"/>
      <c r="AD1052" s="44"/>
      <c r="AE1052" s="44"/>
      <c r="AF1052" s="44"/>
      <c r="AG1052" s="44"/>
      <c r="AH1052" s="44"/>
      <c r="AI1052" s="44"/>
      <c r="AJ1052" s="44"/>
      <c r="AK1052" s="44"/>
      <c r="AL1052" s="44"/>
      <c r="AM1052" s="44"/>
      <c r="AN1052" s="44"/>
      <c r="AO1052" s="44"/>
      <c r="AP1052" s="44"/>
    </row>
    <row r="1053" spans="1:44" ht="16.5" hidden="1" thickTop="1" x14ac:dyDescent="0.25">
      <c r="A1053" s="206" t="s">
        <v>127</v>
      </c>
      <c r="B1053" s="149"/>
      <c r="C1053" s="204"/>
      <c r="D1053" s="111"/>
      <c r="E1053" s="149"/>
      <c r="F1053" s="149"/>
      <c r="G1053" s="111"/>
      <c r="H1053" s="149"/>
      <c r="I1053" s="149"/>
      <c r="J1053" s="149"/>
      <c r="K1053" s="111"/>
      <c r="L1053" s="149"/>
      <c r="M1053" s="149"/>
      <c r="N1053" s="149"/>
      <c r="O1053" s="111"/>
      <c r="P1053" s="149"/>
      <c r="Q1053" s="149"/>
      <c r="R1053" s="149"/>
      <c r="S1053" s="111"/>
      <c r="T1053" s="149"/>
      <c r="U1053" s="149"/>
      <c r="V1053" s="44"/>
      <c r="W1053" s="91"/>
      <c r="X1053" s="91"/>
      <c r="Y1053" s="91"/>
      <c r="Z1053" s="44"/>
      <c r="AA1053" s="44"/>
      <c r="AB1053" s="44"/>
      <c r="AC1053" s="44"/>
      <c r="AD1053" s="44"/>
      <c r="AE1053" s="44"/>
      <c r="AF1053" s="44"/>
      <c r="AG1053" s="44"/>
      <c r="AH1053" s="44"/>
      <c r="AI1053" s="44"/>
      <c r="AJ1053" s="44"/>
      <c r="AK1053" s="44"/>
      <c r="AL1053" s="44"/>
      <c r="AM1053" s="44"/>
      <c r="AN1053" s="44"/>
      <c r="AO1053" s="44"/>
      <c r="AP1053" s="44"/>
    </row>
    <row r="1054" spans="1:44" ht="16.5" hidden="1" thickTop="1" x14ac:dyDescent="0.25">
      <c r="A1054" s="206" t="s">
        <v>213</v>
      </c>
      <c r="B1054" s="149"/>
      <c r="C1054" s="204">
        <f t="shared" ref="C1054:C1059" si="150">C1018+C960</f>
        <v>425.27272727272759</v>
      </c>
      <c r="D1054" s="226"/>
      <c r="E1054" s="223"/>
      <c r="F1054" s="111">
        <f>F1018+F960</f>
        <v>603470</v>
      </c>
      <c r="G1054" s="226"/>
      <c r="H1054" s="223"/>
      <c r="I1054" s="111">
        <f>I1018+I960</f>
        <v>616973</v>
      </c>
      <c r="J1054" s="111"/>
      <c r="K1054" s="226"/>
      <c r="L1054" s="223"/>
      <c r="M1054" s="111">
        <f>M1018+M960</f>
        <v>603470</v>
      </c>
      <c r="N1054" s="111"/>
      <c r="O1054" s="226"/>
      <c r="P1054" s="223"/>
      <c r="Q1054" s="111">
        <f>Q1018+Q960</f>
        <v>0</v>
      </c>
      <c r="R1054" s="111"/>
      <c r="S1054" s="226"/>
      <c r="T1054" s="223"/>
      <c r="U1054" s="111">
        <f>U1018+U960</f>
        <v>0</v>
      </c>
      <c r="V1054" s="44"/>
      <c r="W1054" s="91"/>
      <c r="X1054" s="91"/>
      <c r="Y1054" s="91"/>
      <c r="Z1054" s="44"/>
      <c r="AA1054" s="44"/>
      <c r="AB1054" s="44"/>
      <c r="AC1054" s="44"/>
      <c r="AD1054" s="44"/>
      <c r="AE1054" s="44"/>
      <c r="AF1054" s="44"/>
      <c r="AG1054" s="44"/>
      <c r="AH1054" s="44"/>
      <c r="AI1054" s="44"/>
      <c r="AJ1054" s="44"/>
      <c r="AK1054" s="44"/>
      <c r="AL1054" s="44"/>
      <c r="AM1054" s="44"/>
      <c r="AN1054" s="44"/>
      <c r="AO1054" s="44"/>
      <c r="AP1054" s="44"/>
    </row>
    <row r="1055" spans="1:44" ht="16.5" hidden="1" thickTop="1" x14ac:dyDescent="0.25">
      <c r="A1055" s="206" t="s">
        <v>214</v>
      </c>
      <c r="B1055" s="149"/>
      <c r="C1055" s="204">
        <f t="shared" si="150"/>
        <v>0</v>
      </c>
      <c r="D1055" s="226"/>
      <c r="E1055" s="251"/>
      <c r="F1055" s="111">
        <f>F1019+F961</f>
        <v>0</v>
      </c>
      <c r="G1055" s="226"/>
      <c r="H1055" s="251"/>
      <c r="I1055" s="111">
        <f>I1019+I961</f>
        <v>0</v>
      </c>
      <c r="J1055" s="111"/>
      <c r="K1055" s="226"/>
      <c r="L1055" s="251"/>
      <c r="M1055" s="111">
        <f>M1019+M961</f>
        <v>0</v>
      </c>
      <c r="N1055" s="111"/>
      <c r="O1055" s="226"/>
      <c r="P1055" s="251"/>
      <c r="Q1055" s="111">
        <f>Q1019+Q961</f>
        <v>0</v>
      </c>
      <c r="R1055" s="111"/>
      <c r="S1055" s="226"/>
      <c r="T1055" s="251"/>
      <c r="U1055" s="111">
        <f>U1019+U961</f>
        <v>0</v>
      </c>
      <c r="V1055" s="44"/>
      <c r="W1055" s="91"/>
      <c r="X1055" s="91"/>
      <c r="Y1055" s="91"/>
      <c r="Z1055" s="44"/>
      <c r="AA1055" s="44"/>
      <c r="AB1055" s="44"/>
      <c r="AC1055" s="44"/>
      <c r="AD1055" s="44"/>
      <c r="AE1055" s="44"/>
      <c r="AF1055" s="44"/>
      <c r="AG1055" s="44"/>
      <c r="AH1055" s="44"/>
      <c r="AI1055" s="44"/>
      <c r="AJ1055" s="44"/>
      <c r="AK1055" s="44"/>
      <c r="AL1055" s="44"/>
      <c r="AM1055" s="44"/>
      <c r="AN1055" s="44"/>
      <c r="AO1055" s="44"/>
      <c r="AP1055" s="44"/>
    </row>
    <row r="1056" spans="1:44" ht="16.5" hidden="1" thickTop="1" x14ac:dyDescent="0.25">
      <c r="A1056" s="206" t="s">
        <v>128</v>
      </c>
      <c r="B1056" s="149"/>
      <c r="C1056" s="204">
        <f t="shared" si="150"/>
        <v>425.27272727272759</v>
      </c>
      <c r="D1056" s="226"/>
      <c r="E1056" s="223"/>
      <c r="F1056" s="111" t="s">
        <v>0</v>
      </c>
      <c r="G1056" s="226"/>
      <c r="H1056" s="223"/>
      <c r="I1056" s="111" t="s">
        <v>0</v>
      </c>
      <c r="J1056" s="111"/>
      <c r="K1056" s="226"/>
      <c r="L1056" s="223"/>
      <c r="M1056" s="111" t="s">
        <v>0</v>
      </c>
      <c r="N1056" s="111"/>
      <c r="O1056" s="226"/>
      <c r="P1056" s="223"/>
      <c r="Q1056" s="111" t="s">
        <v>0</v>
      </c>
      <c r="R1056" s="111"/>
      <c r="S1056" s="226"/>
      <c r="T1056" s="223"/>
      <c r="U1056" s="111" t="s">
        <v>0</v>
      </c>
      <c r="V1056" s="44"/>
      <c r="W1056" s="91"/>
      <c r="X1056" s="91"/>
      <c r="Y1056" s="91"/>
      <c r="Z1056" s="44"/>
      <c r="AA1056" s="44"/>
      <c r="AB1056" s="44"/>
      <c r="AC1056" s="44"/>
      <c r="AD1056" s="44"/>
      <c r="AE1056" s="44"/>
      <c r="AF1056" s="44"/>
      <c r="AG1056" s="44"/>
      <c r="AH1056" s="44"/>
      <c r="AI1056" s="44"/>
      <c r="AJ1056" s="44"/>
      <c r="AK1056" s="44"/>
      <c r="AL1056" s="44"/>
      <c r="AM1056" s="44"/>
      <c r="AN1056" s="44"/>
      <c r="AO1056" s="44"/>
      <c r="AP1056" s="44"/>
    </row>
    <row r="1057" spans="1:44" ht="16.5" hidden="1" thickTop="1" x14ac:dyDescent="0.25">
      <c r="A1057" s="206" t="s">
        <v>215</v>
      </c>
      <c r="B1057" s="149"/>
      <c r="C1057" s="204">
        <f t="shared" si="150"/>
        <v>585460.96551724104</v>
      </c>
      <c r="D1057" s="226"/>
      <c r="E1057" s="223"/>
      <c r="F1057" s="111">
        <f>F1021+F963</f>
        <v>544953</v>
      </c>
      <c r="G1057" s="226"/>
      <c r="H1057" s="223"/>
      <c r="I1057" s="111">
        <f>I1021+I963</f>
        <v>558489</v>
      </c>
      <c r="J1057" s="111"/>
      <c r="K1057" s="226"/>
      <c r="L1057" s="223"/>
      <c r="M1057" s="111">
        <f>M1021+M963</f>
        <v>544953</v>
      </c>
      <c r="N1057" s="111"/>
      <c r="O1057" s="226"/>
      <c r="P1057" s="223"/>
      <c r="Q1057" s="111">
        <f>Q1021+Q963</f>
        <v>0</v>
      </c>
      <c r="R1057" s="111"/>
      <c r="S1057" s="226"/>
      <c r="T1057" s="223"/>
      <c r="U1057" s="111">
        <f>U1021+U963</f>
        <v>0</v>
      </c>
      <c r="V1057" s="44"/>
      <c r="W1057" s="91"/>
      <c r="X1057" s="91"/>
      <c r="Y1057" s="91"/>
      <c r="Z1057" s="44"/>
      <c r="AA1057" s="44"/>
      <c r="AB1057" s="44"/>
      <c r="AC1057" s="44"/>
      <c r="AD1057" s="44"/>
      <c r="AE1057" s="44"/>
      <c r="AF1057" s="44"/>
      <c r="AG1057" s="44"/>
      <c r="AH1057" s="44"/>
      <c r="AI1057" s="44"/>
      <c r="AJ1057" s="44"/>
      <c r="AK1057" s="44"/>
      <c r="AL1057" s="44"/>
      <c r="AM1057" s="44"/>
      <c r="AN1057" s="44"/>
      <c r="AO1057" s="44"/>
      <c r="AP1057" s="44"/>
    </row>
    <row r="1058" spans="1:44" ht="16.5" hidden="1" thickTop="1" x14ac:dyDescent="0.25">
      <c r="A1058" s="206" t="s">
        <v>216</v>
      </c>
      <c r="B1058" s="149"/>
      <c r="C1058" s="204">
        <f t="shared" si="150"/>
        <v>0</v>
      </c>
      <c r="D1058" s="226"/>
      <c r="E1058" s="223"/>
      <c r="F1058" s="111">
        <f>F1022+F964</f>
        <v>0</v>
      </c>
      <c r="G1058" s="226"/>
      <c r="H1058" s="223"/>
      <c r="I1058" s="111">
        <f>I1022+I964</f>
        <v>0</v>
      </c>
      <c r="J1058" s="111"/>
      <c r="K1058" s="226"/>
      <c r="L1058" s="223"/>
      <c r="M1058" s="111">
        <f>M1022+M964</f>
        <v>0</v>
      </c>
      <c r="N1058" s="111"/>
      <c r="O1058" s="226"/>
      <c r="P1058" s="223"/>
      <c r="Q1058" s="111">
        <f>Q1022+Q964</f>
        <v>0</v>
      </c>
      <c r="R1058" s="111"/>
      <c r="S1058" s="226"/>
      <c r="T1058" s="223"/>
      <c r="U1058" s="111">
        <f>U1022+U964</f>
        <v>0</v>
      </c>
      <c r="V1058" s="44"/>
      <c r="W1058" s="91"/>
      <c r="X1058" s="91"/>
      <c r="Y1058" s="91"/>
      <c r="Z1058" s="44"/>
      <c r="AA1058" s="44"/>
      <c r="AB1058" s="44"/>
      <c r="AC1058" s="44"/>
      <c r="AD1058" s="44"/>
      <c r="AE1058" s="44"/>
      <c r="AF1058" s="44"/>
      <c r="AG1058" s="44"/>
      <c r="AH1058" s="44"/>
      <c r="AI1058" s="44"/>
      <c r="AJ1058" s="44"/>
      <c r="AK1058" s="44"/>
      <c r="AL1058" s="44"/>
      <c r="AM1058" s="44"/>
      <c r="AN1058" s="44"/>
      <c r="AO1058" s="44"/>
      <c r="AP1058" s="44"/>
    </row>
    <row r="1059" spans="1:44" ht="16.5" hidden="1" thickTop="1" x14ac:dyDescent="0.25">
      <c r="A1059" s="134" t="s">
        <v>142</v>
      </c>
      <c r="B1059" s="149"/>
      <c r="C1059" s="204">
        <f t="shared" si="150"/>
        <v>449764.86206896504</v>
      </c>
      <c r="D1059" s="226"/>
      <c r="E1059" s="223"/>
      <c r="F1059" s="111">
        <f>F1023+F965</f>
        <v>3555401</v>
      </c>
      <c r="G1059" s="226"/>
      <c r="H1059" s="223"/>
      <c r="I1059" s="111">
        <f>I1023+I965</f>
        <v>3640856</v>
      </c>
      <c r="J1059" s="111"/>
      <c r="K1059" s="226"/>
      <c r="L1059" s="223"/>
      <c r="M1059" s="111" t="e">
        <f>M1023+M965</f>
        <v>#DIV/0!</v>
      </c>
      <c r="N1059" s="111"/>
      <c r="O1059" s="226"/>
      <c r="P1059" s="223"/>
      <c r="Q1059" s="111" t="e">
        <f>Q1023+Q965</f>
        <v>#DIV/0!</v>
      </c>
      <c r="R1059" s="111"/>
      <c r="S1059" s="226"/>
      <c r="T1059" s="223"/>
      <c r="U1059" s="111" t="e">
        <f>U1023+U965</f>
        <v>#DIV/0!</v>
      </c>
      <c r="V1059" s="44"/>
      <c r="W1059" s="91"/>
      <c r="X1059" s="91"/>
      <c r="Y1059" s="91"/>
      <c r="Z1059" s="44"/>
      <c r="AA1059" s="44"/>
      <c r="AB1059" s="44"/>
      <c r="AC1059" s="44"/>
      <c r="AD1059" s="44"/>
      <c r="AE1059" s="44"/>
      <c r="AF1059" s="44"/>
      <c r="AG1059" s="44"/>
      <c r="AH1059" s="44"/>
      <c r="AI1059" s="44"/>
      <c r="AJ1059" s="44"/>
      <c r="AK1059" s="44"/>
      <c r="AL1059" s="44"/>
      <c r="AM1059" s="44"/>
      <c r="AN1059" s="44"/>
      <c r="AO1059" s="44"/>
      <c r="AP1059" s="44"/>
    </row>
    <row r="1060" spans="1:44" ht="16.5" hidden="1" thickTop="1" x14ac:dyDescent="0.25">
      <c r="A1060" s="206" t="s">
        <v>164</v>
      </c>
      <c r="B1060" s="149"/>
      <c r="C1060" s="204"/>
      <c r="D1060" s="226"/>
      <c r="E1060" s="223"/>
      <c r="F1060" s="111"/>
      <c r="G1060" s="226"/>
      <c r="H1060" s="223"/>
      <c r="I1060" s="111"/>
      <c r="J1060" s="111"/>
      <c r="K1060" s="226"/>
      <c r="L1060" s="223"/>
      <c r="M1060" s="111"/>
      <c r="N1060" s="111"/>
      <c r="O1060" s="226"/>
      <c r="P1060" s="223"/>
      <c r="Q1060" s="111"/>
      <c r="R1060" s="111"/>
      <c r="S1060" s="226"/>
      <c r="T1060" s="223"/>
      <c r="U1060" s="111"/>
      <c r="V1060" s="44"/>
      <c r="W1060" s="91"/>
      <c r="X1060" s="91"/>
      <c r="Y1060" s="91"/>
      <c r="Z1060" s="44"/>
      <c r="AA1060" s="44"/>
      <c r="AB1060" s="44"/>
      <c r="AC1060" s="44"/>
      <c r="AD1060" s="44"/>
      <c r="AE1060" s="44"/>
      <c r="AF1060" s="44"/>
      <c r="AG1060" s="44"/>
      <c r="AH1060" s="44"/>
      <c r="AI1060" s="44"/>
      <c r="AJ1060" s="44"/>
      <c r="AK1060" s="44"/>
      <c r="AL1060" s="44"/>
      <c r="AM1060" s="44"/>
      <c r="AN1060" s="44"/>
      <c r="AO1060" s="44"/>
      <c r="AP1060" s="44"/>
    </row>
    <row r="1061" spans="1:44" ht="16.5" hidden="1" thickTop="1" x14ac:dyDescent="0.25">
      <c r="A1061" s="206" t="s">
        <v>203</v>
      </c>
      <c r="B1061" s="149"/>
      <c r="C1061" s="204">
        <f>C1025+C967</f>
        <v>194745053.16002482</v>
      </c>
      <c r="D1061" s="318"/>
      <c r="E1061" s="223"/>
      <c r="F1061" s="111">
        <f>F1025+F967</f>
        <v>9196028</v>
      </c>
      <c r="G1061" s="318"/>
      <c r="H1061" s="223"/>
      <c r="I1061" s="111">
        <f>I1025+I967</f>
        <v>9411500</v>
      </c>
      <c r="J1061" s="111"/>
      <c r="K1061" s="318"/>
      <c r="L1061" s="223"/>
      <c r="M1061" s="111">
        <f>M1025+M967</f>
        <v>0</v>
      </c>
      <c r="N1061" s="111"/>
      <c r="O1061" s="318"/>
      <c r="P1061" s="223"/>
      <c r="Q1061" s="111" t="e">
        <f>Q1025+Q967</f>
        <v>#DIV/0!</v>
      </c>
      <c r="R1061" s="111"/>
      <c r="S1061" s="318"/>
      <c r="T1061" s="223"/>
      <c r="U1061" s="111" t="e">
        <f>U1025+U967</f>
        <v>#DIV/0!</v>
      </c>
      <c r="V1061" s="44"/>
      <c r="W1061" s="91"/>
      <c r="X1061" s="91"/>
      <c r="Y1061" s="91"/>
      <c r="Z1061" s="44"/>
      <c r="AA1061" s="44"/>
      <c r="AB1061" s="44"/>
      <c r="AC1061" s="44"/>
      <c r="AD1061" s="44"/>
      <c r="AE1061" s="44"/>
      <c r="AF1061" s="44"/>
      <c r="AG1061" s="44"/>
      <c r="AH1061" s="44"/>
      <c r="AI1061" s="44"/>
      <c r="AJ1061" s="44"/>
      <c r="AK1061" s="44"/>
      <c r="AL1061" s="44"/>
      <c r="AM1061" s="44"/>
      <c r="AN1061" s="44"/>
      <c r="AO1061" s="44"/>
      <c r="AP1061" s="44"/>
    </row>
    <row r="1062" spans="1:44" ht="16.5" hidden="1" thickTop="1" x14ac:dyDescent="0.25">
      <c r="A1062" s="206" t="s">
        <v>133</v>
      </c>
      <c r="B1062" s="149"/>
      <c r="C1062" s="204">
        <f>C1026+C968</f>
        <v>44802.030303030304</v>
      </c>
      <c r="D1062" s="226"/>
      <c r="E1062" s="223"/>
      <c r="F1062" s="111">
        <f>F1026+F968</f>
        <v>24946</v>
      </c>
      <c r="G1062" s="226"/>
      <c r="H1062" s="223"/>
      <c r="I1062" s="111">
        <f>I1026+I968</f>
        <v>25393</v>
      </c>
      <c r="J1062" s="111"/>
      <c r="K1062" s="226"/>
      <c r="L1062" s="223"/>
      <c r="M1062" s="111">
        <f>M1026+M968</f>
        <v>0</v>
      </c>
      <c r="N1062" s="111"/>
      <c r="O1062" s="226"/>
      <c r="P1062" s="223"/>
      <c r="Q1062" s="111" t="e">
        <f>Q1026+Q968</f>
        <v>#DIV/0!</v>
      </c>
      <c r="R1062" s="111"/>
      <c r="S1062" s="226"/>
      <c r="T1062" s="223"/>
      <c r="U1062" s="111" t="e">
        <f>U1026+U968</f>
        <v>#DIV/0!</v>
      </c>
      <c r="V1062" s="44"/>
      <c r="W1062" s="91"/>
      <c r="X1062" s="91"/>
      <c r="Y1062" s="91"/>
      <c r="Z1062" s="44"/>
      <c r="AA1062" s="44"/>
      <c r="AB1062" s="44"/>
      <c r="AC1062" s="44"/>
      <c r="AD1062" s="44"/>
      <c r="AE1062" s="44"/>
      <c r="AF1062" s="44"/>
      <c r="AG1062" s="44"/>
      <c r="AH1062" s="44"/>
      <c r="AI1062" s="44"/>
      <c r="AJ1062" s="44"/>
      <c r="AK1062" s="44"/>
      <c r="AL1062" s="44"/>
      <c r="AM1062" s="44"/>
      <c r="AN1062" s="44"/>
      <c r="AO1062" s="44"/>
      <c r="AP1062" s="44"/>
    </row>
    <row r="1063" spans="1:44" s="120" customFormat="1" ht="16.5" hidden="1" thickTop="1" x14ac:dyDescent="0.25">
      <c r="A1063" s="119" t="s">
        <v>204</v>
      </c>
      <c r="C1063" s="214">
        <f>C1027+C969</f>
        <v>194745053.16002482</v>
      </c>
      <c r="D1063" s="128"/>
      <c r="E1063" s="122"/>
      <c r="F1063" s="123"/>
      <c r="G1063" s="110"/>
      <c r="H1063" s="122"/>
      <c r="I1063" s="123">
        <f>I1027+I969</f>
        <v>0</v>
      </c>
      <c r="J1063" s="123"/>
      <c r="K1063" s="110"/>
      <c r="L1063" s="122"/>
      <c r="M1063" s="123">
        <f>M1027+M969</f>
        <v>0</v>
      </c>
      <c r="N1063" s="123"/>
      <c r="O1063" s="110"/>
      <c r="P1063" s="122"/>
      <c r="Q1063" s="123">
        <f>Q1027+Q969</f>
        <v>0</v>
      </c>
      <c r="R1063" s="123"/>
      <c r="S1063" s="110"/>
      <c r="T1063" s="122"/>
      <c r="U1063" s="123">
        <f>U1027+U969</f>
        <v>0</v>
      </c>
      <c r="W1063" s="112"/>
      <c r="Z1063" s="127"/>
      <c r="AA1063" s="127"/>
      <c r="AF1063" s="122"/>
      <c r="AG1063" s="122"/>
      <c r="AH1063" s="122"/>
      <c r="AI1063" s="122"/>
      <c r="AJ1063" s="122"/>
      <c r="AK1063" s="122"/>
      <c r="AL1063" s="122"/>
      <c r="AM1063" s="122"/>
      <c r="AN1063" s="122"/>
      <c r="AO1063" s="122"/>
      <c r="AP1063" s="122"/>
      <c r="AR1063" s="126"/>
    </row>
    <row r="1064" spans="1:44" ht="16.5" hidden="1" thickTop="1" x14ac:dyDescent="0.25">
      <c r="A1064" s="149" t="s">
        <v>114</v>
      </c>
      <c r="B1064" s="149"/>
      <c r="C1064" s="204">
        <f>C1028+C970</f>
        <v>194745053.16002482</v>
      </c>
      <c r="D1064" s="212"/>
      <c r="E1064" s="149"/>
      <c r="F1064" s="111">
        <f>F1028+F970</f>
        <v>13924798</v>
      </c>
      <c r="G1064" s="212"/>
      <c r="H1064" s="149"/>
      <c r="I1064" s="111">
        <f>I1028+I970</f>
        <v>14253211</v>
      </c>
      <c r="J1064" s="111"/>
      <c r="K1064" s="212"/>
      <c r="L1064" s="149"/>
      <c r="M1064" s="111" t="e">
        <f>M1028+M970</f>
        <v>#DIV/0!</v>
      </c>
      <c r="N1064" s="111"/>
      <c r="O1064" s="212"/>
      <c r="P1064" s="149"/>
      <c r="Q1064" s="111" t="e">
        <f>Q1028+Q970</f>
        <v>#DIV/0!</v>
      </c>
      <c r="R1064" s="111"/>
      <c r="S1064" s="212"/>
      <c r="T1064" s="149"/>
      <c r="U1064" s="111" t="e">
        <f>U1028+U970</f>
        <v>#DIV/0!</v>
      </c>
      <c r="V1064" s="44"/>
      <c r="W1064" s="91"/>
      <c r="X1064" s="91"/>
      <c r="Y1064" s="91"/>
      <c r="Z1064" s="44"/>
      <c r="AA1064" s="44"/>
      <c r="AB1064" s="44"/>
      <c r="AC1064" s="44"/>
      <c r="AD1064" s="44"/>
      <c r="AE1064" s="44"/>
      <c r="AF1064" s="44"/>
      <c r="AG1064" s="44"/>
      <c r="AH1064" s="44"/>
      <c r="AI1064" s="44"/>
      <c r="AJ1064" s="44"/>
      <c r="AK1064" s="44"/>
      <c r="AL1064" s="44"/>
      <c r="AM1064" s="44"/>
      <c r="AN1064" s="44"/>
      <c r="AO1064" s="44"/>
      <c r="AP1064" s="44"/>
    </row>
    <row r="1065" spans="1:44" ht="16.5" hidden="1" thickTop="1" x14ac:dyDescent="0.25">
      <c r="A1065" s="149" t="s">
        <v>92</v>
      </c>
      <c r="B1065" s="149"/>
      <c r="C1065" s="229">
        <v>1375380.6050737028</v>
      </c>
      <c r="D1065" s="134"/>
      <c r="E1065" s="134"/>
      <c r="F1065" s="314">
        <v>108570.66117682151</v>
      </c>
      <c r="G1065" s="134"/>
      <c r="H1065" s="134"/>
      <c r="I1065" s="314">
        <f>F1065</f>
        <v>108570.66117682151</v>
      </c>
      <c r="J1065" s="133"/>
      <c r="K1065" s="134"/>
      <c r="L1065" s="134"/>
      <c r="M1065" s="314" t="e">
        <f>$I$1065*V1012/(V1012+$W$1012+$X$1012)</f>
        <v>#DIV/0!</v>
      </c>
      <c r="N1065" s="133"/>
      <c r="O1065" s="134"/>
      <c r="P1065" s="134"/>
      <c r="Q1065" s="314" t="e">
        <f>$I$1065*W1012/(V1012+$W$1012+$X$1012)</f>
        <v>#DIV/0!</v>
      </c>
      <c r="R1065" s="133"/>
      <c r="S1065" s="134"/>
      <c r="T1065" s="134"/>
      <c r="U1065" s="314" t="e">
        <f>$I$1065*X1012/(V1012+$W$1012+$X$1012)</f>
        <v>#DIV/0!</v>
      </c>
      <c r="V1065" s="165"/>
      <c r="W1065" s="163"/>
      <c r="X1065" s="91"/>
      <c r="Y1065" s="91"/>
      <c r="Z1065" s="44"/>
      <c r="AA1065" s="44"/>
      <c r="AB1065" s="44"/>
      <c r="AC1065" s="44"/>
      <c r="AD1065" s="44"/>
      <c r="AE1065" s="44"/>
      <c r="AF1065" s="44"/>
      <c r="AG1065" s="44"/>
      <c r="AH1065" s="44"/>
      <c r="AI1065" s="44"/>
      <c r="AJ1065" s="44"/>
      <c r="AK1065" s="44"/>
      <c r="AL1065" s="44"/>
      <c r="AM1065" s="44"/>
      <c r="AN1065" s="44"/>
      <c r="AO1065" s="44"/>
      <c r="AP1065" s="44"/>
    </row>
    <row r="1066" spans="1:44" ht="17.25" hidden="1" thickTop="1" thickBot="1" x14ac:dyDescent="0.3">
      <c r="A1066" s="149" t="s">
        <v>115</v>
      </c>
      <c r="B1066" s="149"/>
      <c r="C1066" s="343">
        <f>C1064+C1065</f>
        <v>196120433.76509851</v>
      </c>
      <c r="D1066" s="245"/>
      <c r="E1066" s="232"/>
      <c r="F1066" s="326">
        <f>F1064+F1065</f>
        <v>14033368.661176821</v>
      </c>
      <c r="G1066" s="245"/>
      <c r="H1066" s="232"/>
      <c r="I1066" s="326">
        <f>I1064+I1065</f>
        <v>14361781.661176821</v>
      </c>
      <c r="J1066" s="133"/>
      <c r="K1066" s="245"/>
      <c r="L1066" s="232"/>
      <c r="M1066" s="326" t="e">
        <f>M1064+M1065</f>
        <v>#DIV/0!</v>
      </c>
      <c r="N1066" s="133"/>
      <c r="O1066" s="245"/>
      <c r="P1066" s="232"/>
      <c r="Q1066" s="326" t="e">
        <f>Q1064+Q1065</f>
        <v>#DIV/0!</v>
      </c>
      <c r="R1066" s="133"/>
      <c r="S1066" s="245"/>
      <c r="T1066" s="232"/>
      <c r="U1066" s="326" t="e">
        <f>U1064+U1065</f>
        <v>#DIV/0!</v>
      </c>
      <c r="V1066" s="166"/>
      <c r="W1066" s="167"/>
      <c r="X1066" s="91"/>
      <c r="Y1066" s="91"/>
      <c r="Z1066" s="44"/>
      <c r="AA1066" s="44"/>
      <c r="AB1066" s="44"/>
      <c r="AC1066" s="44"/>
      <c r="AD1066" s="44"/>
      <c r="AE1066" s="44"/>
      <c r="AF1066" s="44"/>
      <c r="AG1066" s="44"/>
      <c r="AH1066" s="44"/>
      <c r="AI1066" s="44"/>
      <c r="AJ1066" s="44"/>
      <c r="AK1066" s="44"/>
      <c r="AL1066" s="44"/>
      <c r="AM1066" s="44"/>
      <c r="AN1066" s="44"/>
      <c r="AO1066" s="44"/>
      <c r="AP1066" s="44"/>
    </row>
    <row r="1067" spans="1:44" ht="16.5" hidden="1" thickTop="1" x14ac:dyDescent="0.25">
      <c r="A1067" s="149"/>
      <c r="B1067" s="149"/>
      <c r="C1067" s="169"/>
      <c r="D1067" s="226" t="s">
        <v>0</v>
      </c>
      <c r="E1067" s="149"/>
      <c r="F1067" s="111"/>
      <c r="G1067" s="250" t="s">
        <v>0</v>
      </c>
      <c r="H1067" s="149"/>
      <c r="I1067" s="111" t="s">
        <v>0</v>
      </c>
      <c r="J1067" s="111"/>
      <c r="K1067" s="250" t="s">
        <v>0</v>
      </c>
      <c r="L1067" s="149"/>
      <c r="M1067" s="111" t="s">
        <v>0</v>
      </c>
      <c r="N1067" s="111"/>
      <c r="O1067" s="250" t="s">
        <v>0</v>
      </c>
      <c r="P1067" s="149"/>
      <c r="Q1067" s="111" t="s">
        <v>0</v>
      </c>
      <c r="R1067" s="111"/>
      <c r="S1067" s="250" t="s">
        <v>0</v>
      </c>
      <c r="T1067" s="149"/>
      <c r="U1067" s="111" t="s">
        <v>0</v>
      </c>
      <c r="V1067" s="44"/>
      <c r="W1067" s="91"/>
      <c r="X1067" s="91"/>
      <c r="Y1067" s="91"/>
      <c r="Z1067" s="44"/>
      <c r="AA1067" s="44"/>
      <c r="AB1067" s="44"/>
      <c r="AC1067" s="44"/>
      <c r="AD1067" s="44"/>
      <c r="AE1067" s="44"/>
      <c r="AF1067" s="44"/>
      <c r="AG1067" s="44"/>
      <c r="AH1067" s="44"/>
      <c r="AI1067" s="44"/>
      <c r="AJ1067" s="44"/>
      <c r="AK1067" s="44"/>
      <c r="AL1067" s="44"/>
      <c r="AM1067" s="44"/>
      <c r="AN1067" s="44"/>
      <c r="AO1067" s="44"/>
      <c r="AP1067" s="44"/>
    </row>
    <row r="1068" spans="1:44" ht="16.5" hidden="1" thickTop="1" x14ac:dyDescent="0.25">
      <c r="A1068" s="149"/>
      <c r="B1068" s="149"/>
      <c r="C1068" s="169"/>
      <c r="D1068" s="226"/>
      <c r="E1068" s="149"/>
      <c r="F1068" s="111"/>
      <c r="G1068" s="226"/>
      <c r="H1068" s="149"/>
      <c r="I1068" s="246"/>
      <c r="J1068" s="246"/>
      <c r="K1068" s="226"/>
      <c r="L1068" s="149"/>
      <c r="M1068" s="246"/>
      <c r="N1068" s="246"/>
      <c r="O1068" s="226"/>
      <c r="P1068" s="149"/>
      <c r="Q1068" s="246"/>
      <c r="R1068" s="246"/>
      <c r="S1068" s="226"/>
      <c r="T1068" s="149"/>
      <c r="U1068" s="246"/>
      <c r="V1068" s="44"/>
      <c r="W1068" s="91"/>
      <c r="X1068" s="91"/>
      <c r="Y1068" s="91"/>
      <c r="Z1068" s="44"/>
      <c r="AA1068" s="44"/>
      <c r="AB1068" s="44"/>
      <c r="AC1068" s="44"/>
      <c r="AD1068" s="44"/>
      <c r="AE1068" s="44"/>
      <c r="AF1068" s="44"/>
      <c r="AG1068" s="44"/>
      <c r="AH1068" s="44"/>
      <c r="AI1068" s="44"/>
      <c r="AJ1068" s="44"/>
      <c r="AK1068" s="44"/>
      <c r="AL1068" s="44"/>
      <c r="AM1068" s="44"/>
      <c r="AN1068" s="44"/>
      <c r="AO1068" s="44"/>
      <c r="AP1068" s="44"/>
    </row>
    <row r="1069" spans="1:44" ht="16.5" hidden="1" thickTop="1" x14ac:dyDescent="0.25">
      <c r="A1069" s="168" t="s">
        <v>217</v>
      </c>
      <c r="B1069" s="149"/>
      <c r="C1069" s="149"/>
      <c r="D1069" s="111"/>
      <c r="E1069" s="149"/>
      <c r="F1069" s="149"/>
      <c r="G1069" s="111"/>
      <c r="H1069" s="149"/>
      <c r="I1069" s="149"/>
      <c r="J1069" s="149"/>
      <c r="K1069" s="111"/>
      <c r="L1069" s="149"/>
      <c r="M1069" s="149"/>
      <c r="N1069" s="149"/>
      <c r="O1069" s="111"/>
      <c r="P1069" s="149"/>
      <c r="Q1069" s="149"/>
      <c r="R1069" s="149"/>
      <c r="S1069" s="111"/>
      <c r="T1069" s="149"/>
      <c r="U1069" s="149"/>
      <c r="V1069" s="44"/>
      <c r="W1069" s="91"/>
      <c r="X1069" s="91"/>
      <c r="Y1069" s="91"/>
      <c r="Z1069" s="44"/>
      <c r="AA1069" s="44"/>
      <c r="AB1069" s="44"/>
      <c r="AC1069" s="44"/>
      <c r="AD1069" s="44"/>
      <c r="AE1069" s="44"/>
      <c r="AF1069" s="44"/>
      <c r="AG1069" s="44"/>
      <c r="AH1069" s="44"/>
      <c r="AI1069" s="44"/>
      <c r="AJ1069" s="44"/>
      <c r="AK1069" s="44"/>
      <c r="AL1069" s="44"/>
      <c r="AM1069" s="44"/>
      <c r="AN1069" s="44"/>
      <c r="AO1069" s="44"/>
      <c r="AP1069" s="44"/>
    </row>
    <row r="1070" spans="1:44" ht="16.5" hidden="1" thickTop="1" x14ac:dyDescent="0.25">
      <c r="A1070" s="134" t="s">
        <v>228</v>
      </c>
      <c r="B1070" s="149"/>
      <c r="C1070" s="149"/>
      <c r="D1070" s="111"/>
      <c r="E1070" s="149"/>
      <c r="F1070" s="149"/>
      <c r="G1070" s="111"/>
      <c r="H1070" s="149"/>
      <c r="I1070" s="149"/>
      <c r="J1070" s="149"/>
      <c r="K1070" s="111"/>
      <c r="L1070" s="149"/>
      <c r="M1070" s="149"/>
      <c r="N1070" s="149"/>
      <c r="O1070" s="111"/>
      <c r="P1070" s="149"/>
      <c r="Q1070" s="149"/>
      <c r="R1070" s="149"/>
      <c r="S1070" s="111"/>
      <c r="T1070" s="149"/>
      <c r="U1070" s="149"/>
      <c r="V1070" s="44"/>
      <c r="W1070" s="91"/>
      <c r="X1070" s="91"/>
      <c r="Y1070" s="91"/>
      <c r="Z1070" s="44"/>
      <c r="AA1070" s="44"/>
      <c r="AB1070" s="44"/>
      <c r="AC1070" s="44"/>
      <c r="AD1070" s="44"/>
      <c r="AE1070" s="44"/>
      <c r="AF1070" s="44"/>
      <c r="AG1070" s="44"/>
      <c r="AH1070" s="44"/>
      <c r="AI1070" s="44"/>
      <c r="AJ1070" s="44"/>
      <c r="AK1070" s="44"/>
      <c r="AL1070" s="44"/>
      <c r="AM1070" s="44"/>
      <c r="AN1070" s="44"/>
      <c r="AO1070" s="44"/>
      <c r="AP1070" s="44"/>
    </row>
    <row r="1071" spans="1:44" ht="16.5" hidden="1" thickTop="1" x14ac:dyDescent="0.25">
      <c r="A1071" s="206"/>
      <c r="B1071" s="149"/>
      <c r="C1071" s="149"/>
      <c r="D1071" s="111"/>
      <c r="E1071" s="149"/>
      <c r="F1071" s="149"/>
      <c r="G1071" s="111"/>
      <c r="H1071" s="149"/>
      <c r="I1071" s="149"/>
      <c r="J1071" s="149"/>
      <c r="K1071" s="111"/>
      <c r="L1071" s="149"/>
      <c r="M1071" s="149"/>
      <c r="N1071" s="149"/>
      <c r="O1071" s="111"/>
      <c r="P1071" s="149"/>
      <c r="Q1071" s="149"/>
      <c r="R1071" s="149"/>
      <c r="S1071" s="111"/>
      <c r="T1071" s="149"/>
      <c r="U1071" s="149"/>
      <c r="V1071" s="44"/>
      <c r="W1071" s="91"/>
      <c r="X1071" s="91"/>
      <c r="Y1071" s="91"/>
      <c r="Z1071" s="44"/>
      <c r="AA1071" s="44"/>
      <c r="AB1071" s="44"/>
      <c r="AC1071" s="44"/>
      <c r="AD1071" s="44"/>
      <c r="AE1071" s="44"/>
      <c r="AF1071" s="44"/>
      <c r="AG1071" s="44"/>
      <c r="AH1071" s="44"/>
      <c r="AI1071" s="44"/>
      <c r="AJ1071" s="44"/>
      <c r="AK1071" s="44"/>
      <c r="AL1071" s="44"/>
      <c r="AM1071" s="44"/>
      <c r="AN1071" s="44"/>
      <c r="AO1071" s="44"/>
      <c r="AP1071" s="44"/>
    </row>
    <row r="1072" spans="1:44" ht="16.5" hidden="1" thickTop="1" x14ac:dyDescent="0.25">
      <c r="A1072" s="206" t="s">
        <v>127</v>
      </c>
      <c r="B1072" s="149"/>
      <c r="C1072" s="204"/>
      <c r="D1072" s="111"/>
      <c r="E1072" s="149"/>
      <c r="F1072" s="149"/>
      <c r="G1072" s="111"/>
      <c r="H1072" s="149"/>
      <c r="I1072" s="149"/>
      <c r="J1072" s="149"/>
      <c r="K1072" s="111"/>
      <c r="L1072" s="149"/>
      <c r="M1072" s="149"/>
      <c r="N1072" s="149"/>
      <c r="O1072" s="111"/>
      <c r="P1072" s="149"/>
      <c r="Q1072" s="149"/>
      <c r="R1072" s="149"/>
      <c r="S1072" s="111"/>
      <c r="T1072" s="149"/>
      <c r="U1072" s="149"/>
      <c r="V1072" s="44"/>
      <c r="W1072" s="91"/>
      <c r="X1072" s="91"/>
      <c r="Y1072" s="91"/>
      <c r="Z1072" s="44"/>
      <c r="AA1072" s="44"/>
      <c r="AB1072" s="44"/>
      <c r="AC1072" s="44"/>
      <c r="AD1072" s="44"/>
      <c r="AE1072" s="44"/>
      <c r="AF1072" s="44"/>
      <c r="AG1072" s="44"/>
      <c r="AH1072" s="44"/>
      <c r="AI1072" s="44"/>
      <c r="AJ1072" s="44"/>
      <c r="AK1072" s="44"/>
      <c r="AL1072" s="44"/>
      <c r="AM1072" s="44"/>
      <c r="AN1072" s="44"/>
      <c r="AO1072" s="44"/>
      <c r="AP1072" s="44"/>
    </row>
    <row r="1073" spans="1:44" ht="16.5" hidden="1" thickTop="1" x14ac:dyDescent="0.25">
      <c r="A1073" s="206" t="s">
        <v>213</v>
      </c>
      <c r="B1073" s="149"/>
      <c r="C1073" s="204">
        <f t="shared" ref="C1073:C1078" si="151">C1036+C978</f>
        <v>356.57575757575779</v>
      </c>
      <c r="D1073" s="226"/>
      <c r="E1073" s="223"/>
      <c r="F1073" s="111">
        <f>F1036+F978</f>
        <v>503888</v>
      </c>
      <c r="G1073" s="226"/>
      <c r="H1073" s="223"/>
      <c r="I1073" s="111">
        <f>I1036+I978</f>
        <v>515014</v>
      </c>
      <c r="J1073" s="111"/>
      <c r="K1073" s="226"/>
      <c r="L1073" s="223"/>
      <c r="M1073" s="111">
        <f>M1036+M978</f>
        <v>503888</v>
      </c>
      <c r="N1073" s="111"/>
      <c r="O1073" s="226"/>
      <c r="P1073" s="223"/>
      <c r="Q1073" s="111">
        <f>Q1036+Q978</f>
        <v>0</v>
      </c>
      <c r="R1073" s="111"/>
      <c r="S1073" s="226"/>
      <c r="T1073" s="223"/>
      <c r="U1073" s="111">
        <f>U1036+U978</f>
        <v>0</v>
      </c>
      <c r="V1073" s="44"/>
      <c r="W1073" s="91"/>
      <c r="X1073" s="91"/>
      <c r="Y1073" s="91"/>
      <c r="Z1073" s="44"/>
      <c r="AA1073" s="44"/>
      <c r="AB1073" s="44"/>
      <c r="AC1073" s="44"/>
      <c r="AD1073" s="44"/>
      <c r="AE1073" s="44"/>
      <c r="AF1073" s="44"/>
      <c r="AG1073" s="44"/>
      <c r="AH1073" s="44"/>
      <c r="AI1073" s="44"/>
      <c r="AJ1073" s="44"/>
      <c r="AK1073" s="44"/>
      <c r="AL1073" s="44"/>
      <c r="AM1073" s="44"/>
      <c r="AN1073" s="44"/>
      <c r="AO1073" s="44"/>
      <c r="AP1073" s="44"/>
    </row>
    <row r="1074" spans="1:44" ht="16.5" hidden="1" thickTop="1" x14ac:dyDescent="0.25">
      <c r="A1074" s="206" t="s">
        <v>214</v>
      </c>
      <c r="B1074" s="149"/>
      <c r="C1074" s="204">
        <f t="shared" si="151"/>
        <v>0</v>
      </c>
      <c r="D1074" s="226"/>
      <c r="E1074" s="251"/>
      <c r="F1074" s="111">
        <f>F1037+F979</f>
        <v>0</v>
      </c>
      <c r="G1074" s="226"/>
      <c r="H1074" s="251"/>
      <c r="I1074" s="111">
        <f>I1037+I979</f>
        <v>0</v>
      </c>
      <c r="J1074" s="111"/>
      <c r="K1074" s="226"/>
      <c r="L1074" s="251"/>
      <c r="M1074" s="111">
        <f>M1037+M979</f>
        <v>0</v>
      </c>
      <c r="N1074" s="111"/>
      <c r="O1074" s="226"/>
      <c r="P1074" s="251"/>
      <c r="Q1074" s="111">
        <f>Q1037+Q979</f>
        <v>0</v>
      </c>
      <c r="R1074" s="111"/>
      <c r="S1074" s="226"/>
      <c r="T1074" s="251"/>
      <c r="U1074" s="111">
        <f>U1037+U979</f>
        <v>0</v>
      </c>
      <c r="V1074" s="44"/>
      <c r="W1074" s="91"/>
      <c r="X1074" s="91"/>
      <c r="Y1074" s="91"/>
      <c r="Z1074" s="44"/>
      <c r="AA1074" s="44"/>
      <c r="AB1074" s="44"/>
      <c r="AC1074" s="44"/>
      <c r="AD1074" s="44"/>
      <c r="AE1074" s="44"/>
      <c r="AF1074" s="44"/>
      <c r="AG1074" s="44"/>
      <c r="AH1074" s="44"/>
      <c r="AI1074" s="44"/>
      <c r="AJ1074" s="44"/>
      <c r="AK1074" s="44"/>
      <c r="AL1074" s="44"/>
      <c r="AM1074" s="44"/>
      <c r="AN1074" s="44"/>
      <c r="AO1074" s="44"/>
      <c r="AP1074" s="44"/>
    </row>
    <row r="1075" spans="1:44" ht="16.5" hidden="1" thickTop="1" x14ac:dyDescent="0.25">
      <c r="A1075" s="206" t="s">
        <v>128</v>
      </c>
      <c r="B1075" s="149"/>
      <c r="C1075" s="204">
        <f t="shared" si="151"/>
        <v>356.57575757575779</v>
      </c>
      <c r="D1075" s="226"/>
      <c r="E1075" s="223"/>
      <c r="F1075" s="111" t="s">
        <v>0</v>
      </c>
      <c r="G1075" s="226"/>
      <c r="H1075" s="223"/>
      <c r="I1075" s="111" t="s">
        <v>0</v>
      </c>
      <c r="J1075" s="111"/>
      <c r="K1075" s="226"/>
      <c r="L1075" s="223"/>
      <c r="M1075" s="111" t="s">
        <v>0</v>
      </c>
      <c r="N1075" s="111"/>
      <c r="O1075" s="226"/>
      <c r="P1075" s="223"/>
      <c r="Q1075" s="111" t="s">
        <v>0</v>
      </c>
      <c r="R1075" s="111"/>
      <c r="S1075" s="226"/>
      <c r="T1075" s="223"/>
      <c r="U1075" s="111" t="s">
        <v>0</v>
      </c>
      <c r="V1075" s="44"/>
      <c r="W1075" s="91"/>
      <c r="X1075" s="91"/>
      <c r="Y1075" s="91"/>
      <c r="Z1075" s="44"/>
      <c r="AA1075" s="44"/>
      <c r="AB1075" s="44"/>
      <c r="AC1075" s="44"/>
      <c r="AD1075" s="44"/>
      <c r="AE1075" s="44"/>
      <c r="AF1075" s="44"/>
      <c r="AG1075" s="44"/>
      <c r="AH1075" s="44"/>
      <c r="AI1075" s="44"/>
      <c r="AJ1075" s="44"/>
      <c r="AK1075" s="44"/>
      <c r="AL1075" s="44"/>
      <c r="AM1075" s="44"/>
      <c r="AN1075" s="44"/>
      <c r="AO1075" s="44"/>
      <c r="AP1075" s="44"/>
    </row>
    <row r="1076" spans="1:44" ht="16.5" hidden="1" thickTop="1" x14ac:dyDescent="0.25">
      <c r="A1076" s="206" t="s">
        <v>215</v>
      </c>
      <c r="B1076" s="149"/>
      <c r="C1076" s="204">
        <f t="shared" si="151"/>
        <v>566945.793103448</v>
      </c>
      <c r="D1076" s="226"/>
      <c r="E1076" s="223"/>
      <c r="F1076" s="111">
        <f>F1039+F981</f>
        <v>618733</v>
      </c>
      <c r="G1076" s="226"/>
      <c r="H1076" s="223"/>
      <c r="I1076" s="111">
        <f>I1039+I981</f>
        <v>635151</v>
      </c>
      <c r="J1076" s="111"/>
      <c r="K1076" s="226"/>
      <c r="L1076" s="223"/>
      <c r="M1076" s="111">
        <f>M1039+M981</f>
        <v>618733</v>
      </c>
      <c r="N1076" s="111"/>
      <c r="O1076" s="226"/>
      <c r="P1076" s="223"/>
      <c r="Q1076" s="111">
        <f>Q1039+Q981</f>
        <v>0</v>
      </c>
      <c r="R1076" s="111"/>
      <c r="S1076" s="226"/>
      <c r="T1076" s="223"/>
      <c r="U1076" s="111">
        <f>U1039+U981</f>
        <v>0</v>
      </c>
      <c r="V1076" s="44"/>
      <c r="W1076" s="91"/>
      <c r="X1076" s="91"/>
      <c r="Y1076" s="91"/>
      <c r="Z1076" s="44"/>
      <c r="AA1076" s="44"/>
      <c r="AB1076" s="44"/>
      <c r="AC1076" s="44"/>
      <c r="AD1076" s="44"/>
      <c r="AE1076" s="44"/>
      <c r="AF1076" s="44"/>
      <c r="AG1076" s="44"/>
      <c r="AH1076" s="44"/>
      <c r="AI1076" s="44"/>
      <c r="AJ1076" s="44"/>
      <c r="AK1076" s="44"/>
      <c r="AL1076" s="44"/>
      <c r="AM1076" s="44"/>
      <c r="AN1076" s="44"/>
      <c r="AO1076" s="44"/>
      <c r="AP1076" s="44"/>
    </row>
    <row r="1077" spans="1:44" ht="16.5" hidden="1" thickTop="1" x14ac:dyDescent="0.25">
      <c r="A1077" s="206" t="s">
        <v>216</v>
      </c>
      <c r="B1077" s="149"/>
      <c r="C1077" s="204">
        <f t="shared" si="151"/>
        <v>0</v>
      </c>
      <c r="D1077" s="226"/>
      <c r="E1077" s="223"/>
      <c r="F1077" s="111">
        <f>F1040+F982</f>
        <v>0</v>
      </c>
      <c r="G1077" s="226"/>
      <c r="H1077" s="223"/>
      <c r="I1077" s="111">
        <f>I1040+I982</f>
        <v>0</v>
      </c>
      <c r="J1077" s="111"/>
      <c r="K1077" s="226"/>
      <c r="L1077" s="223"/>
      <c r="M1077" s="111">
        <f>M1040+M982</f>
        <v>0</v>
      </c>
      <c r="N1077" s="111"/>
      <c r="O1077" s="226"/>
      <c r="P1077" s="223"/>
      <c r="Q1077" s="111">
        <f>Q1040+Q982</f>
        <v>0</v>
      </c>
      <c r="R1077" s="111"/>
      <c r="S1077" s="226"/>
      <c r="T1077" s="223"/>
      <c r="U1077" s="111">
        <f>U1040+U982</f>
        <v>0</v>
      </c>
      <c r="V1077" s="44"/>
      <c r="W1077" s="91"/>
      <c r="X1077" s="91"/>
      <c r="Y1077" s="91"/>
      <c r="Z1077" s="44"/>
      <c r="AA1077" s="44"/>
      <c r="AB1077" s="44"/>
      <c r="AC1077" s="44"/>
      <c r="AD1077" s="44"/>
      <c r="AE1077" s="44"/>
      <c r="AF1077" s="44"/>
      <c r="AG1077" s="44"/>
      <c r="AH1077" s="44"/>
      <c r="AI1077" s="44"/>
      <c r="AJ1077" s="44"/>
      <c r="AK1077" s="44"/>
      <c r="AL1077" s="44"/>
      <c r="AM1077" s="44"/>
      <c r="AN1077" s="44"/>
      <c r="AO1077" s="44"/>
      <c r="AP1077" s="44"/>
    </row>
    <row r="1078" spans="1:44" ht="16.5" hidden="1" thickTop="1" x14ac:dyDescent="0.25">
      <c r="A1078" s="134" t="s">
        <v>142</v>
      </c>
      <c r="B1078" s="149"/>
      <c r="C1078" s="204">
        <f t="shared" si="151"/>
        <v>489791.48275862099</v>
      </c>
      <c r="D1078" s="226"/>
      <c r="E1078" s="223"/>
      <c r="F1078" s="111">
        <f>F1041+F983</f>
        <v>3899200</v>
      </c>
      <c r="G1078" s="226"/>
      <c r="H1078" s="223"/>
      <c r="I1078" s="111">
        <f>I1041+I983</f>
        <v>3992260</v>
      </c>
      <c r="J1078" s="111"/>
      <c r="K1078" s="226"/>
      <c r="L1078" s="223"/>
      <c r="M1078" s="111" t="e">
        <f>M1041+M983</f>
        <v>#DIV/0!</v>
      </c>
      <c r="N1078" s="111"/>
      <c r="O1078" s="226"/>
      <c r="P1078" s="223"/>
      <c r="Q1078" s="111" t="e">
        <f>Q1041+Q983</f>
        <v>#DIV/0!</v>
      </c>
      <c r="R1078" s="111"/>
      <c r="S1078" s="226"/>
      <c r="T1078" s="223"/>
      <c r="U1078" s="111" t="e">
        <f>U1041+U983</f>
        <v>#DIV/0!</v>
      </c>
      <c r="V1078" s="44"/>
      <c r="W1078" s="91"/>
      <c r="X1078" s="91"/>
      <c r="Y1078" s="91"/>
      <c r="Z1078" s="44"/>
      <c r="AA1078" s="44"/>
      <c r="AB1078" s="44"/>
      <c r="AC1078" s="44"/>
      <c r="AD1078" s="44"/>
      <c r="AE1078" s="44"/>
      <c r="AF1078" s="44"/>
      <c r="AG1078" s="44"/>
      <c r="AH1078" s="44"/>
      <c r="AI1078" s="44"/>
      <c r="AJ1078" s="44"/>
      <c r="AK1078" s="44"/>
      <c r="AL1078" s="44"/>
      <c r="AM1078" s="44"/>
      <c r="AN1078" s="44"/>
      <c r="AO1078" s="44"/>
      <c r="AP1078" s="44"/>
    </row>
    <row r="1079" spans="1:44" ht="16.5" hidden="1" thickTop="1" x14ac:dyDescent="0.25">
      <c r="A1079" s="206" t="s">
        <v>164</v>
      </c>
      <c r="B1079" s="149"/>
      <c r="C1079" s="204"/>
      <c r="D1079" s="226"/>
      <c r="E1079" s="223"/>
      <c r="F1079" s="111"/>
      <c r="G1079" s="226"/>
      <c r="H1079" s="223"/>
      <c r="I1079" s="111"/>
      <c r="J1079" s="111"/>
      <c r="K1079" s="226"/>
      <c r="L1079" s="223"/>
      <c r="M1079" s="111"/>
      <c r="N1079" s="111"/>
      <c r="O1079" s="226"/>
      <c r="P1079" s="223"/>
      <c r="Q1079" s="111"/>
      <c r="R1079" s="111"/>
      <c r="S1079" s="226"/>
      <c r="T1079" s="223"/>
      <c r="U1079" s="111"/>
      <c r="V1079" s="44"/>
      <c r="W1079" s="91"/>
      <c r="X1079" s="91"/>
      <c r="Y1079" s="91"/>
      <c r="Z1079" s="44"/>
      <c r="AA1079" s="44"/>
      <c r="AB1079" s="44"/>
      <c r="AC1079" s="44"/>
      <c r="AD1079" s="44"/>
      <c r="AE1079" s="44"/>
      <c r="AF1079" s="44"/>
      <c r="AG1079" s="44"/>
      <c r="AH1079" s="44"/>
      <c r="AI1079" s="44"/>
      <c r="AJ1079" s="44"/>
      <c r="AK1079" s="44"/>
      <c r="AL1079" s="44"/>
      <c r="AM1079" s="44"/>
      <c r="AN1079" s="44"/>
      <c r="AO1079" s="44"/>
      <c r="AP1079" s="44"/>
    </row>
    <row r="1080" spans="1:44" ht="16.5" hidden="1" thickTop="1" x14ac:dyDescent="0.25">
      <c r="A1080" s="206" t="s">
        <v>203</v>
      </c>
      <c r="B1080" s="149"/>
      <c r="C1080" s="204">
        <f>C1043+C985</f>
        <v>216497250</v>
      </c>
      <c r="D1080" s="318"/>
      <c r="E1080" s="223"/>
      <c r="F1080" s="111">
        <f>F1043+F985</f>
        <v>10260532</v>
      </c>
      <c r="G1080" s="318"/>
      <c r="H1080" s="223"/>
      <c r="I1080" s="111">
        <f>I1043+I985</f>
        <v>10500776</v>
      </c>
      <c r="J1080" s="111"/>
      <c r="K1080" s="318"/>
      <c r="L1080" s="223"/>
      <c r="M1080" s="111">
        <f>M1043+M985</f>
        <v>0</v>
      </c>
      <c r="N1080" s="111"/>
      <c r="O1080" s="318"/>
      <c r="P1080" s="223"/>
      <c r="Q1080" s="111" t="e">
        <f>Q1043+Q985</f>
        <v>#DIV/0!</v>
      </c>
      <c r="R1080" s="111"/>
      <c r="S1080" s="318"/>
      <c r="T1080" s="223"/>
      <c r="U1080" s="111" t="e">
        <f>U1043+U985</f>
        <v>#DIV/0!</v>
      </c>
      <c r="V1080" s="44"/>
      <c r="W1080" s="91"/>
      <c r="X1080" s="91"/>
      <c r="Y1080" s="91"/>
      <c r="Z1080" s="44"/>
      <c r="AA1080" s="44"/>
      <c r="AB1080" s="44"/>
      <c r="AC1080" s="44"/>
      <c r="AD1080" s="44"/>
      <c r="AE1080" s="44"/>
      <c r="AF1080" s="44"/>
      <c r="AG1080" s="44"/>
      <c r="AH1080" s="44"/>
      <c r="AI1080" s="44"/>
      <c r="AJ1080" s="44"/>
      <c r="AK1080" s="44"/>
      <c r="AL1080" s="44"/>
      <c r="AM1080" s="44"/>
      <c r="AN1080" s="44"/>
      <c r="AO1080" s="44"/>
      <c r="AP1080" s="44"/>
    </row>
    <row r="1081" spans="1:44" ht="16.5" hidden="1" thickTop="1" x14ac:dyDescent="0.25">
      <c r="A1081" s="206" t="s">
        <v>133</v>
      </c>
      <c r="B1081" s="149"/>
      <c r="C1081" s="204">
        <f>C1044+C986</f>
        <v>130740.24242424199</v>
      </c>
      <c r="D1081" s="226"/>
      <c r="E1081" s="223"/>
      <c r="F1081" s="111">
        <f>F1044+F986</f>
        <v>73198</v>
      </c>
      <c r="G1081" s="226"/>
      <c r="H1081" s="223"/>
      <c r="I1081" s="111">
        <f>I1044+I986</f>
        <v>74506</v>
      </c>
      <c r="J1081" s="111"/>
      <c r="K1081" s="226"/>
      <c r="L1081" s="223"/>
      <c r="M1081" s="111">
        <f>M1044+M986</f>
        <v>0</v>
      </c>
      <c r="N1081" s="111"/>
      <c r="O1081" s="226"/>
      <c r="P1081" s="223"/>
      <c r="Q1081" s="111" t="e">
        <f>Q1044+Q986</f>
        <v>#DIV/0!</v>
      </c>
      <c r="R1081" s="111"/>
      <c r="S1081" s="226"/>
      <c r="T1081" s="223"/>
      <c r="U1081" s="111" t="e">
        <f>U1044+U986</f>
        <v>#DIV/0!</v>
      </c>
      <c r="V1081" s="44"/>
      <c r="W1081" s="91"/>
      <c r="X1081" s="91"/>
      <c r="Y1081" s="91"/>
      <c r="Z1081" s="44"/>
      <c r="AA1081" s="44"/>
      <c r="AB1081" s="44"/>
      <c r="AC1081" s="44"/>
      <c r="AD1081" s="44"/>
      <c r="AE1081" s="44"/>
      <c r="AF1081" s="44"/>
      <c r="AG1081" s="44"/>
      <c r="AH1081" s="44"/>
      <c r="AI1081" s="44"/>
      <c r="AJ1081" s="44"/>
      <c r="AK1081" s="44"/>
      <c r="AL1081" s="44"/>
      <c r="AM1081" s="44"/>
      <c r="AN1081" s="44"/>
      <c r="AO1081" s="44"/>
      <c r="AP1081" s="44"/>
    </row>
    <row r="1082" spans="1:44" s="120" customFormat="1" ht="16.5" hidden="1" thickTop="1" x14ac:dyDescent="0.25">
      <c r="A1082" s="119" t="s">
        <v>204</v>
      </c>
      <c r="C1082" s="214">
        <f>C1045+C987</f>
        <v>216497250</v>
      </c>
      <c r="D1082" s="128"/>
      <c r="E1082" s="122"/>
      <c r="F1082" s="123"/>
      <c r="G1082" s="110"/>
      <c r="H1082" s="122"/>
      <c r="I1082" s="123">
        <f>I1045+I987</f>
        <v>0</v>
      </c>
      <c r="J1082" s="123"/>
      <c r="K1082" s="110"/>
      <c r="L1082" s="122"/>
      <c r="M1082" s="123">
        <f>M1045+M987</f>
        <v>0</v>
      </c>
      <c r="N1082" s="123"/>
      <c r="O1082" s="110"/>
      <c r="P1082" s="122"/>
      <c r="Q1082" s="123">
        <f>Q1045+Q987</f>
        <v>0</v>
      </c>
      <c r="R1082" s="123"/>
      <c r="S1082" s="110"/>
      <c r="T1082" s="122"/>
      <c r="U1082" s="123">
        <f>U1045+U987</f>
        <v>0</v>
      </c>
      <c r="W1082" s="112"/>
      <c r="Z1082" s="127"/>
      <c r="AA1082" s="127"/>
      <c r="AF1082" s="122"/>
      <c r="AG1082" s="122"/>
      <c r="AH1082" s="122"/>
      <c r="AI1082" s="122"/>
      <c r="AJ1082" s="122"/>
      <c r="AK1082" s="122"/>
      <c r="AL1082" s="122"/>
      <c r="AM1082" s="122"/>
      <c r="AN1082" s="122"/>
      <c r="AO1082" s="122"/>
      <c r="AP1082" s="122"/>
      <c r="AR1082" s="126"/>
    </row>
    <row r="1083" spans="1:44" ht="16.5" hidden="1" thickTop="1" x14ac:dyDescent="0.25">
      <c r="A1083" s="149" t="s">
        <v>114</v>
      </c>
      <c r="B1083" s="149"/>
      <c r="C1083" s="144">
        <f>C1046+C988</f>
        <v>216497250</v>
      </c>
      <c r="D1083" s="212"/>
      <c r="E1083" s="149"/>
      <c r="F1083" s="133">
        <f>F1046+F988</f>
        <v>15355551</v>
      </c>
      <c r="G1083" s="212"/>
      <c r="H1083" s="149"/>
      <c r="I1083" s="133">
        <f>I1046+I988</f>
        <v>15717707</v>
      </c>
      <c r="J1083" s="133"/>
      <c r="K1083" s="212"/>
      <c r="L1083" s="149"/>
      <c r="M1083" s="133" t="e">
        <f>M1046+M988</f>
        <v>#DIV/0!</v>
      </c>
      <c r="N1083" s="133"/>
      <c r="O1083" s="212"/>
      <c r="P1083" s="149"/>
      <c r="Q1083" s="133" t="e">
        <f>Q1046+Q988</f>
        <v>#DIV/0!</v>
      </c>
      <c r="R1083" s="133"/>
      <c r="S1083" s="212"/>
      <c r="T1083" s="149"/>
      <c r="U1083" s="133" t="e">
        <f>U1046+U988</f>
        <v>#DIV/0!</v>
      </c>
      <c r="V1083" s="44"/>
      <c r="W1083" s="91"/>
      <c r="X1083" s="91"/>
      <c r="Y1083" s="91"/>
      <c r="Z1083" s="44"/>
      <c r="AA1083" s="44"/>
      <c r="AB1083" s="44"/>
      <c r="AC1083" s="44"/>
      <c r="AD1083" s="44"/>
      <c r="AE1083" s="44"/>
      <c r="AF1083" s="44"/>
      <c r="AG1083" s="44"/>
      <c r="AH1083" s="44"/>
      <c r="AI1083" s="44"/>
      <c r="AJ1083" s="44"/>
      <c r="AK1083" s="44"/>
      <c r="AL1083" s="44"/>
      <c r="AM1083" s="44"/>
      <c r="AN1083" s="44"/>
      <c r="AO1083" s="44"/>
      <c r="AP1083" s="44"/>
    </row>
    <row r="1084" spans="1:44" ht="16.5" hidden="1" thickTop="1" x14ac:dyDescent="0.25">
      <c r="A1084" s="149" t="s">
        <v>92</v>
      </c>
      <c r="B1084" s="149"/>
      <c r="C1084" s="229">
        <v>673134.21796614002</v>
      </c>
      <c r="D1084" s="134"/>
      <c r="E1084" s="134"/>
      <c r="F1084" s="314">
        <v>47755.918082085824</v>
      </c>
      <c r="G1084" s="134"/>
      <c r="H1084" s="134"/>
      <c r="I1084" s="314">
        <f>F1084</f>
        <v>47755.918082085824</v>
      </c>
      <c r="J1084" s="133"/>
      <c r="K1084" s="134"/>
      <c r="L1084" s="134"/>
      <c r="M1084" s="314" t="e">
        <f>$I$1084*V1012/(V1012+$W$1012+$X$1012)</f>
        <v>#DIV/0!</v>
      </c>
      <c r="N1084" s="133"/>
      <c r="O1084" s="134"/>
      <c r="P1084" s="134"/>
      <c r="Q1084" s="314" t="e">
        <f>$I$1084*W1012/(V1012+$W$1012+$X$1012)</f>
        <v>#DIV/0!</v>
      </c>
      <c r="R1084" s="133"/>
      <c r="S1084" s="134"/>
      <c r="T1084" s="134"/>
      <c r="U1084" s="314" t="e">
        <f>$I$1084*X1012/(V1012+$W$1012+$X$1012)</f>
        <v>#DIV/0!</v>
      </c>
      <c r="V1084" s="165"/>
      <c r="W1084" s="163"/>
      <c r="X1084" s="91"/>
      <c r="Y1084" s="91"/>
      <c r="Z1084" s="44"/>
      <c r="AA1084" s="44"/>
      <c r="AB1084" s="44"/>
      <c r="AC1084" s="44"/>
      <c r="AD1084" s="44"/>
      <c r="AE1084" s="44"/>
      <c r="AF1084" s="44"/>
      <c r="AG1084" s="44"/>
      <c r="AH1084" s="44"/>
      <c r="AI1084" s="44"/>
      <c r="AJ1084" s="44"/>
      <c r="AK1084" s="44"/>
      <c r="AL1084" s="44"/>
      <c r="AM1084" s="44"/>
      <c r="AN1084" s="44"/>
      <c r="AO1084" s="44"/>
      <c r="AP1084" s="44"/>
    </row>
    <row r="1085" spans="1:44" ht="17.25" hidden="1" thickTop="1" thickBot="1" x14ac:dyDescent="0.3">
      <c r="A1085" s="149" t="s">
        <v>115</v>
      </c>
      <c r="B1085" s="149"/>
      <c r="C1085" s="343">
        <f>C1083+C1084</f>
        <v>217170384.21796614</v>
      </c>
      <c r="D1085" s="245"/>
      <c r="E1085" s="232"/>
      <c r="F1085" s="320">
        <f>F1083+F1084</f>
        <v>15403306.918082086</v>
      </c>
      <c r="G1085" s="245"/>
      <c r="H1085" s="232"/>
      <c r="I1085" s="320">
        <f>I1083+I1084</f>
        <v>15765462.918082086</v>
      </c>
      <c r="J1085" s="133"/>
      <c r="K1085" s="245"/>
      <c r="L1085" s="232"/>
      <c r="M1085" s="320" t="e">
        <f>M1083+M1084</f>
        <v>#DIV/0!</v>
      </c>
      <c r="N1085" s="133"/>
      <c r="O1085" s="245"/>
      <c r="P1085" s="232"/>
      <c r="Q1085" s="320" t="e">
        <f>Q1083+Q1084</f>
        <v>#DIV/0!</v>
      </c>
      <c r="R1085" s="133"/>
      <c r="S1085" s="245"/>
      <c r="T1085" s="232"/>
      <c r="U1085" s="320" t="e">
        <f>U1083+U1084</f>
        <v>#DIV/0!</v>
      </c>
      <c r="V1085" s="166"/>
      <c r="W1085" s="167"/>
      <c r="X1085" s="91"/>
      <c r="Y1085" s="91"/>
      <c r="Z1085" s="44"/>
      <c r="AA1085" s="44"/>
      <c r="AB1085" s="44"/>
      <c r="AC1085" s="44"/>
      <c r="AD1085" s="44"/>
      <c r="AE1085" s="44"/>
      <c r="AF1085" s="44"/>
      <c r="AG1085" s="44"/>
      <c r="AH1085" s="44"/>
      <c r="AI1085" s="44"/>
      <c r="AJ1085" s="44"/>
      <c r="AK1085" s="44"/>
      <c r="AL1085" s="44"/>
      <c r="AM1085" s="44"/>
      <c r="AN1085" s="44"/>
      <c r="AO1085" s="44"/>
      <c r="AP1085" s="44"/>
    </row>
    <row r="1086" spans="1:44" ht="16.5" hidden="1" thickTop="1" x14ac:dyDescent="0.25">
      <c r="A1086" s="149"/>
      <c r="B1086" s="149"/>
      <c r="C1086" s="169"/>
      <c r="D1086" s="226" t="s">
        <v>0</v>
      </c>
      <c r="E1086" s="149"/>
      <c r="F1086" s="111"/>
      <c r="G1086" s="250" t="s">
        <v>0</v>
      </c>
      <c r="H1086" s="149"/>
      <c r="I1086" s="111" t="s">
        <v>0</v>
      </c>
      <c r="J1086" s="111"/>
      <c r="K1086" s="250" t="s">
        <v>0</v>
      </c>
      <c r="L1086" s="149"/>
      <c r="M1086" s="111" t="s">
        <v>0</v>
      </c>
      <c r="N1086" s="111"/>
      <c r="O1086" s="250" t="s">
        <v>0</v>
      </c>
      <c r="P1086" s="149"/>
      <c r="Q1086" s="111" t="s">
        <v>0</v>
      </c>
      <c r="R1086" s="111"/>
      <c r="S1086" s="250" t="s">
        <v>0</v>
      </c>
      <c r="T1086" s="149"/>
      <c r="U1086" s="111" t="s">
        <v>0</v>
      </c>
      <c r="V1086" s="44"/>
      <c r="W1086" s="91"/>
      <c r="X1086" s="91"/>
      <c r="Y1086" s="91"/>
      <c r="Z1086" s="44"/>
      <c r="AA1086" s="44"/>
      <c r="AB1086" s="44"/>
      <c r="AC1086" s="44"/>
      <c r="AD1086" s="44"/>
      <c r="AE1086" s="44"/>
      <c r="AF1086" s="44"/>
      <c r="AG1086" s="44"/>
      <c r="AH1086" s="44"/>
      <c r="AI1086" s="44"/>
      <c r="AJ1086" s="44"/>
      <c r="AK1086" s="44"/>
      <c r="AL1086" s="44"/>
      <c r="AM1086" s="44"/>
      <c r="AN1086" s="44"/>
      <c r="AO1086" s="44"/>
      <c r="AP1086" s="44"/>
    </row>
    <row r="1087" spans="1:44" ht="16.5" thickTop="1" x14ac:dyDescent="0.25">
      <c r="A1087" s="168" t="s">
        <v>217</v>
      </c>
      <c r="B1087" s="149"/>
      <c r="C1087" s="149"/>
      <c r="D1087" s="111"/>
      <c r="E1087" s="149"/>
      <c r="F1087" s="149"/>
      <c r="G1087" s="111"/>
      <c r="H1087" s="149"/>
      <c r="I1087" s="149"/>
      <c r="J1087" s="149"/>
      <c r="K1087" s="111"/>
      <c r="L1087" s="149"/>
      <c r="M1087" s="149"/>
      <c r="N1087" s="149"/>
      <c r="O1087" s="111"/>
      <c r="P1087" s="149"/>
      <c r="Q1087" s="149"/>
      <c r="R1087" s="149"/>
      <c r="S1087" s="111"/>
      <c r="T1087" s="149"/>
      <c r="U1087" s="149"/>
      <c r="V1087" s="44"/>
      <c r="W1087" s="91"/>
      <c r="X1087" s="91"/>
      <c r="Y1087" s="91"/>
      <c r="Z1087" s="44"/>
      <c r="AA1087" s="44"/>
      <c r="AB1087" s="44"/>
      <c r="AC1087" s="44"/>
      <c r="AD1087" s="44"/>
      <c r="AE1087" s="44"/>
      <c r="AF1087" s="44"/>
      <c r="AG1087" s="44"/>
      <c r="AH1087" s="44"/>
      <c r="AI1087" s="44"/>
      <c r="AJ1087" s="44"/>
      <c r="AK1087" s="44"/>
      <c r="AL1087" s="44"/>
      <c r="AM1087" s="44"/>
      <c r="AN1087" s="44"/>
      <c r="AO1087" s="44"/>
      <c r="AP1087" s="44"/>
    </row>
    <row r="1088" spans="1:44" x14ac:dyDescent="0.25">
      <c r="A1088" s="299" t="s">
        <v>229</v>
      </c>
      <c r="B1088" s="149"/>
      <c r="C1088" s="149"/>
      <c r="D1088" s="111"/>
      <c r="E1088" s="149"/>
      <c r="F1088" s="149"/>
      <c r="G1088" s="111"/>
      <c r="H1088" s="149"/>
      <c r="I1088" s="149"/>
      <c r="J1088" s="149"/>
      <c r="K1088" s="111"/>
      <c r="L1088" s="149"/>
      <c r="M1088" s="149"/>
      <c r="N1088" s="149"/>
      <c r="O1088" s="111"/>
      <c r="P1088" s="149"/>
      <c r="Q1088" s="149"/>
      <c r="R1088" s="149"/>
      <c r="S1088" s="111"/>
      <c r="T1088" s="149"/>
      <c r="U1088" s="149"/>
      <c r="V1088" s="44"/>
      <c r="W1088" s="91"/>
      <c r="X1088" s="91"/>
      <c r="Y1088" s="91"/>
      <c r="Z1088" s="44"/>
      <c r="AA1088" s="44"/>
      <c r="AB1088" s="44"/>
      <c r="AC1088" s="44"/>
      <c r="AD1088" s="44"/>
      <c r="AE1088" s="44"/>
      <c r="AF1088" s="44"/>
      <c r="AG1088" s="44"/>
      <c r="AH1088" s="44"/>
      <c r="AI1088" s="44"/>
      <c r="AJ1088" s="44"/>
      <c r="AK1088" s="44"/>
      <c r="AL1088" s="44"/>
      <c r="AM1088" s="44"/>
      <c r="AN1088" s="44"/>
      <c r="AO1088" s="44"/>
      <c r="AP1088" s="44"/>
    </row>
    <row r="1089" spans="1:44" x14ac:dyDescent="0.25">
      <c r="A1089" s="206"/>
      <c r="B1089" s="149"/>
      <c r="C1089" s="149"/>
      <c r="D1089" s="111"/>
      <c r="E1089" s="149"/>
      <c r="F1089" s="149"/>
      <c r="G1089" s="111"/>
      <c r="H1089" s="149"/>
      <c r="I1089" s="149"/>
      <c r="J1089" s="149"/>
      <c r="K1089" s="111"/>
      <c r="L1089" s="149"/>
      <c r="M1089" s="149"/>
      <c r="N1089" s="149"/>
      <c r="O1089" s="111"/>
      <c r="P1089" s="149"/>
      <c r="Q1089" s="149"/>
      <c r="R1089" s="149"/>
      <c r="S1089" s="111"/>
      <c r="T1089" s="149"/>
      <c r="U1089" s="149"/>
      <c r="V1089" s="44"/>
      <c r="W1089" s="91"/>
      <c r="X1089" s="91"/>
      <c r="Y1089" s="91"/>
      <c r="Z1089" s="44"/>
      <c r="AA1089" s="44"/>
      <c r="AB1089" s="44"/>
      <c r="AC1089" s="44"/>
      <c r="AD1089" s="44"/>
      <c r="AE1089" s="44"/>
      <c r="AF1089" s="44"/>
      <c r="AG1089" s="44"/>
      <c r="AH1089" s="44"/>
      <c r="AI1089" s="44"/>
      <c r="AJ1089" s="44"/>
      <c r="AK1089" s="44"/>
      <c r="AL1089" s="44"/>
      <c r="AM1089" s="44"/>
      <c r="AN1089" s="44"/>
      <c r="AO1089" s="44"/>
      <c r="AP1089" s="44"/>
    </row>
    <row r="1090" spans="1:44" x14ac:dyDescent="0.25">
      <c r="A1090" s="206" t="s">
        <v>127</v>
      </c>
      <c r="B1090" s="149"/>
      <c r="C1090" s="204"/>
      <c r="D1090" s="111"/>
      <c r="E1090" s="149"/>
      <c r="F1090" s="149"/>
      <c r="G1090" s="111"/>
      <c r="H1090" s="149"/>
      <c r="I1090" s="149" t="s">
        <v>0</v>
      </c>
      <c r="J1090" s="149"/>
      <c r="K1090" s="111"/>
      <c r="L1090" s="149"/>
      <c r="M1090" s="149"/>
      <c r="N1090" s="149"/>
      <c r="O1090" s="111"/>
      <c r="P1090" s="149"/>
      <c r="Q1090" s="149"/>
      <c r="R1090" s="149"/>
      <c r="S1090" s="111"/>
      <c r="T1090" s="149"/>
      <c r="U1090" s="149"/>
      <c r="V1090" s="44"/>
      <c r="AH1090" s="44"/>
      <c r="AI1090" s="44"/>
      <c r="AJ1090" s="44"/>
      <c r="AK1090" s="44"/>
      <c r="AL1090" s="44"/>
      <c r="AM1090" s="44"/>
      <c r="AN1090" s="44"/>
      <c r="AO1090" s="44"/>
      <c r="AP1090" s="44"/>
    </row>
    <row r="1091" spans="1:44" x14ac:dyDescent="0.25">
      <c r="A1091" s="134" t="s">
        <v>230</v>
      </c>
      <c r="B1091" s="149"/>
      <c r="C1091" s="204">
        <v>0</v>
      </c>
      <c r="D1091" s="226" t="s">
        <v>0</v>
      </c>
      <c r="E1091" s="223"/>
      <c r="F1091" s="111">
        <f>ROUND(C1091*D1091,0)</f>
        <v>0</v>
      </c>
      <c r="G1091" s="226" t="s">
        <v>0</v>
      </c>
      <c r="H1091" s="223"/>
      <c r="I1091" s="111">
        <f>ROUND(G1091*$C1091,0)</f>
        <v>0</v>
      </c>
      <c r="J1091" s="111"/>
      <c r="K1091" s="226" t="s">
        <v>0</v>
      </c>
      <c r="L1091" s="223"/>
      <c r="M1091" s="111">
        <v>0</v>
      </c>
      <c r="N1091" s="111"/>
      <c r="O1091" s="226" t="s">
        <v>0</v>
      </c>
      <c r="P1091" s="223"/>
      <c r="Q1091" s="111">
        <v>0</v>
      </c>
      <c r="R1091" s="111"/>
      <c r="S1091" s="226" t="s">
        <v>0</v>
      </c>
      <c r="T1091" s="223"/>
      <c r="U1091" s="111">
        <v>0</v>
      </c>
      <c r="V1091" s="44"/>
      <c r="X1091" s="344"/>
      <c r="Y1091" s="344"/>
      <c r="AA1091" s="178"/>
      <c r="AB1091" s="323"/>
      <c r="AC1091" s="178"/>
      <c r="AD1091" s="323"/>
      <c r="AE1091" s="178"/>
      <c r="AF1091" s="178"/>
      <c r="AG1091" s="323"/>
      <c r="AH1091" s="44"/>
      <c r="AI1091" s="44"/>
      <c r="AJ1091" s="44"/>
      <c r="AK1091" s="44"/>
      <c r="AL1091" s="44"/>
      <c r="AM1091" s="44"/>
      <c r="AN1091" s="44"/>
      <c r="AO1091" s="44"/>
      <c r="AP1091" s="44"/>
    </row>
    <row r="1092" spans="1:44" x14ac:dyDescent="0.25">
      <c r="A1092" s="134" t="s">
        <v>231</v>
      </c>
      <c r="B1092" s="149"/>
      <c r="C1092" s="204">
        <v>12.033333333333299</v>
      </c>
      <c r="D1092" s="226">
        <v>2679</v>
      </c>
      <c r="E1092" s="251"/>
      <c r="F1092" s="111">
        <f>ROUND(C1092*D1092,0)</f>
        <v>32237</v>
      </c>
      <c r="G1092" s="226">
        <v>2849</v>
      </c>
      <c r="H1092" s="251"/>
      <c r="I1092" s="111">
        <f>ROUND(G1092*$C1092,0)</f>
        <v>34283</v>
      </c>
      <c r="J1092" s="111"/>
      <c r="K1092" s="226">
        <v>2679</v>
      </c>
      <c r="L1092" s="251"/>
      <c r="M1092" s="111">
        <v>32237</v>
      </c>
      <c r="N1092" s="111"/>
      <c r="O1092" s="226" t="s">
        <v>0</v>
      </c>
      <c r="P1092" s="251"/>
      <c r="Q1092" s="111">
        <v>0</v>
      </c>
      <c r="R1092" s="111"/>
      <c r="S1092" s="226" t="s">
        <v>0</v>
      </c>
      <c r="T1092" s="251"/>
      <c r="U1092" s="111">
        <v>0</v>
      </c>
      <c r="V1092" s="44"/>
      <c r="X1092" s="330">
        <f>(G1092-D1092)/D1092</f>
        <v>6.3456513624486746E-2</v>
      </c>
      <c r="Y1092" s="142"/>
      <c r="AA1092" s="178"/>
      <c r="AB1092" s="323"/>
      <c r="AC1092" s="178"/>
      <c r="AD1092" s="323"/>
      <c r="AE1092" s="178"/>
      <c r="AF1092" s="178"/>
      <c r="AG1092" s="323"/>
      <c r="AH1092" s="44"/>
      <c r="AI1092" s="44"/>
      <c r="AJ1092" s="44"/>
      <c r="AK1092" s="44"/>
      <c r="AL1092" s="44"/>
      <c r="AM1092" s="44"/>
      <c r="AN1092" s="44"/>
      <c r="AO1092" s="44"/>
      <c r="AP1092" s="44"/>
    </row>
    <row r="1093" spans="1:44" x14ac:dyDescent="0.25">
      <c r="A1093" s="206" t="s">
        <v>128</v>
      </c>
      <c r="B1093" s="149"/>
      <c r="C1093" s="204">
        <f>SUM(C1091:C1092)</f>
        <v>12.033333333333299</v>
      </c>
      <c r="D1093" s="226"/>
      <c r="E1093" s="223"/>
      <c r="F1093" s="111" t="s">
        <v>0</v>
      </c>
      <c r="G1093" s="226" t="s">
        <v>0</v>
      </c>
      <c r="H1093" s="223"/>
      <c r="I1093" s="111" t="s">
        <v>0</v>
      </c>
      <c r="J1093" s="111"/>
      <c r="K1093" s="226" t="s">
        <v>0</v>
      </c>
      <c r="L1093" s="223"/>
      <c r="M1093" s="111" t="s">
        <v>0</v>
      </c>
      <c r="N1093" s="111"/>
      <c r="O1093" s="226" t="s">
        <v>0</v>
      </c>
      <c r="P1093" s="223"/>
      <c r="Q1093" s="111" t="s">
        <v>0</v>
      </c>
      <c r="R1093" s="111"/>
      <c r="S1093" s="226" t="s">
        <v>0</v>
      </c>
      <c r="T1093" s="223"/>
      <c r="U1093" s="111" t="s">
        <v>0</v>
      </c>
      <c r="V1093" s="44"/>
      <c r="X1093" s="345"/>
      <c r="AA1093" s="178"/>
      <c r="AB1093" s="323"/>
      <c r="AC1093" s="178"/>
      <c r="AD1093" s="323"/>
      <c r="AE1093" s="178"/>
      <c r="AF1093" s="178"/>
      <c r="AG1093" s="323"/>
      <c r="AH1093" s="44"/>
      <c r="AI1093" s="44"/>
      <c r="AJ1093" s="44"/>
      <c r="AK1093" s="44"/>
      <c r="AL1093" s="44"/>
      <c r="AM1093" s="44"/>
      <c r="AN1093" s="44"/>
      <c r="AO1093" s="44"/>
      <c r="AP1093" s="44"/>
    </row>
    <row r="1094" spans="1:44" x14ac:dyDescent="0.25">
      <c r="A1094" s="206" t="s">
        <v>215</v>
      </c>
      <c r="B1094" s="149"/>
      <c r="C1094" s="204">
        <v>0</v>
      </c>
      <c r="D1094" s="226"/>
      <c r="E1094" s="223"/>
      <c r="F1094" s="111">
        <f>ROUND(C1094*D1094,0)</f>
        <v>0</v>
      </c>
      <c r="G1094" s="226" t="s">
        <v>0</v>
      </c>
      <c r="H1094" s="223"/>
      <c r="I1094" s="111">
        <f>ROUND(G1094*$C1094,0)</f>
        <v>0</v>
      </c>
      <c r="J1094" s="111"/>
      <c r="K1094" s="226" t="s">
        <v>0</v>
      </c>
      <c r="L1094" s="223"/>
      <c r="M1094" s="111">
        <v>0</v>
      </c>
      <c r="N1094" s="111"/>
      <c r="O1094" s="226" t="s">
        <v>0</v>
      </c>
      <c r="P1094" s="223"/>
      <c r="Q1094" s="111">
        <v>0</v>
      </c>
      <c r="R1094" s="111"/>
      <c r="S1094" s="226" t="s">
        <v>0</v>
      </c>
      <c r="T1094" s="223"/>
      <c r="U1094" s="111">
        <v>0</v>
      </c>
      <c r="V1094" s="44"/>
      <c r="X1094" s="345"/>
      <c r="AA1094" s="178"/>
      <c r="AB1094" s="323"/>
      <c r="AC1094" s="178"/>
      <c r="AD1094" s="323"/>
      <c r="AE1094" s="178"/>
      <c r="AF1094" s="178"/>
      <c r="AG1094" s="323"/>
      <c r="AH1094" s="44"/>
      <c r="AI1094" s="44"/>
      <c r="AJ1094" s="44"/>
      <c r="AK1094" s="44"/>
      <c r="AL1094" s="44"/>
      <c r="AM1094" s="44"/>
      <c r="AN1094" s="44"/>
      <c r="AO1094" s="44"/>
      <c r="AP1094" s="44"/>
    </row>
    <row r="1095" spans="1:44" x14ac:dyDescent="0.25">
      <c r="A1095" s="134" t="s">
        <v>232</v>
      </c>
      <c r="B1095" s="149"/>
      <c r="C1095" s="204">
        <v>703485</v>
      </c>
      <c r="D1095" s="226">
        <v>0.25</v>
      </c>
      <c r="E1095" s="223"/>
      <c r="F1095" s="111">
        <f>ROUND(C1095*D1095,0)</f>
        <v>175871</v>
      </c>
      <c r="G1095" s="226">
        <v>0.26</v>
      </c>
      <c r="H1095" s="223"/>
      <c r="I1095" s="111">
        <f>ROUND(G1095*$C1095,0)</f>
        <v>182906</v>
      </c>
      <c r="J1095" s="111"/>
      <c r="K1095" s="226">
        <v>0.25</v>
      </c>
      <c r="L1095" s="223"/>
      <c r="M1095" s="111">
        <v>175871</v>
      </c>
      <c r="N1095" s="111"/>
      <c r="O1095" s="226" t="s">
        <v>0</v>
      </c>
      <c r="P1095" s="223"/>
      <c r="Q1095" s="111">
        <v>0</v>
      </c>
      <c r="R1095" s="111"/>
      <c r="S1095" s="226" t="s">
        <v>0</v>
      </c>
      <c r="T1095" s="223"/>
      <c r="U1095" s="111">
        <v>0</v>
      </c>
      <c r="V1095" s="44"/>
      <c r="X1095" s="330">
        <f>(G1095-D1095)/D1095</f>
        <v>4.0000000000000036E-2</v>
      </c>
      <c r="Y1095" s="142"/>
      <c r="AA1095" s="178"/>
      <c r="AB1095" s="323"/>
      <c r="AC1095" s="178"/>
      <c r="AD1095" s="323"/>
      <c r="AE1095" s="178"/>
      <c r="AF1095" s="178"/>
      <c r="AG1095" s="323"/>
      <c r="AH1095" s="44"/>
      <c r="AI1095" s="44"/>
      <c r="AJ1095" s="44"/>
      <c r="AK1095" s="44"/>
      <c r="AL1095" s="44"/>
      <c r="AM1095" s="44"/>
      <c r="AN1095" s="44"/>
      <c r="AO1095" s="44"/>
      <c r="AP1095" s="44"/>
    </row>
    <row r="1096" spans="1:44" x14ac:dyDescent="0.25">
      <c r="A1096" s="134" t="s">
        <v>142</v>
      </c>
      <c r="B1096" s="149"/>
      <c r="C1096" s="204">
        <v>684594</v>
      </c>
      <c r="D1096" s="226">
        <v>7.74</v>
      </c>
      <c r="E1096" s="223"/>
      <c r="F1096" s="111">
        <f>ROUND(C1096*D1096,0)</f>
        <v>5298758</v>
      </c>
      <c r="G1096" s="226">
        <v>7.92</v>
      </c>
      <c r="H1096" s="223"/>
      <c r="I1096" s="111">
        <f>ROUND(G1096*$C1096,0)</f>
        <v>5421984</v>
      </c>
      <c r="J1096" s="111"/>
      <c r="K1096" s="226" t="e">
        <v>#DIV/0!</v>
      </c>
      <c r="L1096" s="223"/>
      <c r="M1096" s="111" t="e">
        <v>#DIV/0!</v>
      </c>
      <c r="N1096" s="111"/>
      <c r="O1096" s="226" t="e">
        <v>#DIV/0!</v>
      </c>
      <c r="P1096" s="223"/>
      <c r="Q1096" s="111" t="e">
        <v>#DIV/0!</v>
      </c>
      <c r="R1096" s="111"/>
      <c r="S1096" s="226" t="e">
        <v>#DIV/0!</v>
      </c>
      <c r="T1096" s="223"/>
      <c r="U1096" s="111" t="e">
        <v>#DIV/0!</v>
      </c>
      <c r="V1096" s="44"/>
      <c r="X1096" s="330">
        <f>(G1096-D1096)/D1096</f>
        <v>2.3255813953488334E-2</v>
      </c>
      <c r="Y1096" s="142"/>
      <c r="Z1096" s="91"/>
      <c r="AA1096" s="324"/>
      <c r="AB1096" s="323"/>
      <c r="AC1096" s="324"/>
      <c r="AD1096" s="323"/>
      <c r="AE1096" s="324"/>
      <c r="AF1096" s="91"/>
      <c r="AG1096" s="323"/>
      <c r="AH1096" s="44"/>
      <c r="AI1096" s="44"/>
      <c r="AJ1096" s="44"/>
      <c r="AK1096" s="44"/>
      <c r="AL1096" s="44"/>
      <c r="AM1096" s="44"/>
      <c r="AN1096" s="44"/>
      <c r="AO1096" s="44"/>
      <c r="AP1096" s="44"/>
    </row>
    <row r="1097" spans="1:44" x14ac:dyDescent="0.25">
      <c r="A1097" s="206" t="s">
        <v>164</v>
      </c>
      <c r="B1097" s="149"/>
      <c r="C1097" s="148" t="s">
        <v>0</v>
      </c>
      <c r="D1097" s="322"/>
      <c r="E1097" s="223"/>
      <c r="F1097" s="111"/>
      <c r="G1097" s="322" t="s">
        <v>0</v>
      </c>
      <c r="H1097" s="223"/>
      <c r="I1097" s="111"/>
      <c r="J1097" s="111"/>
      <c r="K1097" s="322" t="s">
        <v>0</v>
      </c>
      <c r="L1097" s="223"/>
      <c r="M1097" s="111"/>
      <c r="N1097" s="111"/>
      <c r="O1097" s="322" t="s">
        <v>0</v>
      </c>
      <c r="P1097" s="223"/>
      <c r="Q1097" s="111"/>
      <c r="R1097" s="111"/>
      <c r="S1097" s="322" t="s">
        <v>0</v>
      </c>
      <c r="T1097" s="223"/>
      <c r="U1097" s="111"/>
      <c r="V1097" s="44"/>
      <c r="X1097" s="345"/>
      <c r="Z1097" s="91"/>
      <c r="AA1097" s="44"/>
      <c r="AB1097" s="44"/>
      <c r="AC1097" s="44"/>
      <c r="AD1097" s="44"/>
      <c r="AE1097" s="44"/>
      <c r="AF1097" s="44"/>
      <c r="AG1097" s="44"/>
      <c r="AH1097" s="44"/>
      <c r="AI1097" s="44"/>
      <c r="AJ1097" s="44"/>
      <c r="AK1097" s="44"/>
      <c r="AL1097" s="44"/>
      <c r="AM1097" s="44"/>
      <c r="AN1097" s="44"/>
      <c r="AO1097" s="44"/>
      <c r="AP1097" s="44"/>
    </row>
    <row r="1098" spans="1:44" x14ac:dyDescent="0.25">
      <c r="A1098" s="206" t="s">
        <v>203</v>
      </c>
      <c r="B1098" s="149"/>
      <c r="C1098" s="204">
        <v>458478000</v>
      </c>
      <c r="D1098" s="307">
        <v>4.649</v>
      </c>
      <c r="E1098" s="223" t="s">
        <v>89</v>
      </c>
      <c r="F1098" s="111">
        <f>ROUND(C1098/100*D1098,0)</f>
        <v>21314642</v>
      </c>
      <c r="G1098" s="307">
        <v>4.758</v>
      </c>
      <c r="H1098" s="223" t="s">
        <v>89</v>
      </c>
      <c r="I1098" s="111">
        <f>ROUND(G1098/100*$C1098,0)</f>
        <v>21814383</v>
      </c>
      <c r="J1098" s="111"/>
      <c r="K1098" s="307" t="s">
        <v>0</v>
      </c>
      <c r="L1098" s="295" t="s">
        <v>0</v>
      </c>
      <c r="M1098" s="111">
        <v>0</v>
      </c>
      <c r="N1098" s="111"/>
      <c r="O1098" s="307" t="e">
        <v>#DIV/0!</v>
      </c>
      <c r="P1098" s="223" t="s">
        <v>89</v>
      </c>
      <c r="Q1098" s="111" t="e">
        <v>#DIV/0!</v>
      </c>
      <c r="R1098" s="111"/>
      <c r="S1098" s="307" t="e">
        <v>#DIV/0!</v>
      </c>
      <c r="T1098" s="223" t="s">
        <v>89</v>
      </c>
      <c r="U1098" s="111" t="e">
        <v>#DIV/0!</v>
      </c>
      <c r="V1098" s="44"/>
      <c r="X1098" s="330">
        <f>((G1098+G1100)-D1098)/D1098</f>
        <v>2.3445902344590232E-2</v>
      </c>
      <c r="Y1098" s="142"/>
      <c r="Z1098" s="91"/>
      <c r="AA1098" s="44"/>
      <c r="AB1098" s="44"/>
      <c r="AC1098" s="44"/>
      <c r="AD1098" s="44"/>
      <c r="AE1098" s="44"/>
      <c r="AF1098" s="44"/>
      <c r="AG1098" s="44"/>
      <c r="AH1098" s="44"/>
      <c r="AI1098" s="44"/>
      <c r="AJ1098" s="44"/>
      <c r="AK1098" s="44"/>
      <c r="AL1098" s="44"/>
      <c r="AM1098" s="44"/>
      <c r="AN1098" s="44"/>
      <c r="AO1098" s="44"/>
      <c r="AP1098" s="44"/>
    </row>
    <row r="1099" spans="1:44" x14ac:dyDescent="0.25">
      <c r="A1099" s="206" t="s">
        <v>133</v>
      </c>
      <c r="B1099" s="149"/>
      <c r="C1099" s="204">
        <v>183540.86666666699</v>
      </c>
      <c r="D1099" s="226">
        <v>0.54</v>
      </c>
      <c r="E1099" s="223"/>
      <c r="F1099" s="111">
        <f>ROUND(C1099*D1099,0)</f>
        <v>99112</v>
      </c>
      <c r="G1099" s="226">
        <v>0.55000000000000004</v>
      </c>
      <c r="H1099" s="223"/>
      <c r="I1099" s="111">
        <f>ROUND(G1099*$C1099,0)</f>
        <v>100947</v>
      </c>
      <c r="J1099" s="111"/>
      <c r="K1099" s="226" t="s">
        <v>0</v>
      </c>
      <c r="L1099" s="223"/>
      <c r="M1099" s="111">
        <v>0</v>
      </c>
      <c r="N1099" s="111"/>
      <c r="O1099" s="226" t="e">
        <v>#DIV/0!</v>
      </c>
      <c r="P1099" s="223"/>
      <c r="Q1099" s="111" t="e">
        <v>#DIV/0!</v>
      </c>
      <c r="R1099" s="111"/>
      <c r="S1099" s="226" t="e">
        <v>#DIV/0!</v>
      </c>
      <c r="T1099" s="223"/>
      <c r="U1099" s="111" t="e">
        <v>#DIV/0!</v>
      </c>
      <c r="V1099" s="44"/>
      <c r="X1099" s="330">
        <f>(G1099-D1099)/D1099</f>
        <v>1.8518518518518535E-2</v>
      </c>
      <c r="Y1099" s="142"/>
      <c r="Z1099" s="91"/>
      <c r="AA1099" s="44"/>
      <c r="AB1099" s="44"/>
      <c r="AC1099" s="44"/>
      <c r="AD1099" s="44"/>
      <c r="AE1099" s="44"/>
      <c r="AF1099" s="44"/>
      <c r="AG1099" s="44"/>
      <c r="AH1099" s="44"/>
      <c r="AI1099" s="44"/>
      <c r="AJ1099" s="44"/>
      <c r="AK1099" s="44"/>
      <c r="AL1099" s="44"/>
      <c r="AM1099" s="44"/>
      <c r="AN1099" s="44"/>
      <c r="AO1099" s="44"/>
      <c r="AP1099" s="44"/>
    </row>
    <row r="1100" spans="1:44" s="120" customFormat="1" hidden="1" x14ac:dyDescent="0.25">
      <c r="A1100" s="119" t="s">
        <v>204</v>
      </c>
      <c r="C1100" s="121">
        <f>C1098</f>
        <v>458478000</v>
      </c>
      <c r="D1100" s="128">
        <v>0</v>
      </c>
      <c r="E1100" s="122"/>
      <c r="F1100" s="123"/>
      <c r="G1100" s="124">
        <v>0</v>
      </c>
      <c r="H1100" s="256" t="s">
        <v>89</v>
      </c>
      <c r="I1100" s="256">
        <f>ROUND(G1100*$C1100/100,0)</f>
        <v>0</v>
      </c>
      <c r="J1100" s="256"/>
      <c r="K1100" s="124" t="s">
        <v>0</v>
      </c>
      <c r="L1100" s="256" t="s">
        <v>0</v>
      </c>
      <c r="M1100" s="111">
        <v>0</v>
      </c>
      <c r="N1100" s="256"/>
      <c r="O1100" s="124" t="s">
        <v>0</v>
      </c>
      <c r="P1100" s="256" t="s">
        <v>0</v>
      </c>
      <c r="Q1100" s="111">
        <v>0</v>
      </c>
      <c r="R1100" s="256"/>
      <c r="S1100" s="124">
        <v>0</v>
      </c>
      <c r="T1100" s="256" t="s">
        <v>89</v>
      </c>
      <c r="U1100" s="111">
        <v>0</v>
      </c>
      <c r="V1100" s="126">
        <v>13164524.379283957</v>
      </c>
      <c r="W1100" s="112" t="s">
        <v>205</v>
      </c>
      <c r="Z1100" s="127"/>
      <c r="AA1100" s="127"/>
      <c r="AF1100" s="122"/>
      <c r="AG1100" s="122"/>
      <c r="AH1100" s="122"/>
      <c r="AI1100" s="122"/>
      <c r="AJ1100" s="122"/>
      <c r="AK1100" s="122"/>
      <c r="AL1100" s="122"/>
      <c r="AM1100" s="122"/>
      <c r="AN1100" s="122"/>
      <c r="AO1100" s="122"/>
      <c r="AP1100" s="122"/>
      <c r="AR1100" s="126"/>
    </row>
    <row r="1101" spans="1:44" s="120" customFormat="1" hidden="1" x14ac:dyDescent="0.25">
      <c r="A1101" s="182" t="s">
        <v>206</v>
      </c>
      <c r="B1101" s="183"/>
      <c r="C1101" s="341"/>
      <c r="D1101" s="334">
        <v>4.649</v>
      </c>
      <c r="E1101" s="272" t="s">
        <v>89</v>
      </c>
      <c r="F1101" s="187"/>
      <c r="G1101" s="334">
        <f>G1098+G1100</f>
        <v>4.758</v>
      </c>
      <c r="H1101" s="272" t="s">
        <v>89</v>
      </c>
      <c r="I1101" s="272"/>
      <c r="J1101" s="272"/>
      <c r="K1101" s="334" t="s">
        <v>0</v>
      </c>
      <c r="L1101" s="272" t="s">
        <v>0</v>
      </c>
      <c r="M1101" s="272"/>
      <c r="N1101" s="272"/>
      <c r="O1101" s="334" t="e">
        <f>O1098+O1100</f>
        <v>#DIV/0!</v>
      </c>
      <c r="P1101" s="272" t="s">
        <v>89</v>
      </c>
      <c r="Q1101" s="272"/>
      <c r="R1101" s="272"/>
      <c r="S1101" s="334" t="e">
        <f>S1098+S1100</f>
        <v>#DIV/0!</v>
      </c>
      <c r="T1101" s="272" t="s">
        <v>89</v>
      </c>
      <c r="U1101" s="272"/>
      <c r="V1101" s="126"/>
      <c r="W1101" s="112"/>
      <c r="X1101" s="330">
        <f>(G1101-D1101)/D1101</f>
        <v>2.3445902344590232E-2</v>
      </c>
      <c r="Z1101" s="127"/>
      <c r="AA1101" s="127"/>
      <c r="AF1101" s="122"/>
      <c r="AG1101" s="122"/>
      <c r="AH1101" s="122"/>
      <c r="AI1101" s="122"/>
      <c r="AJ1101" s="122"/>
      <c r="AK1101" s="122"/>
      <c r="AL1101" s="122"/>
      <c r="AM1101" s="122"/>
      <c r="AN1101" s="122"/>
      <c r="AO1101" s="122"/>
      <c r="AP1101" s="122"/>
      <c r="AR1101" s="126"/>
    </row>
    <row r="1102" spans="1:44" x14ac:dyDescent="0.25">
      <c r="A1102" s="149" t="s">
        <v>114</v>
      </c>
      <c r="B1102" s="149"/>
      <c r="C1102" s="204">
        <f>C1098</f>
        <v>458478000</v>
      </c>
      <c r="D1102" s="212"/>
      <c r="E1102" s="149"/>
      <c r="F1102" s="111">
        <f>SUM(F1091:F1099)</f>
        <v>26920620</v>
      </c>
      <c r="G1102" s="212"/>
      <c r="H1102" s="149"/>
      <c r="I1102" s="111">
        <f>SUM(I1091:I1101)</f>
        <v>27554503</v>
      </c>
      <c r="J1102" s="111"/>
      <c r="K1102" s="212"/>
      <c r="L1102" s="149"/>
      <c r="M1102" s="111" t="e">
        <f>SUM(M1091:M1101)</f>
        <v>#DIV/0!</v>
      </c>
      <c r="N1102" s="111"/>
      <c r="O1102" s="212"/>
      <c r="P1102" s="149"/>
      <c r="Q1102" s="111" t="e">
        <f>SUM(Q1091:Q1101)</f>
        <v>#DIV/0!</v>
      </c>
      <c r="R1102" s="111"/>
      <c r="S1102" s="212"/>
      <c r="T1102" s="149"/>
      <c r="U1102" s="111" t="e">
        <f>SUM(U1091:U1101)</f>
        <v>#DIV/0!</v>
      </c>
      <c r="V1102" s="44"/>
      <c r="W1102" s="91"/>
      <c r="X1102" s="91"/>
      <c r="Y1102" s="91"/>
      <c r="Z1102" s="44"/>
      <c r="AA1102" s="44"/>
      <c r="AB1102" s="44"/>
      <c r="AC1102" s="44"/>
      <c r="AD1102" s="44"/>
      <c r="AE1102" s="44"/>
      <c r="AF1102" s="44"/>
      <c r="AG1102" s="44"/>
      <c r="AH1102" s="44"/>
      <c r="AI1102" s="44"/>
      <c r="AJ1102" s="44"/>
      <c r="AK1102" s="44"/>
      <c r="AL1102" s="44"/>
      <c r="AM1102" s="44"/>
      <c r="AN1102" s="44"/>
      <c r="AO1102" s="44"/>
      <c r="AP1102" s="44"/>
    </row>
    <row r="1103" spans="1:44" x14ac:dyDescent="0.25">
      <c r="A1103" s="149" t="s">
        <v>92</v>
      </c>
      <c r="B1103" s="149"/>
      <c r="C1103" s="204">
        <v>1425501.8481051379</v>
      </c>
      <c r="D1103" s="134"/>
      <c r="E1103" s="134"/>
      <c r="F1103" s="230">
        <v>83632.864840947397</v>
      </c>
      <c r="G1103" s="134"/>
      <c r="H1103" s="134"/>
      <c r="I1103" s="230">
        <f>F1103</f>
        <v>83632.864840947397</v>
      </c>
      <c r="J1103" s="207"/>
      <c r="K1103" s="134"/>
      <c r="L1103" s="134"/>
      <c r="M1103" s="230" t="e">
        <f>$I$1103*V1106/($V1106+$W$1106+$X$1106)</f>
        <v>#DIV/0!</v>
      </c>
      <c r="N1103" s="133"/>
      <c r="O1103" s="134"/>
      <c r="P1103" s="134"/>
      <c r="Q1103" s="230" t="e">
        <f>$I$1103*W1107/($V$1107+$W$1107+$X$1107)</f>
        <v>#DIV/0!</v>
      </c>
      <c r="R1103" s="133"/>
      <c r="S1103" s="134"/>
      <c r="T1103" s="134"/>
      <c r="U1103" s="230" t="e">
        <f>$I$1103*X1107/($V$1107+$W$1107+$X$1107)</f>
        <v>#DIV/0!</v>
      </c>
      <c r="V1103" s="165"/>
      <c r="W1103" s="163"/>
      <c r="Z1103" s="44"/>
      <c r="AA1103" s="44"/>
      <c r="AB1103" s="44"/>
      <c r="AC1103" s="44"/>
      <c r="AD1103" s="44"/>
      <c r="AE1103" s="44"/>
      <c r="AF1103" s="44"/>
      <c r="AG1103" s="44"/>
      <c r="AH1103" s="44"/>
      <c r="AI1103" s="44"/>
      <c r="AJ1103" s="44"/>
      <c r="AK1103" s="44"/>
      <c r="AL1103" s="44"/>
      <c r="AM1103" s="44"/>
      <c r="AN1103" s="44"/>
      <c r="AO1103" s="44"/>
      <c r="AP1103" s="44"/>
    </row>
    <row r="1104" spans="1:44" ht="16.5" thickBot="1" x14ac:dyDescent="0.3">
      <c r="A1104" s="149" t="s">
        <v>115</v>
      </c>
      <c r="B1104" s="149"/>
      <c r="C1104" s="315">
        <f>SUM(C1102)+C1103</f>
        <v>459903501.84810513</v>
      </c>
      <c r="D1104" s="245"/>
      <c r="E1104" s="232"/>
      <c r="F1104" s="233">
        <f>F1102+F1103</f>
        <v>27004252.864840947</v>
      </c>
      <c r="G1104" s="245"/>
      <c r="H1104" s="232"/>
      <c r="I1104" s="233">
        <f>I1102+I1103</f>
        <v>27638135.864840947</v>
      </c>
      <c r="J1104" s="233"/>
      <c r="K1104" s="245"/>
      <c r="L1104" s="232"/>
      <c r="M1104" s="233" t="e">
        <f>M1102+M1103</f>
        <v>#DIV/0!</v>
      </c>
      <c r="N1104" s="233"/>
      <c r="O1104" s="245"/>
      <c r="P1104" s="232"/>
      <c r="Q1104" s="233" t="e">
        <f>Q1102+Q1103</f>
        <v>#DIV/0!</v>
      </c>
      <c r="R1104" s="233"/>
      <c r="S1104" s="245"/>
      <c r="T1104" s="232"/>
      <c r="U1104" s="233" t="e">
        <f>U1102+U1103</f>
        <v>#DIV/0!</v>
      </c>
      <c r="V1104" s="139" t="s">
        <v>94</v>
      </c>
      <c r="W1104" s="140">
        <v>27638138.573071063</v>
      </c>
      <c r="X1104" s="141">
        <v>1.6041448609555999E-2</v>
      </c>
      <c r="Y1104" s="142"/>
      <c r="Z1104" s="80" t="s">
        <v>0</v>
      </c>
      <c r="AA1104" s="44"/>
      <c r="AB1104" s="44"/>
      <c r="AC1104" s="44"/>
      <c r="AD1104" s="44"/>
      <c r="AE1104" s="44"/>
      <c r="AF1104" s="44"/>
      <c r="AG1104" s="44"/>
      <c r="AH1104" s="44"/>
      <c r="AI1104" s="44"/>
      <c r="AJ1104" s="44"/>
      <c r="AK1104" s="44"/>
      <c r="AL1104" s="44"/>
      <c r="AM1104" s="44"/>
      <c r="AN1104" s="44"/>
      <c r="AO1104" s="44"/>
      <c r="AP1104" s="44"/>
    </row>
    <row r="1105" spans="1:42" ht="16.5" thickTop="1" x14ac:dyDescent="0.25">
      <c r="A1105" s="149"/>
      <c r="B1105" s="149"/>
      <c r="C1105" s="169"/>
      <c r="D1105" s="226" t="s">
        <v>0</v>
      </c>
      <c r="E1105" s="149"/>
      <c r="F1105" s="111"/>
      <c r="G1105" s="250" t="s">
        <v>0</v>
      </c>
      <c r="H1105" s="149"/>
      <c r="I1105" s="111" t="s">
        <v>0</v>
      </c>
      <c r="J1105" s="111"/>
      <c r="K1105" s="250" t="s">
        <v>0</v>
      </c>
      <c r="L1105" s="149"/>
      <c r="M1105" s="111" t="s">
        <v>0</v>
      </c>
      <c r="N1105" s="111"/>
      <c r="O1105" s="250" t="s">
        <v>0</v>
      </c>
      <c r="P1105" s="149"/>
      <c r="Q1105" s="111" t="s">
        <v>0</v>
      </c>
      <c r="R1105" s="111"/>
      <c r="S1105" s="250" t="s">
        <v>0</v>
      </c>
      <c r="T1105" s="149"/>
      <c r="U1105" s="111" t="s">
        <v>0</v>
      </c>
      <c r="V1105" s="150" t="s">
        <v>96</v>
      </c>
      <c r="W1105" s="346">
        <f>W1104-I1104</f>
        <v>2.7082301154732704</v>
      </c>
      <c r="X1105" s="329"/>
      <c r="Y1105" s="91"/>
      <c r="Z1105" s="44"/>
      <c r="AA1105" s="44"/>
      <c r="AB1105" s="44"/>
      <c r="AC1105" s="44"/>
      <c r="AD1105" s="44"/>
      <c r="AE1105" s="44"/>
      <c r="AF1105" s="44"/>
      <c r="AG1105" s="44"/>
      <c r="AH1105" s="44"/>
      <c r="AI1105" s="44"/>
      <c r="AJ1105" s="44"/>
      <c r="AK1105" s="44"/>
      <c r="AL1105" s="44"/>
      <c r="AM1105" s="44"/>
      <c r="AN1105" s="44"/>
      <c r="AO1105" s="44"/>
      <c r="AP1105" s="44"/>
    </row>
    <row r="1106" spans="1:42" hidden="1" x14ac:dyDescent="0.25">
      <c r="A1106" s="149"/>
      <c r="B1106" s="149"/>
      <c r="C1106" s="169"/>
      <c r="D1106" s="226"/>
      <c r="E1106" s="149"/>
      <c r="F1106" s="111"/>
      <c r="G1106" s="250"/>
      <c r="H1106" s="149"/>
      <c r="I1106" s="111"/>
      <c r="J1106" s="111"/>
      <c r="K1106" s="250"/>
      <c r="L1106" s="149"/>
      <c r="M1106" s="111"/>
      <c r="N1106" s="111"/>
      <c r="O1106" s="250"/>
      <c r="P1106" s="149"/>
      <c r="Q1106" s="111"/>
      <c r="R1106" s="111"/>
      <c r="S1106" s="250"/>
      <c r="T1106" s="149"/>
      <c r="U1106" s="111"/>
      <c r="V1106" s="340"/>
      <c r="W1106" s="340"/>
      <c r="X1106" s="340"/>
      <c r="Y1106" s="91"/>
      <c r="Z1106" s="44"/>
      <c r="AA1106" s="44"/>
      <c r="AB1106" s="44"/>
      <c r="AC1106" s="44"/>
      <c r="AD1106" s="44"/>
      <c r="AE1106" s="44"/>
      <c r="AF1106" s="44"/>
      <c r="AG1106" s="44"/>
      <c r="AH1106" s="44"/>
      <c r="AI1106" s="44"/>
      <c r="AJ1106" s="44"/>
      <c r="AK1106" s="44"/>
      <c r="AL1106" s="44"/>
      <c r="AM1106" s="44"/>
      <c r="AN1106" s="44"/>
      <c r="AO1106" s="44"/>
      <c r="AP1106" s="44"/>
    </row>
    <row r="1107" spans="1:42" hidden="1" x14ac:dyDescent="0.25">
      <c r="A1107" s="149"/>
      <c r="B1107" s="149"/>
      <c r="C1107" s="169"/>
      <c r="D1107" s="226"/>
      <c r="E1107" s="149"/>
      <c r="F1107" s="111"/>
      <c r="G1107" s="250"/>
      <c r="H1107" s="149"/>
      <c r="I1107" s="111"/>
      <c r="J1107" s="111"/>
      <c r="K1107" s="250"/>
      <c r="L1107" s="149"/>
      <c r="M1107" s="111"/>
      <c r="N1107" s="111"/>
      <c r="O1107" s="250"/>
      <c r="P1107" s="149"/>
      <c r="Q1107" s="111"/>
      <c r="R1107" s="111"/>
      <c r="S1107" s="250"/>
      <c r="T1107" s="149"/>
      <c r="U1107" s="111"/>
      <c r="V1107" s="166"/>
      <c r="W1107" s="166"/>
      <c r="X1107" s="166"/>
      <c r="Y1107" s="91"/>
      <c r="Z1107" s="44"/>
      <c r="AA1107" s="44"/>
      <c r="AB1107" s="44"/>
      <c r="AC1107" s="44"/>
      <c r="AD1107" s="44"/>
      <c r="AE1107" s="44"/>
      <c r="AF1107" s="44"/>
      <c r="AG1107" s="44"/>
      <c r="AH1107" s="44"/>
      <c r="AI1107" s="44"/>
      <c r="AJ1107" s="44"/>
      <c r="AK1107" s="44"/>
      <c r="AL1107" s="44"/>
      <c r="AM1107" s="44"/>
      <c r="AN1107" s="44"/>
      <c r="AO1107" s="44"/>
      <c r="AP1107" s="44"/>
    </row>
    <row r="1108" spans="1:42" x14ac:dyDescent="0.25">
      <c r="A1108" s="168" t="s">
        <v>233</v>
      </c>
      <c r="B1108" s="149"/>
      <c r="C1108" s="149"/>
      <c r="D1108" s="149"/>
      <c r="E1108" s="149"/>
      <c r="F1108" s="111"/>
      <c r="G1108" s="149"/>
      <c r="H1108" s="149"/>
      <c r="I1108" s="149"/>
      <c r="J1108" s="149"/>
      <c r="K1108" s="149"/>
      <c r="L1108" s="149"/>
      <c r="M1108" s="111" t="s">
        <v>0</v>
      </c>
      <c r="N1108" s="149"/>
      <c r="O1108" s="149"/>
      <c r="P1108" s="149"/>
      <c r="Q1108" s="111" t="s">
        <v>0</v>
      </c>
      <c r="R1108" s="149"/>
      <c r="S1108" s="149"/>
      <c r="T1108" s="149"/>
      <c r="U1108" s="111" t="s">
        <v>0</v>
      </c>
      <c r="W1108" s="92"/>
      <c r="X1108" s="92"/>
      <c r="Y1108" s="92"/>
      <c r="Z1108" s="44"/>
      <c r="AA1108" s="44"/>
      <c r="AB1108" s="44"/>
      <c r="AC1108" s="44"/>
      <c r="AD1108" s="44"/>
      <c r="AE1108" s="44"/>
      <c r="AF1108" s="44"/>
      <c r="AG1108" s="44"/>
      <c r="AH1108" s="44"/>
      <c r="AI1108" s="44"/>
      <c r="AJ1108" s="44"/>
      <c r="AK1108" s="44"/>
      <c r="AL1108" s="44"/>
      <c r="AM1108" s="44"/>
      <c r="AN1108" s="44"/>
      <c r="AO1108" s="44"/>
      <c r="AP1108" s="44"/>
    </row>
    <row r="1109" spans="1:42" x14ac:dyDescent="0.25">
      <c r="A1109" s="149" t="s">
        <v>234</v>
      </c>
      <c r="B1109" s="149"/>
      <c r="C1109" s="149"/>
      <c r="D1109" s="149"/>
      <c r="E1109" s="149"/>
      <c r="F1109" s="111"/>
      <c r="G1109" s="149"/>
      <c r="H1109" s="149"/>
      <c r="I1109" s="149"/>
      <c r="J1109" s="149"/>
      <c r="K1109" s="149"/>
      <c r="L1109" s="149"/>
      <c r="M1109" s="149"/>
      <c r="N1109" s="149"/>
      <c r="O1109" s="149"/>
      <c r="P1109" s="149"/>
      <c r="Q1109" s="149"/>
      <c r="R1109" s="149"/>
      <c r="S1109" s="149"/>
      <c r="T1109" s="149"/>
      <c r="U1109" s="149"/>
      <c r="W1109" s="92"/>
      <c r="X1109" s="92"/>
      <c r="Y1109" s="155"/>
      <c r="Z1109" s="155"/>
      <c r="AA1109" s="155"/>
      <c r="AB1109" s="155"/>
      <c r="AC1109" s="155"/>
      <c r="AD1109" s="155"/>
      <c r="AE1109" s="155"/>
      <c r="AF1109" s="155"/>
      <c r="AG1109" s="155"/>
      <c r="AH1109" s="155"/>
      <c r="AI1109" s="155"/>
      <c r="AJ1109" s="155"/>
      <c r="AK1109" s="155"/>
      <c r="AL1109" s="44"/>
      <c r="AM1109" s="44"/>
      <c r="AN1109" s="44"/>
      <c r="AO1109" s="44"/>
      <c r="AP1109" s="44"/>
    </row>
    <row r="1110" spans="1:42" x14ac:dyDescent="0.25">
      <c r="A1110" s="149" t="s">
        <v>235</v>
      </c>
      <c r="B1110" s="149"/>
      <c r="C1110" s="149"/>
      <c r="D1110" s="149"/>
      <c r="E1110" s="149"/>
      <c r="F1110" s="111"/>
      <c r="G1110" s="149"/>
      <c r="H1110" s="149"/>
      <c r="I1110" s="149"/>
      <c r="J1110" s="149"/>
      <c r="K1110" s="149"/>
      <c r="L1110" s="149"/>
      <c r="M1110" s="149"/>
      <c r="N1110" s="149"/>
      <c r="O1110" s="149"/>
      <c r="P1110" s="149"/>
      <c r="Q1110" s="149"/>
      <c r="R1110" s="149"/>
      <c r="S1110" s="149"/>
      <c r="T1110" s="149"/>
      <c r="U1110" s="149"/>
      <c r="V1110" s="155"/>
      <c r="W1110" s="155"/>
      <c r="X1110" s="166" t="s">
        <v>0</v>
      </c>
      <c r="Y1110" s="155"/>
      <c r="Z1110" s="155"/>
      <c r="AA1110" s="155"/>
      <c r="AB1110" s="155"/>
      <c r="AC1110" s="155"/>
      <c r="AD1110" s="155"/>
      <c r="AE1110" s="155"/>
      <c r="AF1110" s="155"/>
      <c r="AG1110" s="155"/>
      <c r="AH1110" s="155"/>
      <c r="AI1110" s="155"/>
      <c r="AJ1110" s="155"/>
      <c r="AK1110" s="155"/>
      <c r="AL1110" s="44"/>
      <c r="AM1110" s="44"/>
      <c r="AN1110" s="44"/>
      <c r="AO1110" s="44"/>
      <c r="AP1110" s="44"/>
    </row>
    <row r="1111" spans="1:42" x14ac:dyDescent="0.25">
      <c r="A1111" s="149" t="s">
        <v>236</v>
      </c>
      <c r="B1111" s="149"/>
      <c r="C1111" s="149"/>
      <c r="D1111" s="149"/>
      <c r="E1111" s="149"/>
      <c r="F1111" s="111"/>
      <c r="G1111" s="149"/>
      <c r="H1111" s="149"/>
      <c r="I1111" s="149"/>
      <c r="J1111" s="149"/>
      <c r="K1111" s="149"/>
      <c r="L1111" s="149"/>
      <c r="M1111" s="149"/>
      <c r="N1111" s="149"/>
      <c r="O1111" s="149"/>
      <c r="P1111" s="149"/>
      <c r="Q1111" s="149"/>
      <c r="R1111" s="149"/>
      <c r="S1111" s="149"/>
      <c r="T1111" s="149"/>
      <c r="U1111" s="149"/>
      <c r="V1111" s="155"/>
      <c r="W1111" s="155"/>
      <c r="X1111" s="91"/>
      <c r="Y1111" s="91"/>
      <c r="Z1111" s="156"/>
      <c r="AA1111" s="156"/>
      <c r="AB1111" s="157"/>
      <c r="AC1111" s="157"/>
      <c r="AD1111" s="157"/>
      <c r="AE1111" s="157"/>
      <c r="AF1111" s="158"/>
      <c r="AG1111" s="159"/>
      <c r="AH1111" s="155"/>
      <c r="AI1111" s="155"/>
      <c r="AJ1111" s="155"/>
      <c r="AK1111" s="155"/>
      <c r="AL1111" s="44"/>
      <c r="AM1111" s="44"/>
      <c r="AN1111" s="44"/>
      <c r="AO1111" s="44"/>
      <c r="AP1111" s="44"/>
    </row>
    <row r="1112" spans="1:42" x14ac:dyDescent="0.25">
      <c r="A1112" s="92" t="s">
        <v>84</v>
      </c>
      <c r="C1112" s="109">
        <v>13549.416232977699</v>
      </c>
      <c r="D1112" s="110">
        <v>8.7200000000000006</v>
      </c>
      <c r="F1112" s="111">
        <f t="shared" ref="F1112:F1121" si="152">ROUND(C1112*D1112,0)</f>
        <v>118151</v>
      </c>
      <c r="G1112" s="110">
        <v>8.93</v>
      </c>
      <c r="I1112" s="111">
        <f>ROUND(G1112*$C1112,0)</f>
        <v>120996</v>
      </c>
      <c r="J1112" s="111"/>
      <c r="K1112" s="110" t="e">
        <v>#DIV/0!</v>
      </c>
      <c r="M1112" s="111" t="e">
        <v>#DIV/0!</v>
      </c>
      <c r="N1112" s="111"/>
      <c r="O1112" s="110" t="e">
        <v>#DIV/0!</v>
      </c>
      <c r="Q1112" s="111" t="e">
        <v>#DIV/0!</v>
      </c>
      <c r="R1112" s="111"/>
      <c r="S1112" s="110" t="e">
        <v>#DIV/0!</v>
      </c>
      <c r="U1112" s="111" t="e">
        <v>#DIV/0!</v>
      </c>
      <c r="X1112" s="158"/>
      <c r="Y1112" s="158"/>
      <c r="Z1112" s="91"/>
      <c r="AA1112" s="347"/>
      <c r="AB1112" s="347"/>
      <c r="AC1112" s="160"/>
      <c r="AD1112" s="160"/>
      <c r="AE1112" s="160"/>
      <c r="AF1112" s="161"/>
      <c r="AG1112" s="155"/>
      <c r="AH1112" s="158"/>
      <c r="AI1112" s="158"/>
      <c r="AJ1112" s="162"/>
      <c r="AK1112" s="158"/>
      <c r="AL1112" s="44"/>
      <c r="AM1112" s="44"/>
      <c r="AN1112" s="44"/>
      <c r="AO1112" s="44"/>
      <c r="AP1112" s="44"/>
    </row>
    <row r="1113" spans="1:42" x14ac:dyDescent="0.25">
      <c r="A1113" s="92" t="s">
        <v>237</v>
      </c>
      <c r="C1113" s="109">
        <v>19571.021805529799</v>
      </c>
      <c r="D1113" s="110">
        <v>10.47</v>
      </c>
      <c r="F1113" s="111">
        <f t="shared" si="152"/>
        <v>204909</v>
      </c>
      <c r="G1113" s="110">
        <v>10.72</v>
      </c>
      <c r="I1113" s="111">
        <f t="shared" ref="I1113:I1133" si="153">ROUND(G1113*$C1113,0)</f>
        <v>209801</v>
      </c>
      <c r="J1113" s="111"/>
      <c r="K1113" s="110" t="e">
        <v>#DIV/0!</v>
      </c>
      <c r="M1113" s="111" t="e">
        <v>#DIV/0!</v>
      </c>
      <c r="N1113" s="111"/>
      <c r="O1113" s="110" t="e">
        <v>#DIV/0!</v>
      </c>
      <c r="Q1113" s="111" t="e">
        <v>#DIV/0!</v>
      </c>
      <c r="R1113" s="111"/>
      <c r="S1113" s="110" t="e">
        <v>#DIV/0!</v>
      </c>
      <c r="U1113" s="111" t="e">
        <v>#DIV/0!</v>
      </c>
      <c r="X1113" s="158"/>
      <c r="Y1113" s="158"/>
      <c r="Z1113" s="91"/>
      <c r="AA1113" s="347"/>
      <c r="AB1113" s="347"/>
      <c r="AC1113" s="160"/>
      <c r="AD1113" s="160"/>
      <c r="AE1113" s="160"/>
      <c r="AF1113" s="155"/>
      <c r="AG1113" s="155"/>
      <c r="AH1113" s="158"/>
      <c r="AI1113" s="158"/>
      <c r="AJ1113" s="162"/>
      <c r="AK1113" s="158"/>
      <c r="AL1113" s="44"/>
      <c r="AM1113" s="44"/>
      <c r="AN1113" s="44"/>
      <c r="AO1113" s="44"/>
      <c r="AP1113" s="44"/>
    </row>
    <row r="1114" spans="1:42" x14ac:dyDescent="0.25">
      <c r="A1114" s="92" t="s">
        <v>238</v>
      </c>
      <c r="C1114" s="109">
        <v>0</v>
      </c>
      <c r="D1114" s="110">
        <v>33.24</v>
      </c>
      <c r="F1114" s="111">
        <f t="shared" si="152"/>
        <v>0</v>
      </c>
      <c r="G1114" s="110">
        <v>34.03</v>
      </c>
      <c r="I1114" s="111">
        <f t="shared" si="153"/>
        <v>0</v>
      </c>
      <c r="J1114" s="111"/>
      <c r="K1114" s="110" t="e">
        <v>#DIV/0!</v>
      </c>
      <c r="M1114" s="111" t="e">
        <v>#DIV/0!</v>
      </c>
      <c r="N1114" s="111"/>
      <c r="O1114" s="110" t="e">
        <v>#DIV/0!</v>
      </c>
      <c r="Q1114" s="111" t="e">
        <v>#DIV/0!</v>
      </c>
      <c r="R1114" s="111"/>
      <c r="S1114" s="110" t="e">
        <v>#DIV/0!</v>
      </c>
      <c r="U1114" s="111" t="e">
        <v>#DIV/0!</v>
      </c>
      <c r="X1114" s="158"/>
      <c r="Y1114" s="158"/>
      <c r="Z1114" s="91"/>
      <c r="AA1114" s="347"/>
      <c r="AB1114" s="347"/>
      <c r="AC1114" s="160"/>
      <c r="AD1114" s="160"/>
      <c r="AE1114" s="160"/>
      <c r="AF1114" s="155"/>
      <c r="AG1114" s="155"/>
      <c r="AH1114" s="158"/>
      <c r="AI1114" s="158"/>
      <c r="AJ1114" s="162"/>
      <c r="AK1114" s="158"/>
      <c r="AL1114" s="44"/>
      <c r="AM1114" s="44"/>
      <c r="AN1114" s="44"/>
      <c r="AO1114" s="44"/>
      <c r="AP1114" s="44"/>
    </row>
    <row r="1115" spans="1:42" x14ac:dyDescent="0.25">
      <c r="A1115" s="92" t="s">
        <v>239</v>
      </c>
      <c r="C1115" s="109">
        <v>0</v>
      </c>
      <c r="D1115" s="110">
        <v>25.84</v>
      </c>
      <c r="F1115" s="111">
        <f t="shared" si="152"/>
        <v>0</v>
      </c>
      <c r="G1115" s="110">
        <v>26.46</v>
      </c>
      <c r="I1115" s="111">
        <f t="shared" si="153"/>
        <v>0</v>
      </c>
      <c r="J1115" s="111"/>
      <c r="K1115" s="110" t="e">
        <v>#DIV/0!</v>
      </c>
      <c r="M1115" s="111" t="e">
        <v>#DIV/0!</v>
      </c>
      <c r="N1115" s="111"/>
      <c r="O1115" s="110" t="e">
        <v>#DIV/0!</v>
      </c>
      <c r="Q1115" s="111" t="e">
        <v>#DIV/0!</v>
      </c>
      <c r="R1115" s="111"/>
      <c r="S1115" s="110" t="e">
        <v>#DIV/0!</v>
      </c>
      <c r="U1115" s="111" t="e">
        <v>#DIV/0!</v>
      </c>
      <c r="X1115" s="158"/>
      <c r="Y1115" s="158"/>
      <c r="Z1115" s="91"/>
      <c r="AA1115" s="347"/>
      <c r="AB1115" s="347"/>
      <c r="AC1115" s="160"/>
      <c r="AD1115" s="160"/>
      <c r="AE1115" s="160"/>
      <c r="AF1115" s="155"/>
      <c r="AG1115" s="155"/>
      <c r="AH1115" s="158"/>
      <c r="AI1115" s="158"/>
      <c r="AJ1115" s="162"/>
      <c r="AK1115" s="158"/>
      <c r="AL1115" s="44"/>
      <c r="AM1115" s="44"/>
      <c r="AN1115" s="44"/>
      <c r="AO1115" s="44"/>
      <c r="AP1115" s="44"/>
    </row>
    <row r="1116" spans="1:42" x14ac:dyDescent="0.25">
      <c r="A1116" s="92" t="s">
        <v>240</v>
      </c>
      <c r="C1116" s="109">
        <v>936.93671211539902</v>
      </c>
      <c r="D1116" s="110">
        <v>13.37</v>
      </c>
      <c r="F1116" s="111">
        <f t="shared" si="152"/>
        <v>12527</v>
      </c>
      <c r="G1116" s="110">
        <v>13.69</v>
      </c>
      <c r="I1116" s="111">
        <f t="shared" si="153"/>
        <v>12827</v>
      </c>
      <c r="J1116" s="111"/>
      <c r="K1116" s="110" t="e">
        <v>#DIV/0!</v>
      </c>
      <c r="M1116" s="111" t="e">
        <v>#DIV/0!</v>
      </c>
      <c r="N1116" s="111"/>
      <c r="O1116" s="110" t="e">
        <v>#DIV/0!</v>
      </c>
      <c r="Q1116" s="111" t="e">
        <v>#DIV/0!</v>
      </c>
      <c r="R1116" s="111"/>
      <c r="S1116" s="110" t="e">
        <v>#DIV/0!</v>
      </c>
      <c r="U1116" s="111" t="e">
        <v>#DIV/0!</v>
      </c>
      <c r="X1116" s="158"/>
      <c r="Y1116" s="158"/>
      <c r="Z1116" s="91"/>
      <c r="AA1116" s="347"/>
      <c r="AB1116" s="347"/>
      <c r="AC1116" s="160"/>
      <c r="AD1116" s="160"/>
      <c r="AE1116" s="160"/>
      <c r="AF1116" s="155"/>
      <c r="AG1116" s="155"/>
      <c r="AH1116" s="158"/>
      <c r="AI1116" s="158"/>
      <c r="AJ1116" s="162"/>
      <c r="AK1116" s="158"/>
      <c r="AL1116" s="44"/>
      <c r="AM1116" s="44"/>
      <c r="AN1116" s="44"/>
      <c r="AO1116" s="44"/>
      <c r="AP1116" s="44"/>
    </row>
    <row r="1117" spans="1:42" x14ac:dyDescent="0.25">
      <c r="A1117" s="92" t="s">
        <v>241</v>
      </c>
      <c r="C1117" s="109">
        <v>0</v>
      </c>
      <c r="D1117" s="110">
        <v>34.43</v>
      </c>
      <c r="F1117" s="111">
        <f t="shared" si="152"/>
        <v>0</v>
      </c>
      <c r="G1117" s="110">
        <v>35.25</v>
      </c>
      <c r="I1117" s="111">
        <f t="shared" si="153"/>
        <v>0</v>
      </c>
      <c r="J1117" s="111"/>
      <c r="K1117" s="110" t="e">
        <v>#DIV/0!</v>
      </c>
      <c r="M1117" s="111" t="e">
        <v>#DIV/0!</v>
      </c>
      <c r="N1117" s="111"/>
      <c r="O1117" s="110" t="e">
        <v>#DIV/0!</v>
      </c>
      <c r="Q1117" s="111" t="e">
        <v>#DIV/0!</v>
      </c>
      <c r="R1117" s="111"/>
      <c r="S1117" s="110" t="e">
        <v>#DIV/0!</v>
      </c>
      <c r="U1117" s="111" t="e">
        <v>#DIV/0!</v>
      </c>
      <c r="X1117" s="158"/>
      <c r="Y1117" s="158"/>
      <c r="Z1117" s="91"/>
      <c r="AA1117" s="347"/>
      <c r="AB1117" s="347"/>
      <c r="AC1117" s="160"/>
      <c r="AD1117" s="160"/>
      <c r="AE1117" s="160"/>
      <c r="AF1117" s="155"/>
      <c r="AG1117" s="155"/>
      <c r="AH1117" s="158"/>
      <c r="AI1117" s="158"/>
      <c r="AJ1117" s="162"/>
      <c r="AK1117" s="158"/>
      <c r="AL1117" s="44"/>
      <c r="AM1117" s="44"/>
      <c r="AN1117" s="44"/>
      <c r="AO1117" s="44"/>
      <c r="AP1117" s="44"/>
    </row>
    <row r="1118" spans="1:42" x14ac:dyDescent="0.25">
      <c r="A1118" s="92" t="s">
        <v>242</v>
      </c>
      <c r="C1118" s="109">
        <v>0</v>
      </c>
      <c r="D1118" s="110">
        <v>27.07</v>
      </c>
      <c r="F1118" s="111">
        <f t="shared" si="152"/>
        <v>0</v>
      </c>
      <c r="G1118" s="110">
        <v>27.72</v>
      </c>
      <c r="I1118" s="111">
        <f t="shared" si="153"/>
        <v>0</v>
      </c>
      <c r="J1118" s="111"/>
      <c r="K1118" s="110" t="e">
        <v>#DIV/0!</v>
      </c>
      <c r="M1118" s="111" t="e">
        <v>#DIV/0!</v>
      </c>
      <c r="N1118" s="111"/>
      <c r="O1118" s="110" t="e">
        <v>#DIV/0!</v>
      </c>
      <c r="Q1118" s="111" t="e">
        <v>#DIV/0!</v>
      </c>
      <c r="R1118" s="111"/>
      <c r="S1118" s="110" t="e">
        <v>#DIV/0!</v>
      </c>
      <c r="U1118" s="111" t="e">
        <v>#DIV/0!</v>
      </c>
      <c r="X1118" s="158"/>
      <c r="Y1118" s="158"/>
      <c r="Z1118" s="91"/>
      <c r="AA1118" s="347"/>
      <c r="AB1118" s="347"/>
      <c r="AC1118" s="160"/>
      <c r="AD1118" s="160"/>
      <c r="AE1118" s="160"/>
      <c r="AF1118" s="155"/>
      <c r="AG1118" s="155"/>
      <c r="AH1118" s="158"/>
      <c r="AI1118" s="158"/>
      <c r="AJ1118" s="162"/>
      <c r="AK1118" s="158"/>
      <c r="AL1118" s="44"/>
      <c r="AM1118" s="44"/>
      <c r="AN1118" s="44"/>
      <c r="AO1118" s="44"/>
      <c r="AP1118" s="44"/>
    </row>
    <row r="1119" spans="1:42" x14ac:dyDescent="0.25">
      <c r="A1119" s="92" t="s">
        <v>85</v>
      </c>
      <c r="C1119" s="109">
        <v>19952.514273228699</v>
      </c>
      <c r="D1119" s="110">
        <v>15.27</v>
      </c>
      <c r="F1119" s="111">
        <f t="shared" si="152"/>
        <v>304675</v>
      </c>
      <c r="G1119" s="110">
        <v>15.63</v>
      </c>
      <c r="I1119" s="111">
        <f t="shared" si="153"/>
        <v>311858</v>
      </c>
      <c r="J1119" s="111"/>
      <c r="K1119" s="110" t="e">
        <v>#DIV/0!</v>
      </c>
      <c r="M1119" s="111" t="e">
        <v>#DIV/0!</v>
      </c>
      <c r="N1119" s="111"/>
      <c r="O1119" s="110" t="e">
        <v>#DIV/0!</v>
      </c>
      <c r="Q1119" s="111" t="e">
        <v>#DIV/0!</v>
      </c>
      <c r="R1119" s="111"/>
      <c r="S1119" s="110" t="e">
        <v>#DIV/0!</v>
      </c>
      <c r="U1119" s="111" t="e">
        <v>#DIV/0!</v>
      </c>
      <c r="X1119" s="158"/>
      <c r="Y1119" s="158"/>
      <c r="Z1119" s="91"/>
      <c r="AA1119" s="347"/>
      <c r="AB1119" s="347"/>
      <c r="AC1119" s="160"/>
      <c r="AD1119" s="160"/>
      <c r="AE1119" s="160"/>
      <c r="AF1119" s="155"/>
      <c r="AG1119" s="155"/>
      <c r="AH1119" s="158"/>
      <c r="AI1119" s="158"/>
      <c r="AJ1119" s="162"/>
      <c r="AK1119" s="158"/>
      <c r="AL1119" s="44"/>
      <c r="AM1119" s="44"/>
      <c r="AN1119" s="44"/>
      <c r="AO1119" s="44"/>
      <c r="AP1119" s="44"/>
    </row>
    <row r="1120" spans="1:42" x14ac:dyDescent="0.25">
      <c r="A1120" s="92" t="s">
        <v>243</v>
      </c>
      <c r="C1120" s="109">
        <v>1982.0024720791801</v>
      </c>
      <c r="D1120" s="110">
        <v>19.36</v>
      </c>
      <c r="F1120" s="111">
        <f t="shared" si="152"/>
        <v>38372</v>
      </c>
      <c r="G1120" s="110">
        <v>19.8</v>
      </c>
      <c r="I1120" s="111">
        <f t="shared" si="153"/>
        <v>39244</v>
      </c>
      <c r="J1120" s="111"/>
      <c r="K1120" s="110" t="e">
        <v>#DIV/0!</v>
      </c>
      <c r="M1120" s="111" t="e">
        <v>#DIV/0!</v>
      </c>
      <c r="N1120" s="111"/>
      <c r="O1120" s="110" t="e">
        <v>#DIV/0!</v>
      </c>
      <c r="Q1120" s="111" t="e">
        <v>#DIV/0!</v>
      </c>
      <c r="R1120" s="111"/>
      <c r="S1120" s="110" t="e">
        <v>#DIV/0!</v>
      </c>
      <c r="U1120" s="111" t="e">
        <v>#DIV/0!</v>
      </c>
      <c r="X1120" s="158"/>
      <c r="Y1120" s="158"/>
      <c r="Z1120" s="91"/>
      <c r="AA1120" s="347"/>
      <c r="AB1120" s="347"/>
      <c r="AC1120" s="160"/>
      <c r="AD1120" s="160"/>
      <c r="AE1120" s="160"/>
      <c r="AF1120" s="155"/>
      <c r="AG1120" s="155"/>
      <c r="AH1120" s="158"/>
      <c r="AI1120" s="158"/>
      <c r="AJ1120" s="162"/>
      <c r="AK1120" s="158"/>
      <c r="AL1120" s="44"/>
      <c r="AM1120" s="44"/>
      <c r="AN1120" s="44"/>
      <c r="AO1120" s="44"/>
      <c r="AP1120" s="44"/>
    </row>
    <row r="1121" spans="1:42" x14ac:dyDescent="0.25">
      <c r="A1121" s="92" t="s">
        <v>86</v>
      </c>
      <c r="C1121" s="109">
        <v>3479.9991629691299</v>
      </c>
      <c r="D1121" s="110">
        <v>25.56</v>
      </c>
      <c r="F1121" s="111">
        <f t="shared" si="152"/>
        <v>88949</v>
      </c>
      <c r="G1121" s="110">
        <v>26.16</v>
      </c>
      <c r="I1121" s="111">
        <f>ROUND(G1121*$C1121,0)</f>
        <v>91037</v>
      </c>
      <c r="J1121" s="111"/>
      <c r="K1121" s="110" t="e">
        <v>#DIV/0!</v>
      </c>
      <c r="M1121" s="111" t="e">
        <v>#DIV/0!</v>
      </c>
      <c r="N1121" s="111"/>
      <c r="O1121" s="110" t="e">
        <v>#DIV/0!</v>
      </c>
      <c r="Q1121" s="111" t="e">
        <v>#DIV/0!</v>
      </c>
      <c r="R1121" s="111"/>
      <c r="S1121" s="110" t="e">
        <v>#DIV/0!</v>
      </c>
      <c r="U1121" s="111" t="e">
        <v>#DIV/0!</v>
      </c>
      <c r="X1121" s="158"/>
      <c r="Y1121" s="158"/>
      <c r="Z1121" s="91"/>
      <c r="AA1121" s="347"/>
      <c r="AB1121" s="347"/>
      <c r="AC1121" s="160"/>
      <c r="AD1121" s="160"/>
      <c r="AE1121" s="160"/>
      <c r="AF1121" s="155"/>
      <c r="AG1121" s="155"/>
      <c r="AH1121" s="158"/>
      <c r="AI1121" s="158"/>
      <c r="AJ1121" s="162"/>
      <c r="AK1121" s="158"/>
      <c r="AL1121" s="44"/>
      <c r="AM1121" s="44"/>
      <c r="AN1121" s="44"/>
      <c r="AO1121" s="44"/>
      <c r="AP1121" s="44"/>
    </row>
    <row r="1122" spans="1:42" x14ac:dyDescent="0.25">
      <c r="A1122" s="348" t="s">
        <v>244</v>
      </c>
      <c r="C1122" s="109"/>
      <c r="D1122" s="110"/>
      <c r="F1122" s="111"/>
      <c r="G1122" s="110"/>
      <c r="I1122" s="111"/>
      <c r="J1122" s="111"/>
      <c r="K1122" s="110"/>
      <c r="M1122" s="111"/>
      <c r="N1122" s="111"/>
      <c r="O1122" s="110"/>
      <c r="Q1122" s="111"/>
      <c r="R1122" s="111"/>
      <c r="S1122" s="110"/>
      <c r="U1122" s="111"/>
      <c r="X1122" s="158"/>
      <c r="Y1122" s="158"/>
      <c r="Z1122" s="91"/>
      <c r="AA1122" s="347"/>
      <c r="AB1122" s="347"/>
      <c r="AC1122" s="160"/>
      <c r="AD1122" s="160"/>
      <c r="AE1122" s="160"/>
      <c r="AF1122" s="155"/>
      <c r="AG1122" s="155"/>
      <c r="AH1122" s="158"/>
      <c r="AI1122" s="158"/>
      <c r="AJ1122" s="162"/>
      <c r="AK1122" s="158"/>
      <c r="AL1122" s="44"/>
      <c r="AM1122" s="44"/>
      <c r="AN1122" s="44"/>
      <c r="AO1122" s="44"/>
      <c r="AP1122" s="44"/>
    </row>
    <row r="1123" spans="1:42" x14ac:dyDescent="0.25">
      <c r="A1123" s="118" t="s">
        <v>402</v>
      </c>
      <c r="C1123" s="109">
        <v>0</v>
      </c>
      <c r="D1123" s="110">
        <v>7.77</v>
      </c>
      <c r="F1123" s="111">
        <f t="shared" ref="F1123:F1128" si="154">ROUND(C1123*D1123,0)</f>
        <v>0</v>
      </c>
      <c r="G1123" s="110">
        <f>G1124/D1124*D1123</f>
        <v>7.9473236514522814</v>
      </c>
      <c r="I1123" s="111">
        <f t="shared" ref="I1123:I1128" si="155">ROUND(G1123*$C1123,0)</f>
        <v>0</v>
      </c>
      <c r="J1123" s="111"/>
      <c r="K1123" s="110" t="e">
        <v>#DIV/0!</v>
      </c>
      <c r="M1123" s="111" t="e">
        <v>#DIV/0!</v>
      </c>
      <c r="N1123" s="111"/>
      <c r="O1123" s="110" t="e">
        <v>#DIV/0!</v>
      </c>
      <c r="Q1123" s="111" t="e">
        <v>#DIV/0!</v>
      </c>
      <c r="R1123" s="111"/>
      <c r="S1123" s="110" t="e">
        <v>#DIV/0!</v>
      </c>
      <c r="U1123" s="111" t="e">
        <v>#DIV/0!</v>
      </c>
      <c r="X1123" s="158"/>
      <c r="Y1123" s="158"/>
      <c r="Z1123" s="91"/>
      <c r="AA1123" s="347"/>
      <c r="AB1123" s="347"/>
      <c r="AC1123" s="160"/>
      <c r="AD1123" s="160"/>
      <c r="AE1123" s="160"/>
      <c r="AF1123" s="155"/>
      <c r="AG1123" s="155"/>
      <c r="AH1123" s="158"/>
      <c r="AI1123" s="158"/>
      <c r="AJ1123" s="162"/>
      <c r="AK1123" s="158"/>
      <c r="AL1123" s="44"/>
      <c r="AM1123" s="44"/>
      <c r="AN1123" s="44"/>
      <c r="AO1123" s="44"/>
      <c r="AP1123" s="44"/>
    </row>
    <row r="1124" spans="1:42" x14ac:dyDescent="0.25">
      <c r="A1124" s="118" t="s">
        <v>403</v>
      </c>
      <c r="C1124" s="109">
        <v>26.521225423076601</v>
      </c>
      <c r="D1124" s="110">
        <v>9.64</v>
      </c>
      <c r="F1124" s="111">
        <f t="shared" si="154"/>
        <v>256</v>
      </c>
      <c r="G1124" s="110">
        <v>9.86</v>
      </c>
      <c r="I1124" s="111">
        <f t="shared" si="155"/>
        <v>261</v>
      </c>
      <c r="J1124" s="111"/>
      <c r="K1124" s="110" t="e">
        <v>#DIV/0!</v>
      </c>
      <c r="M1124" s="111" t="e">
        <v>#DIV/0!</v>
      </c>
      <c r="N1124" s="111"/>
      <c r="O1124" s="110" t="e">
        <v>#DIV/0!</v>
      </c>
      <c r="Q1124" s="111" t="e">
        <v>#DIV/0!</v>
      </c>
      <c r="R1124" s="111"/>
      <c r="S1124" s="110" t="e">
        <v>#DIV/0!</v>
      </c>
      <c r="U1124" s="111" t="e">
        <v>#DIV/0!</v>
      </c>
      <c r="X1124" s="158"/>
      <c r="Y1124" s="158"/>
      <c r="Z1124" s="91"/>
      <c r="AA1124" s="347"/>
      <c r="AB1124" s="347"/>
      <c r="AC1124" s="160"/>
      <c r="AD1124" s="160"/>
      <c r="AE1124" s="160"/>
      <c r="AF1124" s="155"/>
      <c r="AG1124" s="155"/>
      <c r="AH1124" s="158"/>
      <c r="AI1124" s="158"/>
      <c r="AJ1124" s="162"/>
      <c r="AK1124" s="158"/>
      <c r="AL1124" s="44"/>
      <c r="AM1124" s="44"/>
      <c r="AN1124" s="44"/>
      <c r="AO1124" s="44"/>
      <c r="AP1124" s="44"/>
    </row>
    <row r="1125" spans="1:42" x14ac:dyDescent="0.25">
      <c r="A1125" s="118" t="s">
        <v>404</v>
      </c>
      <c r="C1125" s="109">
        <v>27.733736654054098</v>
      </c>
      <c r="D1125" s="110">
        <v>12.15</v>
      </c>
      <c r="F1125" s="111">
        <f t="shared" si="154"/>
        <v>337</v>
      </c>
      <c r="G1125" s="110">
        <v>12.43</v>
      </c>
      <c r="I1125" s="111">
        <f t="shared" si="155"/>
        <v>345</v>
      </c>
      <c r="J1125" s="111"/>
      <c r="K1125" s="110" t="e">
        <v>#DIV/0!</v>
      </c>
      <c r="M1125" s="111" t="e">
        <v>#DIV/0!</v>
      </c>
      <c r="N1125" s="111"/>
      <c r="O1125" s="110" t="e">
        <v>#DIV/0!</v>
      </c>
      <c r="Q1125" s="111" t="e">
        <v>#DIV/0!</v>
      </c>
      <c r="R1125" s="111"/>
      <c r="S1125" s="110" t="e">
        <v>#DIV/0!</v>
      </c>
      <c r="U1125" s="111" t="e">
        <v>#DIV/0!</v>
      </c>
      <c r="X1125" s="158"/>
      <c r="Y1125" s="158"/>
      <c r="Z1125" s="91"/>
      <c r="AA1125" s="347"/>
      <c r="AB1125" s="347"/>
      <c r="AC1125" s="160"/>
      <c r="AD1125" s="160"/>
      <c r="AE1125" s="160"/>
      <c r="AF1125" s="155"/>
      <c r="AG1125" s="155"/>
      <c r="AH1125" s="158"/>
      <c r="AI1125" s="158"/>
      <c r="AJ1125" s="162"/>
      <c r="AK1125" s="158"/>
      <c r="AL1125" s="44"/>
      <c r="AM1125" s="44"/>
      <c r="AN1125" s="44"/>
      <c r="AO1125" s="44"/>
      <c r="AP1125" s="44"/>
    </row>
    <row r="1126" spans="1:42" x14ac:dyDescent="0.25">
      <c r="A1126" s="118" t="s">
        <v>405</v>
      </c>
      <c r="C1126" s="109">
        <v>0</v>
      </c>
      <c r="D1126" s="110">
        <v>12.58</v>
      </c>
      <c r="F1126" s="111">
        <f t="shared" si="154"/>
        <v>0</v>
      </c>
      <c r="G1126" s="110">
        <f>G1125/D1125*D1126</f>
        <v>12.869909465020577</v>
      </c>
      <c r="I1126" s="111">
        <f t="shared" si="155"/>
        <v>0</v>
      </c>
      <c r="J1126" s="111"/>
      <c r="K1126" s="110" t="e">
        <v>#DIV/0!</v>
      </c>
      <c r="M1126" s="111" t="e">
        <v>#DIV/0!</v>
      </c>
      <c r="N1126" s="111"/>
      <c r="O1126" s="110" t="e">
        <v>#DIV/0!</v>
      </c>
      <c r="Q1126" s="111" t="e">
        <v>#DIV/0!</v>
      </c>
      <c r="R1126" s="111"/>
      <c r="S1126" s="110" t="e">
        <v>#DIV/0!</v>
      </c>
      <c r="U1126" s="111" t="e">
        <v>#DIV/0!</v>
      </c>
      <c r="X1126" s="158"/>
      <c r="Y1126" s="158"/>
      <c r="Z1126" s="91"/>
      <c r="AA1126" s="347"/>
      <c r="AB1126" s="347"/>
      <c r="AC1126" s="160"/>
      <c r="AD1126" s="160"/>
      <c r="AE1126" s="160"/>
      <c r="AF1126" s="155"/>
      <c r="AG1126" s="155"/>
      <c r="AH1126" s="158"/>
      <c r="AI1126" s="158"/>
      <c r="AJ1126" s="162"/>
      <c r="AK1126" s="158"/>
      <c r="AL1126" s="44"/>
      <c r="AM1126" s="44"/>
      <c r="AN1126" s="44"/>
      <c r="AO1126" s="44"/>
      <c r="AP1126" s="44"/>
    </row>
    <row r="1127" spans="1:42" x14ac:dyDescent="0.25">
      <c r="A1127" s="118" t="s">
        <v>406</v>
      </c>
      <c r="C1127" s="109">
        <v>55.638368302961503</v>
      </c>
      <c r="D1127" s="110">
        <v>20.2</v>
      </c>
      <c r="F1127" s="111">
        <f t="shared" si="154"/>
        <v>1124</v>
      </c>
      <c r="G1127" s="110">
        <v>20.669999999999998</v>
      </c>
      <c r="I1127" s="111">
        <f t="shared" si="155"/>
        <v>1150</v>
      </c>
      <c r="J1127" s="111"/>
      <c r="K1127" s="110" t="e">
        <v>#DIV/0!</v>
      </c>
      <c r="M1127" s="111" t="e">
        <v>#DIV/0!</v>
      </c>
      <c r="N1127" s="111"/>
      <c r="O1127" s="110" t="e">
        <v>#DIV/0!</v>
      </c>
      <c r="Q1127" s="111" t="e">
        <v>#DIV/0!</v>
      </c>
      <c r="R1127" s="111"/>
      <c r="S1127" s="110" t="e">
        <v>#DIV/0!</v>
      </c>
      <c r="U1127" s="111" t="e">
        <v>#DIV/0!</v>
      </c>
      <c r="X1127" s="158"/>
      <c r="Y1127" s="158"/>
      <c r="Z1127" s="91"/>
      <c r="AA1127" s="347"/>
      <c r="AB1127" s="347"/>
      <c r="AC1127" s="160"/>
      <c r="AD1127" s="160"/>
      <c r="AE1127" s="160"/>
      <c r="AF1127" s="155"/>
      <c r="AG1127" s="155"/>
      <c r="AH1127" s="158"/>
      <c r="AI1127" s="158"/>
      <c r="AJ1127" s="162"/>
      <c r="AK1127" s="158"/>
      <c r="AL1127" s="44"/>
      <c r="AM1127" s="44"/>
      <c r="AN1127" s="44"/>
      <c r="AO1127" s="44"/>
      <c r="AP1127" s="44"/>
    </row>
    <row r="1128" spans="1:42" x14ac:dyDescent="0.25">
      <c r="A1128" s="118" t="s">
        <v>407</v>
      </c>
      <c r="C1128" s="109">
        <v>33.215584669332003</v>
      </c>
      <c r="D1128" s="110">
        <v>25.49</v>
      </c>
      <c r="F1128" s="111">
        <f t="shared" si="154"/>
        <v>847</v>
      </c>
      <c r="G1128" s="110">
        <v>26.09</v>
      </c>
      <c r="I1128" s="111">
        <f t="shared" si="155"/>
        <v>867</v>
      </c>
      <c r="J1128" s="111"/>
      <c r="K1128" s="110" t="e">
        <v>#DIV/0!</v>
      </c>
      <c r="M1128" s="111" t="e">
        <v>#DIV/0!</v>
      </c>
      <c r="N1128" s="111"/>
      <c r="O1128" s="110" t="e">
        <v>#DIV/0!</v>
      </c>
      <c r="Q1128" s="111" t="e">
        <v>#DIV/0!</v>
      </c>
      <c r="R1128" s="111"/>
      <c r="S1128" s="110" t="e">
        <v>#DIV/0!</v>
      </c>
      <c r="U1128" s="111" t="e">
        <v>#DIV/0!</v>
      </c>
      <c r="X1128" s="158"/>
      <c r="Y1128" s="158"/>
      <c r="Z1128" s="91"/>
      <c r="AA1128" s="347"/>
      <c r="AB1128" s="347"/>
      <c r="AC1128" s="160"/>
      <c r="AD1128" s="160"/>
      <c r="AE1128" s="160"/>
      <c r="AF1128" s="155"/>
      <c r="AG1128" s="155"/>
      <c r="AH1128" s="158"/>
      <c r="AI1128" s="158"/>
      <c r="AJ1128" s="162"/>
      <c r="AK1128" s="158"/>
      <c r="AL1128" s="44"/>
      <c r="AM1128" s="44"/>
      <c r="AN1128" s="44"/>
      <c r="AO1128" s="44"/>
      <c r="AP1128" s="44"/>
    </row>
    <row r="1129" spans="1:42" x14ac:dyDescent="0.25">
      <c r="A1129" s="92" t="s">
        <v>245</v>
      </c>
      <c r="C1129" s="109"/>
      <c r="D1129" s="110"/>
      <c r="F1129" s="111"/>
      <c r="G1129" s="110"/>
      <c r="I1129" s="111"/>
      <c r="J1129" s="111"/>
      <c r="K1129" s="110"/>
      <c r="M1129" s="111"/>
      <c r="N1129" s="111"/>
      <c r="O1129" s="110"/>
      <c r="Q1129" s="111"/>
      <c r="R1129" s="111"/>
      <c r="S1129" s="110"/>
      <c r="U1129" s="111"/>
      <c r="X1129" s="158"/>
      <c r="Y1129" s="158"/>
      <c r="Z1129" s="91"/>
      <c r="AA1129" s="347"/>
      <c r="AB1129" s="347"/>
      <c r="AC1129" s="160"/>
      <c r="AD1129" s="160"/>
      <c r="AE1129" s="160"/>
      <c r="AF1129" s="155"/>
      <c r="AG1129" s="155"/>
      <c r="AH1129" s="158"/>
      <c r="AI1129" s="158"/>
      <c r="AJ1129" s="162"/>
      <c r="AK1129" s="158"/>
      <c r="AL1129" s="44"/>
      <c r="AM1129" s="44"/>
      <c r="AN1129" s="44"/>
      <c r="AO1129" s="44"/>
      <c r="AP1129" s="44"/>
    </row>
    <row r="1130" spans="1:42" x14ac:dyDescent="0.25">
      <c r="A1130" s="92" t="s">
        <v>246</v>
      </c>
      <c r="C1130" s="109">
        <v>0</v>
      </c>
      <c r="D1130" s="110">
        <v>31.87</v>
      </c>
      <c r="F1130" s="111">
        <f t="shared" ref="F1130:F1136" si="156">ROUND(C1130*D1130,0)</f>
        <v>0</v>
      </c>
      <c r="G1130" s="110">
        <v>32.630000000000003</v>
      </c>
      <c r="I1130" s="111">
        <f>ROUND(G1130*$C1130,0)</f>
        <v>0</v>
      </c>
      <c r="J1130" s="111"/>
      <c r="K1130" s="110" t="e">
        <v>#DIV/0!</v>
      </c>
      <c r="M1130" s="111" t="e">
        <v>#DIV/0!</v>
      </c>
      <c r="N1130" s="111"/>
      <c r="O1130" s="110" t="e">
        <v>#DIV/0!</v>
      </c>
      <c r="Q1130" s="111" t="e">
        <v>#DIV/0!</v>
      </c>
      <c r="R1130" s="111"/>
      <c r="S1130" s="110" t="e">
        <v>#DIV/0!</v>
      </c>
      <c r="U1130" s="111" t="e">
        <v>#DIV/0!</v>
      </c>
      <c r="X1130" s="158"/>
      <c r="Y1130" s="158"/>
      <c r="Z1130" s="91"/>
      <c r="AA1130" s="347"/>
      <c r="AB1130" s="347"/>
      <c r="AC1130" s="160"/>
      <c r="AD1130" s="160"/>
      <c r="AE1130" s="160"/>
      <c r="AF1130" s="155"/>
      <c r="AG1130" s="155"/>
      <c r="AH1130" s="158"/>
      <c r="AI1130" s="158"/>
      <c r="AJ1130" s="162"/>
      <c r="AK1130" s="158"/>
      <c r="AL1130" s="44"/>
      <c r="AM1130" s="44"/>
      <c r="AN1130" s="44"/>
      <c r="AO1130" s="44"/>
      <c r="AP1130" s="44"/>
    </row>
    <row r="1131" spans="1:42" x14ac:dyDescent="0.25">
      <c r="A1131" s="92" t="s">
        <v>247</v>
      </c>
      <c r="C1131" s="109">
        <v>0</v>
      </c>
      <c r="D1131" s="110">
        <v>26.58</v>
      </c>
      <c r="F1131" s="111">
        <f t="shared" si="156"/>
        <v>0</v>
      </c>
      <c r="G1131" s="110">
        <v>27.22</v>
      </c>
      <c r="I1131" s="111">
        <f t="shared" si="153"/>
        <v>0</v>
      </c>
      <c r="J1131" s="111"/>
      <c r="K1131" s="110" t="e">
        <v>#DIV/0!</v>
      </c>
      <c r="M1131" s="111" t="e">
        <v>#DIV/0!</v>
      </c>
      <c r="N1131" s="111"/>
      <c r="O1131" s="110" t="e">
        <v>#DIV/0!</v>
      </c>
      <c r="Q1131" s="111" t="e">
        <v>#DIV/0!</v>
      </c>
      <c r="R1131" s="111"/>
      <c r="S1131" s="110" t="e">
        <v>#DIV/0!</v>
      </c>
      <c r="U1131" s="111" t="e">
        <v>#DIV/0!</v>
      </c>
      <c r="X1131" s="158"/>
      <c r="Y1131" s="158"/>
      <c r="Z1131" s="91"/>
      <c r="AA1131" s="347"/>
      <c r="AB1131" s="347"/>
      <c r="AC1131" s="160"/>
      <c r="AD1131" s="160"/>
      <c r="AE1131" s="160"/>
      <c r="AF1131" s="155"/>
      <c r="AG1131" s="155"/>
      <c r="AH1131" s="158"/>
      <c r="AI1131" s="158"/>
      <c r="AJ1131" s="162"/>
      <c r="AK1131" s="158"/>
      <c r="AL1131" s="44"/>
      <c r="AM1131" s="44"/>
      <c r="AN1131" s="44"/>
      <c r="AO1131" s="44"/>
      <c r="AP1131" s="44"/>
    </row>
    <row r="1132" spans="1:42" x14ac:dyDescent="0.25">
      <c r="A1132" s="92" t="s">
        <v>248</v>
      </c>
      <c r="C1132" s="109">
        <v>0</v>
      </c>
      <c r="D1132" s="110">
        <v>24.5</v>
      </c>
      <c r="F1132" s="111">
        <f t="shared" si="156"/>
        <v>0</v>
      </c>
      <c r="G1132" s="110">
        <v>25.09</v>
      </c>
      <c r="I1132" s="111">
        <f>ROUND(G1132*$C1132,0)</f>
        <v>0</v>
      </c>
      <c r="J1132" s="111"/>
      <c r="K1132" s="110" t="e">
        <v>#DIV/0!</v>
      </c>
      <c r="M1132" s="111" t="e">
        <v>#DIV/0!</v>
      </c>
      <c r="N1132" s="111"/>
      <c r="O1132" s="110" t="e">
        <v>#DIV/0!</v>
      </c>
      <c r="Q1132" s="111" t="e">
        <v>#DIV/0!</v>
      </c>
      <c r="R1132" s="111"/>
      <c r="S1132" s="110" t="e">
        <v>#DIV/0!</v>
      </c>
      <c r="U1132" s="111" t="e">
        <v>#DIV/0!</v>
      </c>
      <c r="X1132" s="158"/>
      <c r="Y1132" s="158"/>
      <c r="Z1132" s="91"/>
      <c r="AA1132" s="347"/>
      <c r="AB1132" s="347"/>
      <c r="AC1132" s="160"/>
      <c r="AD1132" s="160"/>
      <c r="AE1132" s="160"/>
      <c r="AF1132" s="155"/>
      <c r="AG1132" s="155"/>
      <c r="AH1132" s="158"/>
      <c r="AI1132" s="158"/>
      <c r="AJ1132" s="162"/>
      <c r="AK1132" s="158"/>
      <c r="AL1132" s="44"/>
      <c r="AM1132" s="44"/>
      <c r="AN1132" s="44"/>
      <c r="AO1132" s="44"/>
      <c r="AP1132" s="44"/>
    </row>
    <row r="1133" spans="1:42" x14ac:dyDescent="0.25">
      <c r="A1133" s="92" t="s">
        <v>249</v>
      </c>
      <c r="C1133" s="109">
        <v>0</v>
      </c>
      <c r="D1133" s="110">
        <v>35.81</v>
      </c>
      <c r="F1133" s="111">
        <f t="shared" si="156"/>
        <v>0</v>
      </c>
      <c r="G1133" s="110">
        <v>36.67</v>
      </c>
      <c r="I1133" s="111">
        <f t="shared" si="153"/>
        <v>0</v>
      </c>
      <c r="J1133" s="111"/>
      <c r="K1133" s="110" t="e">
        <v>#DIV/0!</v>
      </c>
      <c r="M1133" s="111" t="e">
        <v>#DIV/0!</v>
      </c>
      <c r="N1133" s="111"/>
      <c r="O1133" s="110" t="e">
        <v>#DIV/0!</v>
      </c>
      <c r="Q1133" s="111" t="e">
        <v>#DIV/0!</v>
      </c>
      <c r="R1133" s="111"/>
      <c r="S1133" s="110" t="e">
        <v>#DIV/0!</v>
      </c>
      <c r="U1133" s="111" t="e">
        <v>#DIV/0!</v>
      </c>
      <c r="X1133" s="158"/>
      <c r="Y1133" s="158"/>
      <c r="Z1133" s="91"/>
      <c r="AA1133" s="347"/>
      <c r="AB1133" s="347"/>
      <c r="AC1133" s="160"/>
      <c r="AD1133" s="160"/>
      <c r="AE1133" s="160"/>
      <c r="AF1133" s="155"/>
      <c r="AG1133" s="155"/>
      <c r="AH1133" s="158"/>
      <c r="AI1133" s="158"/>
      <c r="AJ1133" s="162"/>
      <c r="AK1133" s="158"/>
      <c r="AL1133" s="44"/>
      <c r="AM1133" s="44"/>
      <c r="AN1133" s="44"/>
      <c r="AO1133" s="44"/>
      <c r="AP1133" s="44"/>
    </row>
    <row r="1134" spans="1:42" x14ac:dyDescent="0.25">
      <c r="A1134" s="92" t="s">
        <v>250</v>
      </c>
      <c r="C1134" s="109">
        <v>0</v>
      </c>
      <c r="D1134" s="110">
        <v>28.83</v>
      </c>
      <c r="F1134" s="111">
        <f t="shared" si="156"/>
        <v>0</v>
      </c>
      <c r="G1134" s="110">
        <v>29.52</v>
      </c>
      <c r="I1134" s="111">
        <f>ROUND(G1134*$C1134,0)</f>
        <v>0</v>
      </c>
      <c r="J1134" s="111"/>
      <c r="K1134" s="110" t="e">
        <v>#DIV/0!</v>
      </c>
      <c r="M1134" s="111" t="e">
        <v>#DIV/0!</v>
      </c>
      <c r="N1134" s="111"/>
      <c r="O1134" s="110" t="e">
        <v>#DIV/0!</v>
      </c>
      <c r="Q1134" s="111" t="e">
        <v>#DIV/0!</v>
      </c>
      <c r="R1134" s="111"/>
      <c r="S1134" s="110" t="e">
        <v>#DIV/0!</v>
      </c>
      <c r="U1134" s="111" t="e">
        <v>#DIV/0!</v>
      </c>
      <c r="X1134" s="158"/>
      <c r="Y1134" s="158"/>
      <c r="Z1134" s="91"/>
      <c r="AA1134" s="347"/>
      <c r="AB1134" s="347"/>
      <c r="AC1134" s="160"/>
      <c r="AD1134" s="160"/>
      <c r="AE1134" s="160"/>
      <c r="AF1134" s="155"/>
      <c r="AG1134" s="155"/>
      <c r="AH1134" s="158"/>
      <c r="AI1134" s="158"/>
      <c r="AJ1134" s="162"/>
      <c r="AK1134" s="158"/>
      <c r="AL1134" s="44"/>
      <c r="AM1134" s="44"/>
      <c r="AN1134" s="44"/>
      <c r="AO1134" s="44"/>
      <c r="AP1134" s="44"/>
    </row>
    <row r="1135" spans="1:42" x14ac:dyDescent="0.25">
      <c r="A1135" s="92" t="s">
        <v>251</v>
      </c>
      <c r="C1135" s="109">
        <v>0</v>
      </c>
      <c r="D1135" s="110">
        <v>28.33</v>
      </c>
      <c r="F1135" s="111">
        <f t="shared" si="156"/>
        <v>0</v>
      </c>
      <c r="G1135" s="110">
        <v>29.01</v>
      </c>
      <c r="I1135" s="111">
        <f>ROUND(G1135*$C1135,0)</f>
        <v>0</v>
      </c>
      <c r="J1135" s="111"/>
      <c r="K1135" s="110" t="e">
        <v>#DIV/0!</v>
      </c>
      <c r="M1135" s="111" t="e">
        <v>#DIV/0!</v>
      </c>
      <c r="N1135" s="111"/>
      <c r="O1135" s="110" t="e">
        <v>#DIV/0!</v>
      </c>
      <c r="Q1135" s="111" t="e">
        <v>#DIV/0!</v>
      </c>
      <c r="R1135" s="111"/>
      <c r="S1135" s="110" t="e">
        <v>#DIV/0!</v>
      </c>
      <c r="U1135" s="111" t="e">
        <v>#DIV/0!</v>
      </c>
      <c r="X1135" s="158"/>
      <c r="Y1135" s="158"/>
      <c r="Z1135" s="91"/>
      <c r="AA1135" s="347"/>
      <c r="AB1135" s="347"/>
      <c r="AC1135" s="160"/>
      <c r="AD1135" s="160"/>
      <c r="AE1135" s="160"/>
      <c r="AF1135" s="155"/>
      <c r="AG1135" s="155"/>
      <c r="AH1135" s="158"/>
      <c r="AI1135" s="158"/>
      <c r="AJ1135" s="162"/>
      <c r="AK1135" s="158"/>
      <c r="AL1135" s="44"/>
      <c r="AM1135" s="44"/>
      <c r="AN1135" s="44"/>
      <c r="AO1135" s="44"/>
      <c r="AP1135" s="44"/>
    </row>
    <row r="1136" spans="1:42" x14ac:dyDescent="0.25">
      <c r="A1136" s="92" t="s">
        <v>252</v>
      </c>
      <c r="C1136" s="109">
        <v>0</v>
      </c>
      <c r="D1136" s="110">
        <v>30.85</v>
      </c>
      <c r="F1136" s="111">
        <f t="shared" si="156"/>
        <v>0</v>
      </c>
      <c r="G1136" s="110">
        <v>31.59</v>
      </c>
      <c r="I1136" s="111">
        <f>ROUND(G1136*$C1136,0)</f>
        <v>0</v>
      </c>
      <c r="J1136" s="111"/>
      <c r="K1136" s="110" t="e">
        <v>#DIV/0!</v>
      </c>
      <c r="M1136" s="111" t="e">
        <v>#DIV/0!</v>
      </c>
      <c r="N1136" s="111"/>
      <c r="O1136" s="110" t="e">
        <v>#DIV/0!</v>
      </c>
      <c r="Q1136" s="111" t="e">
        <v>#DIV/0!</v>
      </c>
      <c r="R1136" s="111"/>
      <c r="S1136" s="110" t="e">
        <v>#DIV/0!</v>
      </c>
      <c r="U1136" s="111" t="e">
        <v>#DIV/0!</v>
      </c>
      <c r="X1136" s="158"/>
      <c r="Y1136" s="158"/>
      <c r="Z1136" s="91"/>
      <c r="AA1136" s="347"/>
      <c r="AB1136" s="347"/>
      <c r="AC1136" s="160"/>
      <c r="AD1136" s="160"/>
      <c r="AE1136" s="160"/>
      <c r="AF1136" s="155"/>
      <c r="AG1136" s="155"/>
      <c r="AH1136" s="158"/>
      <c r="AI1136" s="158"/>
      <c r="AJ1136" s="162"/>
      <c r="AK1136" s="158"/>
      <c r="AL1136" s="44"/>
      <c r="AM1136" s="44"/>
      <c r="AN1136" s="44"/>
      <c r="AO1136" s="44"/>
      <c r="AP1136" s="44"/>
    </row>
    <row r="1137" spans="1:44" x14ac:dyDescent="0.25">
      <c r="A1137" s="92" t="s">
        <v>90</v>
      </c>
      <c r="C1137" s="109">
        <v>2124</v>
      </c>
      <c r="D1137" s="110"/>
      <c r="F1137" s="111"/>
      <c r="G1137" s="110"/>
      <c r="I1137" s="111"/>
      <c r="J1137" s="111"/>
      <c r="K1137" s="110"/>
      <c r="M1137" s="111"/>
      <c r="N1137" s="111"/>
      <c r="O1137" s="110"/>
      <c r="Q1137" s="111"/>
      <c r="R1137" s="111"/>
      <c r="S1137" s="110"/>
      <c r="U1137" s="111"/>
      <c r="X1137" s="158"/>
      <c r="Y1137" s="158"/>
      <c r="Z1137" s="91"/>
      <c r="AA1137" s="347"/>
      <c r="AB1137" s="347"/>
      <c r="AC1137" s="160"/>
      <c r="AD1137" s="160"/>
      <c r="AE1137" s="160"/>
      <c r="AF1137" s="155"/>
      <c r="AG1137" s="155"/>
      <c r="AH1137" s="158"/>
      <c r="AI1137" s="158"/>
      <c r="AJ1137" s="158"/>
      <c r="AK1137" s="158"/>
      <c r="AL1137" s="44"/>
      <c r="AM1137" s="44"/>
      <c r="AN1137" s="44"/>
      <c r="AO1137" s="44"/>
      <c r="AP1137" s="44"/>
    </row>
    <row r="1138" spans="1:44" s="120" customFormat="1" hidden="1" x14ac:dyDescent="0.25">
      <c r="A1138" s="119" t="s">
        <v>253</v>
      </c>
      <c r="C1138" s="121">
        <f>C1139</f>
        <v>3883379.6674147383</v>
      </c>
      <c r="D1138" s="128">
        <v>0</v>
      </c>
      <c r="E1138" s="122"/>
      <c r="F1138" s="123"/>
      <c r="G1138" s="124">
        <v>0</v>
      </c>
      <c r="H1138" s="256" t="s">
        <v>89</v>
      </c>
      <c r="I1138" s="256">
        <f>ROUND(G1138*$C1138/100,0)</f>
        <v>0</v>
      </c>
      <c r="J1138" s="256"/>
      <c r="K1138" s="124" t="s">
        <v>0</v>
      </c>
      <c r="L1138" s="125" t="s">
        <v>0</v>
      </c>
      <c r="M1138" s="111">
        <v>0</v>
      </c>
      <c r="N1138" s="123"/>
      <c r="O1138" s="124" t="s">
        <v>0</v>
      </c>
      <c r="P1138" s="125" t="s">
        <v>0</v>
      </c>
      <c r="Q1138" s="111">
        <v>0</v>
      </c>
      <c r="R1138" s="123"/>
      <c r="S1138" s="124">
        <v>0</v>
      </c>
      <c r="T1138" s="125" t="s">
        <v>89</v>
      </c>
      <c r="U1138" s="111">
        <v>0</v>
      </c>
      <c r="V1138" s="126">
        <v>89506.790674119737</v>
      </c>
      <c r="W1138" s="112" t="s">
        <v>205</v>
      </c>
      <c r="Z1138" s="127"/>
      <c r="AA1138" s="127"/>
      <c r="AF1138" s="122"/>
      <c r="AG1138" s="122"/>
      <c r="AH1138" s="122"/>
      <c r="AI1138" s="122"/>
      <c r="AJ1138" s="122"/>
      <c r="AK1138" s="122"/>
      <c r="AL1138" s="122"/>
      <c r="AM1138" s="122"/>
      <c r="AN1138" s="122"/>
      <c r="AO1138" s="122"/>
      <c r="AP1138" s="122"/>
      <c r="AR1138" s="126"/>
    </row>
    <row r="1139" spans="1:44" x14ac:dyDescent="0.25">
      <c r="A1139" s="92" t="s">
        <v>114</v>
      </c>
      <c r="C1139" s="109">
        <v>3883379.6674147383</v>
      </c>
      <c r="D1139" s="128"/>
      <c r="E1139" s="44"/>
      <c r="F1139" s="131">
        <f>SUM(F1112:F1136)</f>
        <v>770147</v>
      </c>
      <c r="G1139" s="128"/>
      <c r="H1139" s="44"/>
      <c r="I1139" s="131">
        <f>SUM(I1112:I1138)</f>
        <v>788386</v>
      </c>
      <c r="J1139" s="131"/>
      <c r="K1139" s="128"/>
      <c r="L1139" s="44"/>
      <c r="M1139" s="131" t="e">
        <f>SUM(M1112:M1138)</f>
        <v>#DIV/0!</v>
      </c>
      <c r="N1139" s="131"/>
      <c r="O1139" s="128"/>
      <c r="P1139" s="44"/>
      <c r="Q1139" s="131" t="e">
        <f>SUM(Q1112:Q1138)</f>
        <v>#DIV/0!</v>
      </c>
      <c r="R1139" s="131"/>
      <c r="S1139" s="128"/>
      <c r="T1139" s="44"/>
      <c r="U1139" s="131" t="e">
        <f>SUM(U1112:U1138)</f>
        <v>#DIV/0!</v>
      </c>
      <c r="X1139" s="158"/>
      <c r="Y1139" s="158"/>
      <c r="Z1139" s="349"/>
      <c r="AA1139" s="44"/>
      <c r="AB1139" s="44"/>
      <c r="AC1139" s="163"/>
      <c r="AD1139" s="163"/>
      <c r="AE1139" s="163"/>
      <c r="AF1139" s="155"/>
      <c r="AG1139" s="155"/>
      <c r="AH1139" s="164"/>
      <c r="AI1139" s="155"/>
      <c r="AJ1139" s="155"/>
      <c r="AK1139" s="155"/>
      <c r="AL1139" s="44"/>
      <c r="AM1139" s="44"/>
      <c r="AN1139" s="44"/>
      <c r="AO1139" s="44"/>
      <c r="AP1139" s="44"/>
    </row>
    <row r="1140" spans="1:44" x14ac:dyDescent="0.25">
      <c r="A1140" s="92" t="s">
        <v>92</v>
      </c>
      <c r="C1140" s="109">
        <v>49178.118055078899</v>
      </c>
      <c r="D1140" s="128"/>
      <c r="E1140" s="44"/>
      <c r="F1140" s="131">
        <v>11953.205380162623</v>
      </c>
      <c r="G1140" s="128"/>
      <c r="H1140" s="44"/>
      <c r="I1140" s="131">
        <f>F1140</f>
        <v>11953.205380162623</v>
      </c>
      <c r="J1140" s="131"/>
      <c r="K1140" s="128"/>
      <c r="L1140" s="44"/>
      <c r="M1140" s="131" t="e">
        <f>$I$1140*V1145/($V$1145+$W$1145+$X$1145)</f>
        <v>#DIV/0!</v>
      </c>
      <c r="N1140" s="133"/>
      <c r="O1140" s="134"/>
      <c r="P1140" s="134"/>
      <c r="Q1140" s="131" t="e">
        <f>$I$1140*W1145/($V$1145+$W$1145+$X$1145)</f>
        <v>#DIV/0!</v>
      </c>
      <c r="R1140" s="133"/>
      <c r="S1140" s="134"/>
      <c r="T1140" s="134"/>
      <c r="U1140" s="131" t="e">
        <f>$I$1140*X1145/($V$1145+$W$1145+$X$1145)</f>
        <v>#DIV/0!</v>
      </c>
      <c r="V1140" s="278"/>
      <c r="X1140" s="163"/>
      <c r="Y1140" s="163"/>
      <c r="Z1140" s="347"/>
      <c r="AA1140" s="44"/>
      <c r="AB1140" s="44"/>
      <c r="AC1140" s="44"/>
      <c r="AD1140" s="44"/>
      <c r="AE1140" s="44"/>
      <c r="AF1140" s="158"/>
      <c r="AG1140" s="155"/>
      <c r="AH1140" s="44"/>
      <c r="AI1140" s="44"/>
      <c r="AJ1140" s="44"/>
      <c r="AK1140" s="44"/>
      <c r="AL1140" s="44"/>
      <c r="AM1140" s="44"/>
      <c r="AN1140" s="44"/>
      <c r="AO1140" s="44"/>
      <c r="AP1140" s="44"/>
    </row>
    <row r="1141" spans="1:44" ht="16.5" thickBot="1" x14ac:dyDescent="0.3">
      <c r="A1141" s="92" t="s">
        <v>93</v>
      </c>
      <c r="C1141" s="136">
        <f>C1139+C1140</f>
        <v>3932557.785469817</v>
      </c>
      <c r="D1141" s="137"/>
      <c r="E1141" s="137"/>
      <c r="F1141" s="138">
        <f>F1139+F1140</f>
        <v>782100.20538016257</v>
      </c>
      <c r="G1141" s="137"/>
      <c r="H1141" s="137"/>
      <c r="I1141" s="138">
        <f>I1139+I1140</f>
        <v>800339.20538016257</v>
      </c>
      <c r="J1141" s="137"/>
      <c r="K1141" s="137"/>
      <c r="L1141" s="138"/>
      <c r="M1141" s="138" t="e">
        <f>M1139+M1140</f>
        <v>#DIV/0!</v>
      </c>
      <c r="N1141" s="137"/>
      <c r="O1141" s="137"/>
      <c r="P1141" s="138"/>
      <c r="Q1141" s="138" t="e">
        <f>Q1139+Q1140</f>
        <v>#DIV/0!</v>
      </c>
      <c r="R1141" s="137"/>
      <c r="S1141" s="137"/>
      <c r="T1141" s="138"/>
      <c r="U1141" s="138" t="e">
        <f>U1139+U1140</f>
        <v>#DIV/0!</v>
      </c>
      <c r="V1141" s="350" t="s">
        <v>146</v>
      </c>
      <c r="W1141" s="140">
        <v>800356.82676552574</v>
      </c>
      <c r="X1141" s="235">
        <f>(I1141-F1141)/F1141</f>
        <v>2.332054112060283E-2</v>
      </c>
      <c r="Y1141" s="142"/>
      <c r="AF1141" s="155"/>
      <c r="AG1141" s="155"/>
      <c r="AH1141" s="44"/>
      <c r="AI1141" s="44"/>
      <c r="AJ1141" s="44"/>
      <c r="AK1141" s="44"/>
      <c r="AL1141" s="44"/>
      <c r="AM1141" s="44"/>
      <c r="AN1141" s="44"/>
      <c r="AO1141" s="44"/>
      <c r="AP1141" s="44"/>
    </row>
    <row r="1142" spans="1:44" ht="16.5" thickTop="1" x14ac:dyDescent="0.25">
      <c r="A1142" s="143" t="s">
        <v>95</v>
      </c>
      <c r="C1142" s="144"/>
      <c r="D1142" s="133"/>
      <c r="E1142" s="133"/>
      <c r="F1142" s="133"/>
      <c r="G1142" s="133"/>
      <c r="H1142" s="133"/>
      <c r="I1142" s="133"/>
      <c r="J1142" s="133"/>
      <c r="K1142" s="133"/>
      <c r="L1142" s="133"/>
      <c r="M1142" s="133"/>
      <c r="N1142" s="133"/>
      <c r="O1142" s="133"/>
      <c r="P1142" s="133"/>
      <c r="Q1142" s="133"/>
      <c r="R1142" s="133"/>
      <c r="S1142" s="133"/>
      <c r="T1142" s="133"/>
      <c r="U1142" s="133"/>
      <c r="V1142" s="351"/>
      <c r="W1142" s="352"/>
      <c r="X1142" s="353"/>
      <c r="Y1142" s="142"/>
      <c r="AF1142" s="155"/>
      <c r="AG1142" s="155"/>
      <c r="AH1142" s="44"/>
      <c r="AI1142" s="44"/>
      <c r="AJ1142" s="44"/>
      <c r="AK1142" s="44"/>
      <c r="AL1142" s="44"/>
      <c r="AM1142" s="44"/>
      <c r="AN1142" s="44"/>
      <c r="AO1142" s="44"/>
      <c r="AP1142" s="44"/>
    </row>
    <row r="1143" spans="1:44" x14ac:dyDescent="0.25">
      <c r="C1143" s="144"/>
      <c r="D1143" s="133"/>
      <c r="E1143" s="133"/>
      <c r="F1143" s="133"/>
      <c r="G1143" s="133"/>
      <c r="H1143" s="133"/>
      <c r="I1143" s="133"/>
      <c r="J1143" s="133"/>
      <c r="K1143" s="133"/>
      <c r="L1143" s="133"/>
      <c r="M1143" s="133"/>
      <c r="N1143" s="133"/>
      <c r="O1143" s="133"/>
      <c r="P1143" s="133"/>
      <c r="Q1143" s="133"/>
      <c r="R1143" s="133"/>
      <c r="S1143" s="133"/>
      <c r="T1143" s="133"/>
      <c r="U1143" s="133" t="s">
        <v>0</v>
      </c>
      <c r="V1143" s="354" t="s">
        <v>96</v>
      </c>
      <c r="W1143" s="346">
        <f>W1141-I1141</f>
        <v>17.621385363163427</v>
      </c>
      <c r="X1143" s="355">
        <v>-0.13519999999999999</v>
      </c>
      <c r="Y1143" s="142"/>
      <c r="AF1143" s="155"/>
      <c r="AG1143" s="155"/>
      <c r="AH1143" s="44"/>
      <c r="AI1143" s="44"/>
      <c r="AJ1143" s="44"/>
      <c r="AK1143" s="44"/>
      <c r="AL1143" s="44"/>
      <c r="AM1143" s="44"/>
      <c r="AN1143" s="44"/>
      <c r="AO1143" s="44"/>
      <c r="AP1143" s="44"/>
    </row>
    <row r="1144" spans="1:44" x14ac:dyDescent="0.25">
      <c r="C1144" s="144"/>
      <c r="D1144" s="133"/>
      <c r="E1144" s="133"/>
      <c r="F1144" s="133"/>
      <c r="G1144" s="133"/>
      <c r="H1144" s="133"/>
      <c r="I1144" s="133"/>
      <c r="J1144" s="133"/>
      <c r="K1144" s="133"/>
      <c r="L1144" s="133"/>
      <c r="M1144" s="133"/>
      <c r="N1144" s="133"/>
      <c r="O1144" s="133"/>
      <c r="P1144" s="133"/>
      <c r="Q1144" s="133"/>
      <c r="R1144" s="133"/>
      <c r="S1144" s="133"/>
      <c r="T1144" s="133"/>
      <c r="U1144" s="133" t="s">
        <v>0</v>
      </c>
      <c r="V1144" s="153"/>
      <c r="W1144" s="153"/>
      <c r="X1144" s="153"/>
      <c r="Y1144" s="142"/>
      <c r="AF1144" s="155"/>
      <c r="AG1144" s="155"/>
      <c r="AH1144" s="44"/>
      <c r="AI1144" s="44"/>
      <c r="AJ1144" s="44"/>
      <c r="AK1144" s="44"/>
      <c r="AL1144" s="44"/>
      <c r="AM1144" s="44"/>
      <c r="AN1144" s="44"/>
      <c r="AO1144" s="44"/>
      <c r="AP1144" s="44"/>
    </row>
    <row r="1145" spans="1:44" hidden="1" x14ac:dyDescent="0.25">
      <c r="C1145" s="144"/>
      <c r="D1145" s="133"/>
      <c r="E1145" s="133"/>
      <c r="F1145" s="133"/>
      <c r="G1145" s="133"/>
      <c r="H1145" s="133"/>
      <c r="I1145" s="133"/>
      <c r="J1145" s="133"/>
      <c r="K1145" s="133"/>
      <c r="L1145" s="133"/>
      <c r="M1145" s="133"/>
      <c r="N1145" s="133"/>
      <c r="O1145" s="133"/>
      <c r="P1145" s="133"/>
      <c r="Q1145" s="133"/>
      <c r="R1145" s="133"/>
      <c r="S1145" s="133"/>
      <c r="T1145" s="133"/>
      <c r="U1145" s="133"/>
      <c r="V1145" s="146"/>
      <c r="W1145" s="146"/>
      <c r="X1145" s="146"/>
      <c r="Y1145" s="142"/>
      <c r="AF1145" s="155"/>
      <c r="AG1145" s="155"/>
      <c r="AH1145" s="44"/>
      <c r="AI1145" s="44"/>
      <c r="AJ1145" s="44"/>
      <c r="AK1145" s="44"/>
      <c r="AL1145" s="44"/>
      <c r="AM1145" s="44"/>
      <c r="AN1145" s="44"/>
      <c r="AO1145" s="44"/>
      <c r="AP1145" s="44"/>
    </row>
    <row r="1146" spans="1:44" hidden="1" x14ac:dyDescent="0.25">
      <c r="A1146" s="149"/>
      <c r="B1146" s="149"/>
      <c r="C1146" s="169"/>
      <c r="D1146" s="169" t="s">
        <v>0</v>
      </c>
      <c r="E1146" s="169"/>
      <c r="F1146" s="111"/>
      <c r="G1146" s="169" t="s">
        <v>0</v>
      </c>
      <c r="H1146" s="169"/>
      <c r="I1146" s="111" t="s">
        <v>0</v>
      </c>
      <c r="J1146" s="111"/>
      <c r="K1146" s="169" t="s">
        <v>0</v>
      </c>
      <c r="L1146" s="169"/>
      <c r="M1146" s="111" t="s">
        <v>0</v>
      </c>
      <c r="N1146" s="111"/>
      <c r="O1146" s="169" t="s">
        <v>0</v>
      </c>
      <c r="P1146" s="169"/>
      <c r="Q1146" s="111" t="s">
        <v>0</v>
      </c>
      <c r="R1146" s="111"/>
      <c r="S1146" s="169" t="s">
        <v>0</v>
      </c>
      <c r="T1146" s="169"/>
      <c r="U1146" s="111" t="s">
        <v>0</v>
      </c>
      <c r="W1146" s="92"/>
      <c r="X1146" s="92"/>
      <c r="Y1146" s="84"/>
      <c r="AA1146" s="356"/>
      <c r="AB1146" s="356"/>
      <c r="AC1146" s="356"/>
      <c r="AD1146" s="356"/>
      <c r="AE1146" s="356"/>
      <c r="AF1146" s="155"/>
      <c r="AG1146" s="155"/>
      <c r="AH1146" s="44"/>
      <c r="AI1146" s="44"/>
      <c r="AJ1146" s="44"/>
      <c r="AK1146" s="44"/>
      <c r="AL1146" s="44"/>
      <c r="AM1146" s="44"/>
      <c r="AN1146" s="44"/>
      <c r="AO1146" s="44"/>
      <c r="AP1146" s="44"/>
    </row>
    <row r="1147" spans="1:44" x14ac:dyDescent="0.25">
      <c r="A1147" s="168" t="s">
        <v>254</v>
      </c>
      <c r="B1147" s="149"/>
      <c r="C1147" s="149"/>
      <c r="D1147" s="149"/>
      <c r="E1147" s="149"/>
      <c r="F1147" s="149"/>
      <c r="G1147" s="149"/>
      <c r="H1147" s="149"/>
      <c r="I1147" s="149"/>
      <c r="J1147" s="149"/>
      <c r="K1147" s="149"/>
      <c r="L1147" s="149"/>
      <c r="M1147" s="149"/>
      <c r="N1147" s="149"/>
      <c r="O1147" s="149"/>
      <c r="P1147" s="149"/>
      <c r="Q1147" s="149"/>
      <c r="R1147" s="149"/>
      <c r="S1147" s="149"/>
      <c r="T1147" s="149"/>
      <c r="U1147" s="149"/>
      <c r="V1147" s="155"/>
      <c r="W1147" s="163"/>
      <c r="X1147" s="155"/>
      <c r="Y1147" s="155"/>
      <c r="Z1147" s="44"/>
      <c r="AA1147" s="44"/>
      <c r="AB1147" s="44"/>
      <c r="AC1147" s="44"/>
      <c r="AD1147" s="44"/>
      <c r="AE1147" s="44"/>
      <c r="AF1147" s="44"/>
      <c r="AG1147" s="155"/>
      <c r="AH1147" s="155"/>
      <c r="AI1147" s="155"/>
      <c r="AJ1147" s="155"/>
      <c r="AK1147" s="155"/>
      <c r="AL1147" s="44"/>
      <c r="AM1147" s="44"/>
      <c r="AN1147" s="44"/>
      <c r="AO1147" s="44"/>
      <c r="AP1147" s="44"/>
    </row>
    <row r="1148" spans="1:44" x14ac:dyDescent="0.25">
      <c r="A1148" s="149" t="s">
        <v>255</v>
      </c>
      <c r="B1148" s="149"/>
      <c r="C1148" s="149"/>
      <c r="D1148" s="149"/>
      <c r="E1148" s="149"/>
      <c r="F1148" s="149"/>
      <c r="G1148" s="149"/>
      <c r="H1148" s="149"/>
      <c r="I1148" s="149"/>
      <c r="J1148" s="149"/>
      <c r="K1148" s="149"/>
      <c r="L1148" s="149"/>
      <c r="M1148" s="149"/>
      <c r="N1148" s="149"/>
      <c r="O1148" s="149"/>
      <c r="P1148" s="149"/>
      <c r="Q1148" s="149"/>
      <c r="R1148" s="149"/>
      <c r="S1148" s="149"/>
      <c r="T1148" s="149"/>
      <c r="U1148" s="149"/>
      <c r="V1148" s="44"/>
      <c r="W1148" s="91"/>
      <c r="X1148" s="91"/>
      <c r="Y1148" s="91"/>
      <c r="Z1148" s="44"/>
      <c r="AA1148" s="44"/>
      <c r="AB1148" s="44"/>
      <c r="AC1148" s="44"/>
      <c r="AD1148" s="44"/>
      <c r="AE1148" s="44"/>
      <c r="AF1148" s="44"/>
      <c r="AG1148" s="155"/>
      <c r="AH1148" s="155"/>
      <c r="AI1148" s="155"/>
      <c r="AJ1148" s="155"/>
      <c r="AK1148" s="155"/>
      <c r="AL1148" s="44"/>
      <c r="AM1148" s="44"/>
      <c r="AN1148" s="44"/>
      <c r="AO1148" s="44"/>
      <c r="AP1148" s="44"/>
    </row>
    <row r="1149" spans="1:44" x14ac:dyDescent="0.25">
      <c r="A1149" s="149"/>
      <c r="B1149" s="149"/>
      <c r="C1149" s="149"/>
      <c r="D1149" s="149"/>
      <c r="E1149" s="149"/>
      <c r="F1149" s="149"/>
      <c r="G1149" s="149"/>
      <c r="H1149" s="149"/>
      <c r="I1149" s="149"/>
      <c r="J1149" s="149"/>
      <c r="K1149" s="149"/>
      <c r="L1149" s="149"/>
      <c r="M1149" s="149"/>
      <c r="N1149" s="149"/>
      <c r="O1149" s="149"/>
      <c r="P1149" s="149"/>
      <c r="Q1149" s="149"/>
      <c r="R1149" s="149"/>
      <c r="S1149" s="149"/>
      <c r="T1149" s="149"/>
      <c r="U1149" s="149"/>
      <c r="V1149" s="44"/>
      <c r="W1149" s="91"/>
      <c r="X1149" s="91" t="s">
        <v>0</v>
      </c>
      <c r="Y1149" s="91"/>
      <c r="Z1149" s="44"/>
      <c r="AA1149" s="44"/>
      <c r="AB1149" s="44"/>
      <c r="AC1149" s="44"/>
      <c r="AD1149" s="44"/>
      <c r="AE1149" s="44"/>
      <c r="AF1149" s="44"/>
      <c r="AG1149" s="155"/>
      <c r="AH1149" s="155"/>
      <c r="AI1149" s="155"/>
      <c r="AJ1149" s="155"/>
      <c r="AK1149" s="155"/>
      <c r="AL1149" s="44"/>
      <c r="AM1149" s="44"/>
      <c r="AN1149" s="44"/>
      <c r="AO1149" s="44"/>
      <c r="AP1149" s="44"/>
    </row>
    <row r="1150" spans="1:44" x14ac:dyDescent="0.25">
      <c r="A1150" s="149" t="s">
        <v>256</v>
      </c>
      <c r="B1150" s="149"/>
      <c r="C1150" s="169"/>
      <c r="D1150" s="173"/>
      <c r="E1150" s="149"/>
      <c r="F1150" s="111">
        <v>19085.726609179299</v>
      </c>
      <c r="G1150" s="173"/>
      <c r="H1150" s="149"/>
      <c r="I1150" s="111">
        <v>19085.726609179299</v>
      </c>
      <c r="J1150" s="111"/>
      <c r="K1150" s="173"/>
      <c r="L1150" s="149"/>
      <c r="M1150" s="111">
        <f>I1150</f>
        <v>19085.726609179299</v>
      </c>
      <c r="N1150" s="111"/>
      <c r="O1150" s="173"/>
      <c r="P1150" s="149"/>
      <c r="Q1150" s="111" t="s">
        <v>0</v>
      </c>
      <c r="R1150" s="111"/>
      <c r="S1150" s="173"/>
      <c r="T1150" s="149"/>
      <c r="U1150" s="111" t="str">
        <f>Q1150</f>
        <v xml:space="preserve"> </v>
      </c>
      <c r="V1150" s="44"/>
      <c r="W1150" s="91"/>
      <c r="X1150" s="91" t="s">
        <v>0</v>
      </c>
      <c r="Y1150" s="91"/>
      <c r="Z1150" s="44"/>
      <c r="AA1150" s="44"/>
      <c r="AB1150" s="44"/>
      <c r="AC1150" s="44"/>
      <c r="AD1150" s="44"/>
      <c r="AE1150" s="44"/>
      <c r="AF1150" s="44"/>
      <c r="AG1150" s="44"/>
      <c r="AH1150" s="44"/>
      <c r="AI1150" s="44"/>
      <c r="AJ1150" s="44"/>
      <c r="AK1150" s="44"/>
      <c r="AL1150" s="44"/>
      <c r="AM1150" s="44"/>
      <c r="AN1150" s="44"/>
      <c r="AO1150" s="44"/>
      <c r="AP1150" s="44"/>
    </row>
    <row r="1151" spans="1:44" x14ac:dyDescent="0.25">
      <c r="A1151" s="149" t="s">
        <v>257</v>
      </c>
      <c r="B1151" s="149"/>
      <c r="C1151" s="109">
        <v>209541.66875847799</v>
      </c>
      <c r="D1151" s="307">
        <v>8.3360000000000003</v>
      </c>
      <c r="E1151" s="149" t="s">
        <v>89</v>
      </c>
      <c r="F1151" s="357">
        <f>ROUND(D1151*C1151/100,0)</f>
        <v>17467</v>
      </c>
      <c r="G1151" s="307">
        <v>8.7520000000000007</v>
      </c>
      <c r="H1151" s="149" t="s">
        <v>89</v>
      </c>
      <c r="I1151" s="111">
        <f>ROUND(G1151*$C1151/100,0)</f>
        <v>18339</v>
      </c>
      <c r="J1151" s="111"/>
      <c r="K1151" s="307" t="e">
        <v>#DIV/0!</v>
      </c>
      <c r="L1151" s="149" t="s">
        <v>89</v>
      </c>
      <c r="M1151" s="111" t="e">
        <v>#DIV/0!</v>
      </c>
      <c r="N1151" s="111"/>
      <c r="O1151" s="307" t="e">
        <v>#DIV/0!</v>
      </c>
      <c r="P1151" s="149" t="s">
        <v>89</v>
      </c>
      <c r="Q1151" s="111" t="e">
        <v>#DIV/0!</v>
      </c>
      <c r="R1151" s="111"/>
      <c r="S1151" s="307" t="e">
        <v>#DIV/0!</v>
      </c>
      <c r="T1151" s="149" t="s">
        <v>89</v>
      </c>
      <c r="U1151" s="111" t="e">
        <v>#DIV/0!</v>
      </c>
      <c r="V1151" s="44"/>
      <c r="W1151" s="91"/>
      <c r="X1151" s="91"/>
      <c r="Y1151" s="91"/>
      <c r="Z1151" s="44"/>
      <c r="AA1151" s="44"/>
      <c r="AB1151" s="44"/>
      <c r="AC1151" s="44"/>
      <c r="AD1151" s="44"/>
      <c r="AE1151" s="44"/>
      <c r="AF1151" s="44"/>
      <c r="AG1151" s="44"/>
      <c r="AH1151" s="44"/>
      <c r="AI1151" s="44"/>
      <c r="AJ1151" s="44"/>
      <c r="AK1151" s="44"/>
      <c r="AL1151" s="44"/>
      <c r="AM1151" s="44"/>
      <c r="AN1151" s="44"/>
      <c r="AO1151" s="44"/>
      <c r="AP1151" s="44"/>
    </row>
    <row r="1152" spans="1:44" x14ac:dyDescent="0.25">
      <c r="A1152" s="149" t="s">
        <v>258</v>
      </c>
      <c r="B1152" s="149"/>
      <c r="C1152" s="109">
        <v>0</v>
      </c>
      <c r="D1152" s="307">
        <v>9.3279999999999994</v>
      </c>
      <c r="E1152" s="149" t="s">
        <v>89</v>
      </c>
      <c r="F1152" s="357">
        <f>ROUND(D1152*C1152/100,0)</f>
        <v>0</v>
      </c>
      <c r="G1152" s="307">
        <v>9.7940000000000005</v>
      </c>
      <c r="H1152" s="149" t="s">
        <v>89</v>
      </c>
      <c r="I1152" s="111">
        <f>ROUND(G1152*$C1152/100,0)</f>
        <v>0</v>
      </c>
      <c r="J1152" s="111"/>
      <c r="K1152" s="307" t="e">
        <v>#DIV/0!</v>
      </c>
      <c r="L1152" s="149" t="s">
        <v>89</v>
      </c>
      <c r="M1152" s="111" t="e">
        <v>#DIV/0!</v>
      </c>
      <c r="N1152" s="111"/>
      <c r="O1152" s="307" t="e">
        <v>#DIV/0!</v>
      </c>
      <c r="P1152" s="149" t="s">
        <v>89</v>
      </c>
      <c r="Q1152" s="111" t="e">
        <v>#DIV/0!</v>
      </c>
      <c r="R1152" s="111"/>
      <c r="S1152" s="307" t="e">
        <v>#DIV/0!</v>
      </c>
      <c r="T1152" s="149" t="s">
        <v>89</v>
      </c>
      <c r="U1152" s="111" t="e">
        <v>#DIV/0!</v>
      </c>
      <c r="V1152" s="44"/>
      <c r="W1152" s="91"/>
      <c r="X1152" s="44"/>
      <c r="Y1152" s="44"/>
      <c r="Z1152" s="44"/>
      <c r="AA1152" s="44"/>
      <c r="AB1152" s="44"/>
      <c r="AC1152" s="44"/>
      <c r="AD1152" s="44"/>
      <c r="AE1152" s="44"/>
      <c r="AF1152" s="44"/>
      <c r="AG1152" s="44"/>
      <c r="AH1152" s="44"/>
      <c r="AI1152" s="44"/>
      <c r="AJ1152" s="44"/>
      <c r="AK1152" s="44"/>
      <c r="AL1152" s="44"/>
      <c r="AM1152" s="44"/>
      <c r="AN1152" s="44"/>
      <c r="AO1152" s="44"/>
      <c r="AP1152" s="44"/>
    </row>
    <row r="1153" spans="1:44" x14ac:dyDescent="0.25">
      <c r="A1153" s="149" t="s">
        <v>90</v>
      </c>
      <c r="B1153" s="149"/>
      <c r="C1153" s="109">
        <v>14</v>
      </c>
      <c r="D1153" s="358"/>
      <c r="E1153" s="149"/>
      <c r="F1153" s="111"/>
      <c r="G1153" s="358"/>
      <c r="H1153" s="149"/>
      <c r="I1153" s="111"/>
      <c r="J1153" s="111"/>
      <c r="K1153" s="358"/>
      <c r="L1153" s="149"/>
      <c r="M1153" s="111"/>
      <c r="N1153" s="111"/>
      <c r="O1153" s="358"/>
      <c r="P1153" s="149"/>
      <c r="Q1153" s="111"/>
      <c r="R1153" s="111"/>
      <c r="S1153" s="358"/>
      <c r="T1153" s="149"/>
      <c r="U1153" s="111"/>
      <c r="V1153" s="44"/>
      <c r="W1153" s="91"/>
      <c r="X1153" s="91"/>
      <c r="Y1153" s="91"/>
      <c r="Z1153" s="44"/>
      <c r="AA1153" s="44"/>
      <c r="AB1153" s="44"/>
      <c r="AC1153" s="44"/>
      <c r="AD1153" s="44"/>
      <c r="AE1153" s="44"/>
      <c r="AF1153" s="44"/>
      <c r="AG1153" s="44"/>
      <c r="AH1153" s="44"/>
      <c r="AI1153" s="44"/>
      <c r="AJ1153" s="44"/>
      <c r="AK1153" s="44"/>
      <c r="AL1153" s="44"/>
      <c r="AM1153" s="44"/>
      <c r="AN1153" s="44"/>
      <c r="AO1153" s="44"/>
      <c r="AP1153" s="44"/>
    </row>
    <row r="1154" spans="1:44" s="120" customFormat="1" hidden="1" x14ac:dyDescent="0.25">
      <c r="A1154" s="119" t="s">
        <v>204</v>
      </c>
      <c r="C1154" s="121">
        <f>C1156</f>
        <v>209541.66875847799</v>
      </c>
      <c r="D1154" s="128">
        <v>0</v>
      </c>
      <c r="E1154" s="122"/>
      <c r="F1154" s="123"/>
      <c r="G1154" s="124">
        <v>0</v>
      </c>
      <c r="H1154" s="256" t="s">
        <v>89</v>
      </c>
      <c r="I1154" s="256">
        <f>ROUND(G1154*$C1154/100,0)</f>
        <v>0</v>
      </c>
      <c r="J1154" s="256"/>
      <c r="K1154" s="124" t="s">
        <v>0</v>
      </c>
      <c r="L1154" s="125" t="s">
        <v>0</v>
      </c>
      <c r="M1154" s="111">
        <v>0</v>
      </c>
      <c r="N1154" s="123"/>
      <c r="O1154" s="124" t="s">
        <v>0</v>
      </c>
      <c r="P1154" s="125" t="s">
        <v>0</v>
      </c>
      <c r="Q1154" s="111">
        <v>0</v>
      </c>
      <c r="R1154" s="123"/>
      <c r="S1154" s="124">
        <v>0</v>
      </c>
      <c r="T1154" s="125" t="s">
        <v>89</v>
      </c>
      <c r="U1154" s="111">
        <v>0</v>
      </c>
      <c r="V1154" s="126">
        <v>4829.6597009163306</v>
      </c>
      <c r="W1154" s="112" t="s">
        <v>205</v>
      </c>
      <c r="Z1154" s="127"/>
      <c r="AA1154" s="127"/>
      <c r="AF1154" s="122"/>
      <c r="AG1154" s="122"/>
      <c r="AH1154" s="122"/>
      <c r="AI1154" s="122"/>
      <c r="AJ1154" s="122"/>
      <c r="AK1154" s="122"/>
      <c r="AL1154" s="122"/>
      <c r="AM1154" s="122"/>
      <c r="AN1154" s="122"/>
      <c r="AO1154" s="122"/>
      <c r="AP1154" s="122"/>
      <c r="AR1154" s="126"/>
    </row>
    <row r="1155" spans="1:44" s="120" customFormat="1" hidden="1" x14ac:dyDescent="0.25">
      <c r="A1155" s="182" t="s">
        <v>259</v>
      </c>
      <c r="B1155" s="183"/>
      <c r="C1155" s="341"/>
      <c r="D1155" s="334">
        <v>8.3360000000000003</v>
      </c>
      <c r="E1155" s="186" t="s">
        <v>89</v>
      </c>
      <c r="F1155" s="187"/>
      <c r="G1155" s="334">
        <f>G1151+G1154</f>
        <v>8.7520000000000007</v>
      </c>
      <c r="H1155" s="186" t="s">
        <v>89</v>
      </c>
      <c r="I1155" s="272"/>
      <c r="J1155" s="272"/>
      <c r="K1155" s="334" t="e">
        <f>K1151+K1154</f>
        <v>#DIV/0!</v>
      </c>
      <c r="L1155" s="186" t="s">
        <v>89</v>
      </c>
      <c r="M1155" s="272"/>
      <c r="N1155" s="272"/>
      <c r="O1155" s="334" t="e">
        <f>O1151+O1154</f>
        <v>#DIV/0!</v>
      </c>
      <c r="P1155" s="186" t="s">
        <v>89</v>
      </c>
      <c r="Q1155" s="272"/>
      <c r="R1155" s="272"/>
      <c r="S1155" s="334" t="e">
        <f>S1151+S1154</f>
        <v>#DIV/0!</v>
      </c>
      <c r="T1155" s="186" t="s">
        <v>89</v>
      </c>
      <c r="U1155" s="272"/>
      <c r="V1155" s="126"/>
      <c r="W1155" s="112"/>
      <c r="X1155" s="84" t="s">
        <v>0</v>
      </c>
      <c r="Z1155" s="127"/>
      <c r="AA1155" s="127"/>
      <c r="AF1155" s="122"/>
      <c r="AG1155" s="122"/>
      <c r="AH1155" s="122"/>
      <c r="AI1155" s="122"/>
      <c r="AJ1155" s="122"/>
      <c r="AK1155" s="122"/>
      <c r="AL1155" s="122"/>
      <c r="AM1155" s="122"/>
      <c r="AN1155" s="122"/>
      <c r="AO1155" s="122"/>
      <c r="AP1155" s="122"/>
      <c r="AR1155" s="126"/>
    </row>
    <row r="1156" spans="1:44" x14ac:dyDescent="0.25">
      <c r="A1156" s="92" t="s">
        <v>260</v>
      </c>
      <c r="C1156" s="109">
        <f>SUM(C1151:C1152)</f>
        <v>209541.66875847799</v>
      </c>
      <c r="D1156" s="128"/>
      <c r="E1156" s="44"/>
      <c r="F1156" s="131">
        <f>SUM(F1150:F1152)</f>
        <v>36552.726609179299</v>
      </c>
      <c r="G1156" s="128"/>
      <c r="H1156" s="44"/>
      <c r="I1156" s="131">
        <f>SUM(I1150:I1155)</f>
        <v>37424.726609179299</v>
      </c>
      <c r="J1156" s="131"/>
      <c r="K1156" s="128"/>
      <c r="L1156" s="44"/>
      <c r="M1156" s="131" t="e">
        <f>SUM(M1150:M1155)</f>
        <v>#DIV/0!</v>
      </c>
      <c r="N1156" s="131"/>
      <c r="O1156" s="128"/>
      <c r="P1156" s="44"/>
      <c r="Q1156" s="131" t="e">
        <f>SUM(Q1150:Q1155)</f>
        <v>#DIV/0!</v>
      </c>
      <c r="R1156" s="131"/>
      <c r="S1156" s="128"/>
      <c r="T1156" s="44"/>
      <c r="U1156" s="131" t="e">
        <f>SUM(U1150:U1155)</f>
        <v>#DIV/0!</v>
      </c>
      <c r="V1156" s="44"/>
      <c r="W1156" s="91"/>
      <c r="X1156" s="91"/>
      <c r="Y1156" s="91"/>
      <c r="Z1156" s="44"/>
      <c r="AA1156" s="44"/>
      <c r="AB1156" s="44"/>
      <c r="AC1156" s="44"/>
      <c r="AD1156" s="44"/>
      <c r="AE1156" s="44"/>
      <c r="AF1156" s="44"/>
      <c r="AG1156" s="44"/>
      <c r="AH1156" s="44"/>
      <c r="AI1156" s="44"/>
      <c r="AJ1156" s="44"/>
      <c r="AK1156" s="44"/>
      <c r="AL1156" s="44"/>
      <c r="AM1156" s="44"/>
      <c r="AN1156" s="44"/>
      <c r="AO1156" s="44"/>
      <c r="AP1156" s="44"/>
    </row>
    <row r="1157" spans="1:44" x14ac:dyDescent="0.25">
      <c r="A1157" s="92" t="s">
        <v>261</v>
      </c>
      <c r="C1157" s="109">
        <v>2653.5816237928889</v>
      </c>
      <c r="D1157" s="128"/>
      <c r="E1157" s="44"/>
      <c r="F1157" s="131">
        <v>567.41534451217819</v>
      </c>
      <c r="G1157" s="128"/>
      <c r="H1157" s="44"/>
      <c r="I1157" s="131">
        <f>F1157</f>
        <v>567.41534451217819</v>
      </c>
      <c r="J1157" s="131"/>
      <c r="K1157" s="128"/>
      <c r="L1157" s="44"/>
      <c r="M1157" s="131" t="e">
        <f>$I$1157*V1161/($V$1161+$W$1161+$X$1161)</f>
        <v>#DIV/0!</v>
      </c>
      <c r="N1157" s="133"/>
      <c r="O1157" s="134"/>
      <c r="P1157" s="134"/>
      <c r="Q1157" s="131" t="e">
        <f>$I$1157*W1161/($V$1161+$W$1161+$X$1161)</f>
        <v>#DIV/0!</v>
      </c>
      <c r="R1157" s="133"/>
      <c r="S1157" s="134"/>
      <c r="T1157" s="134"/>
      <c r="U1157" s="131" t="e">
        <f>$I$1157*X1161/($V$1161+$W$1161+$X$1161)</f>
        <v>#DIV/0!</v>
      </c>
      <c r="V1157" s="278"/>
      <c r="W1157" s="279"/>
      <c r="X1157" s="91"/>
      <c r="Y1157" s="91"/>
      <c r="Z1157" s="44"/>
      <c r="AA1157" s="44"/>
      <c r="AB1157" s="44"/>
      <c r="AC1157" s="44"/>
      <c r="AD1157" s="44"/>
      <c r="AE1157" s="44"/>
      <c r="AF1157" s="44"/>
      <c r="AG1157" s="44"/>
      <c r="AH1157" s="44"/>
      <c r="AI1157" s="44"/>
      <c r="AJ1157" s="44"/>
      <c r="AK1157" s="44"/>
      <c r="AL1157" s="44"/>
      <c r="AM1157" s="44"/>
      <c r="AN1157" s="44"/>
      <c r="AO1157" s="44"/>
      <c r="AP1157" s="44"/>
    </row>
    <row r="1158" spans="1:44" ht="16.5" thickBot="1" x14ac:dyDescent="0.3">
      <c r="A1158" s="149" t="s">
        <v>93</v>
      </c>
      <c r="B1158" s="149"/>
      <c r="C1158" s="315">
        <f>C1156+C1157</f>
        <v>212195.25038227087</v>
      </c>
      <c r="D1158" s="359"/>
      <c r="E1158" s="232"/>
      <c r="F1158" s="138">
        <f>F1156+F1157</f>
        <v>37120.141953691476</v>
      </c>
      <c r="G1158" s="359"/>
      <c r="H1158" s="232"/>
      <c r="I1158" s="138">
        <f>I1156+I1157</f>
        <v>37992.141953691476</v>
      </c>
      <c r="J1158" s="137"/>
      <c r="K1158" s="359"/>
      <c r="L1158" s="232"/>
      <c r="M1158" s="138" t="e">
        <f>M1156+M1157</f>
        <v>#DIV/0!</v>
      </c>
      <c r="N1158" s="137"/>
      <c r="O1158" s="359"/>
      <c r="P1158" s="232"/>
      <c r="Q1158" s="138" t="e">
        <f>Q1156+Q1157</f>
        <v>#DIV/0!</v>
      </c>
      <c r="R1158" s="137"/>
      <c r="S1158" s="359"/>
      <c r="T1158" s="232"/>
      <c r="U1158" s="138" t="e">
        <f>U1156+U1157</f>
        <v>#DIV/0!</v>
      </c>
      <c r="V1158" s="350" t="s">
        <v>146</v>
      </c>
      <c r="W1158" s="140">
        <v>37991.880991169499</v>
      </c>
      <c r="X1158" s="235">
        <f>(I1158-F1158)/F1158</f>
        <v>2.3491289475343249E-2</v>
      </c>
      <c r="Y1158" s="330"/>
      <c r="Z1158" s="44"/>
      <c r="AA1158" s="44"/>
      <c r="AB1158" s="44"/>
      <c r="AC1158" s="44"/>
      <c r="AD1158" s="44"/>
      <c r="AE1158" s="44"/>
      <c r="AF1158" s="44"/>
      <c r="AG1158" s="44"/>
      <c r="AH1158" s="44"/>
      <c r="AI1158" s="44"/>
      <c r="AJ1158" s="44"/>
      <c r="AK1158" s="44"/>
      <c r="AL1158" s="44"/>
      <c r="AM1158" s="44"/>
      <c r="AN1158" s="44"/>
      <c r="AO1158" s="44"/>
      <c r="AP1158" s="44"/>
    </row>
    <row r="1159" spans="1:44" ht="16.5" thickTop="1" x14ac:dyDescent="0.25">
      <c r="A1159" s="149"/>
      <c r="B1159" s="149"/>
      <c r="C1159" s="149"/>
      <c r="D1159" s="310" t="s">
        <v>0</v>
      </c>
      <c r="E1159" s="149"/>
      <c r="F1159" s="149"/>
      <c r="G1159" s="310" t="s">
        <v>0</v>
      </c>
      <c r="H1159" s="149"/>
      <c r="I1159" s="111" t="s">
        <v>0</v>
      </c>
      <c r="J1159" s="111"/>
      <c r="K1159" s="310" t="s">
        <v>0</v>
      </c>
      <c r="L1159" s="149"/>
      <c r="M1159" s="111" t="s">
        <v>0</v>
      </c>
      <c r="N1159" s="111"/>
      <c r="O1159" s="310" t="s">
        <v>0</v>
      </c>
      <c r="P1159" s="149"/>
      <c r="Q1159" s="111" t="s">
        <v>0</v>
      </c>
      <c r="R1159" s="111"/>
      <c r="S1159" s="310" t="s">
        <v>0</v>
      </c>
      <c r="T1159" s="149"/>
      <c r="U1159" s="111" t="s">
        <v>0</v>
      </c>
      <c r="V1159" s="354" t="s">
        <v>96</v>
      </c>
      <c r="W1159" s="151">
        <f>W1158-I1158</f>
        <v>-0.26096252197748981</v>
      </c>
      <c r="X1159" s="240" t="s">
        <v>0</v>
      </c>
      <c r="Y1159" s="84"/>
      <c r="Z1159" s="44"/>
      <c r="AA1159" s="44"/>
      <c r="AB1159" s="44"/>
      <c r="AC1159" s="44"/>
      <c r="AD1159" s="44"/>
      <c r="AE1159" s="44"/>
      <c r="AF1159" s="44"/>
      <c r="AG1159" s="44"/>
      <c r="AH1159" s="44"/>
      <c r="AI1159" s="44"/>
      <c r="AJ1159" s="44"/>
      <c r="AK1159" s="44"/>
      <c r="AL1159" s="44"/>
      <c r="AM1159" s="44"/>
      <c r="AN1159" s="44"/>
      <c r="AO1159" s="44"/>
      <c r="AP1159" s="44"/>
    </row>
    <row r="1160" spans="1:44" hidden="1" x14ac:dyDescent="0.25">
      <c r="A1160" s="149"/>
      <c r="B1160" s="149"/>
      <c r="C1160" s="149"/>
      <c r="D1160" s="310"/>
      <c r="E1160" s="149"/>
      <c r="F1160" s="149"/>
      <c r="G1160" s="310"/>
      <c r="H1160" s="149"/>
      <c r="I1160" s="111"/>
      <c r="J1160" s="111"/>
      <c r="K1160" s="310"/>
      <c r="L1160" s="149"/>
      <c r="M1160" s="111"/>
      <c r="N1160" s="111"/>
      <c r="O1160" s="310"/>
      <c r="P1160" s="149"/>
      <c r="Q1160" s="111"/>
      <c r="R1160" s="111"/>
      <c r="S1160" s="310"/>
      <c r="T1160" s="149"/>
      <c r="U1160" s="111"/>
      <c r="V1160" s="153"/>
      <c r="W1160" s="153"/>
      <c r="X1160" s="153"/>
      <c r="Y1160" s="84"/>
      <c r="Z1160" s="44"/>
      <c r="AA1160" s="44"/>
      <c r="AB1160" s="44"/>
      <c r="AC1160" s="44"/>
      <c r="AD1160" s="44"/>
      <c r="AE1160" s="44"/>
      <c r="AF1160" s="44"/>
      <c r="AG1160" s="44"/>
      <c r="AH1160" s="44"/>
      <c r="AI1160" s="44"/>
      <c r="AJ1160" s="44"/>
      <c r="AK1160" s="44"/>
      <c r="AL1160" s="44"/>
      <c r="AM1160" s="44"/>
      <c r="AN1160" s="44"/>
      <c r="AO1160" s="44"/>
      <c r="AP1160" s="44"/>
    </row>
    <row r="1161" spans="1:44" hidden="1" x14ac:dyDescent="0.25">
      <c r="A1161" s="149"/>
      <c r="B1161" s="149"/>
      <c r="C1161" s="149"/>
      <c r="D1161" s="310"/>
      <c r="E1161" s="149"/>
      <c r="F1161" s="149"/>
      <c r="G1161" s="310"/>
      <c r="H1161" s="149"/>
      <c r="I1161" s="111"/>
      <c r="J1161" s="111"/>
      <c r="K1161" s="310"/>
      <c r="L1161" s="149"/>
      <c r="M1161" s="111"/>
      <c r="N1161" s="111"/>
      <c r="O1161" s="310"/>
      <c r="P1161" s="149"/>
      <c r="Q1161" s="111"/>
      <c r="R1161" s="111"/>
      <c r="S1161" s="310"/>
      <c r="T1161" s="149"/>
      <c r="U1161" s="111"/>
      <c r="V1161" s="146"/>
      <c r="W1161" s="146"/>
      <c r="X1161" s="146"/>
      <c r="Y1161" s="84"/>
      <c r="Z1161" s="44"/>
      <c r="AA1161" s="44"/>
      <c r="AB1161" s="44"/>
      <c r="AC1161" s="44"/>
      <c r="AD1161" s="44"/>
      <c r="AE1161" s="44"/>
      <c r="AF1161" s="44"/>
      <c r="AG1161" s="44"/>
      <c r="AH1161" s="44"/>
      <c r="AI1161" s="44"/>
      <c r="AJ1161" s="44"/>
      <c r="AK1161" s="44"/>
      <c r="AL1161" s="44"/>
      <c r="AM1161" s="44"/>
      <c r="AN1161" s="44"/>
      <c r="AO1161" s="44"/>
      <c r="AP1161" s="44"/>
    </row>
    <row r="1162" spans="1:44" x14ac:dyDescent="0.25">
      <c r="A1162" s="168" t="s">
        <v>262</v>
      </c>
      <c r="B1162" s="149"/>
      <c r="C1162" s="149"/>
      <c r="D1162" s="149"/>
      <c r="E1162" s="149"/>
      <c r="F1162" s="149"/>
      <c r="G1162" s="149"/>
      <c r="H1162" s="149"/>
      <c r="I1162" s="149"/>
      <c r="J1162" s="149"/>
      <c r="K1162" s="149"/>
      <c r="L1162" s="149"/>
      <c r="M1162" s="149"/>
      <c r="N1162" s="149"/>
      <c r="O1162" s="149"/>
      <c r="P1162" s="149"/>
      <c r="Q1162" s="149"/>
      <c r="R1162" s="149"/>
      <c r="S1162" s="149"/>
      <c r="T1162" s="149"/>
      <c r="U1162" s="149"/>
      <c r="V1162" s="44"/>
      <c r="W1162" s="91"/>
      <c r="X1162" s="91"/>
      <c r="Y1162" s="91"/>
      <c r="Z1162" s="44"/>
      <c r="AA1162" s="44"/>
      <c r="AB1162" s="44"/>
      <c r="AC1162" s="44"/>
      <c r="AD1162" s="44"/>
      <c r="AE1162" s="44"/>
      <c r="AF1162" s="44"/>
      <c r="AG1162" s="44"/>
      <c r="AH1162" s="44"/>
      <c r="AI1162" s="44"/>
      <c r="AJ1162" s="44"/>
      <c r="AK1162" s="44"/>
      <c r="AL1162" s="44"/>
      <c r="AM1162" s="44"/>
      <c r="AN1162" s="44"/>
      <c r="AO1162" s="44"/>
      <c r="AP1162" s="44"/>
    </row>
    <row r="1163" spans="1:44" x14ac:dyDescent="0.25">
      <c r="A1163" s="149" t="s">
        <v>263</v>
      </c>
      <c r="B1163" s="149"/>
      <c r="C1163" s="149"/>
      <c r="D1163" s="149"/>
      <c r="E1163" s="149"/>
      <c r="F1163" s="149"/>
      <c r="G1163" s="149"/>
      <c r="H1163" s="149"/>
      <c r="I1163" s="149"/>
      <c r="J1163" s="149"/>
      <c r="K1163" s="149"/>
      <c r="L1163" s="149"/>
      <c r="M1163" s="149"/>
      <c r="N1163" s="149"/>
      <c r="O1163" s="149"/>
      <c r="P1163" s="149"/>
      <c r="Q1163" s="149"/>
      <c r="R1163" s="149"/>
      <c r="S1163" s="149"/>
      <c r="T1163" s="149"/>
      <c r="U1163" s="149"/>
      <c r="V1163" s="44"/>
      <c r="W1163" s="91"/>
      <c r="X1163" s="91"/>
      <c r="Y1163" s="91"/>
      <c r="Z1163" s="44"/>
      <c r="AA1163" s="44"/>
      <c r="AB1163" s="44"/>
      <c r="AC1163" s="44"/>
      <c r="AD1163" s="44"/>
      <c r="AE1163" s="44"/>
      <c r="AF1163" s="44"/>
      <c r="AG1163" s="44"/>
      <c r="AH1163" s="44"/>
      <c r="AI1163" s="44"/>
      <c r="AJ1163" s="44"/>
      <c r="AK1163" s="44"/>
      <c r="AL1163" s="44"/>
      <c r="AM1163" s="44"/>
      <c r="AN1163" s="44"/>
      <c r="AO1163" s="44"/>
      <c r="AP1163" s="44"/>
    </row>
    <row r="1164" spans="1:44" x14ac:dyDescent="0.25">
      <c r="A1164" s="149"/>
      <c r="B1164" s="149"/>
      <c r="C1164" s="149"/>
      <c r="D1164" s="310"/>
      <c r="E1164" s="149"/>
      <c r="F1164" s="149"/>
      <c r="G1164" s="310"/>
      <c r="H1164" s="149"/>
      <c r="I1164" s="149"/>
      <c r="J1164" s="149"/>
      <c r="K1164" s="310"/>
      <c r="L1164" s="149"/>
      <c r="M1164" s="149"/>
      <c r="N1164" s="149"/>
      <c r="O1164" s="310"/>
      <c r="P1164" s="149"/>
      <c r="Q1164" s="149"/>
      <c r="R1164" s="149"/>
      <c r="S1164" s="310"/>
      <c r="T1164" s="149"/>
      <c r="U1164" s="149"/>
      <c r="V1164" s="44"/>
      <c r="W1164" s="91"/>
      <c r="X1164" s="91"/>
      <c r="Y1164" s="91"/>
      <c r="Z1164" s="44"/>
      <c r="AA1164" s="44"/>
      <c r="AB1164" s="44"/>
      <c r="AC1164" s="44"/>
      <c r="AD1164" s="44"/>
      <c r="AE1164" s="44"/>
      <c r="AF1164" s="44"/>
      <c r="AG1164" s="44"/>
      <c r="AH1164" s="44"/>
      <c r="AI1164" s="44"/>
      <c r="AJ1164" s="44"/>
      <c r="AK1164" s="44"/>
      <c r="AL1164" s="44"/>
      <c r="AM1164" s="44"/>
      <c r="AN1164" s="44"/>
      <c r="AO1164" s="44"/>
      <c r="AP1164" s="44"/>
    </row>
    <row r="1165" spans="1:44" x14ac:dyDescent="0.25">
      <c r="A1165" s="149" t="s">
        <v>256</v>
      </c>
      <c r="B1165" s="149"/>
      <c r="C1165" s="169"/>
      <c r="D1165" s="173"/>
      <c r="E1165" s="149"/>
      <c r="F1165" s="111">
        <f>F1180+F1209</f>
        <v>2258.3938334562231</v>
      </c>
      <c r="G1165" s="173"/>
      <c r="H1165" s="149"/>
      <c r="I1165" s="111">
        <f>I1180+I1209</f>
        <v>2258.3938334562231</v>
      </c>
      <c r="J1165" s="111"/>
      <c r="K1165" s="173"/>
      <c r="L1165" s="149"/>
      <c r="M1165" s="111" t="e">
        <f>M1180+M1209</f>
        <v>#REF!</v>
      </c>
      <c r="N1165" s="111"/>
      <c r="O1165" s="173"/>
      <c r="P1165" s="149"/>
      <c r="Q1165" s="111" t="e">
        <f>Q1180+Q1209</f>
        <v>#DIV/0!</v>
      </c>
      <c r="R1165" s="111"/>
      <c r="S1165" s="173"/>
      <c r="T1165" s="149"/>
      <c r="U1165" s="111" t="e">
        <f>U1180+U1209</f>
        <v>#DIV/0!</v>
      </c>
      <c r="V1165" s="44"/>
      <c r="W1165" s="91"/>
      <c r="X1165" s="91"/>
      <c r="Y1165" s="91"/>
      <c r="Z1165" s="44"/>
      <c r="AA1165" s="44"/>
      <c r="AB1165" s="44"/>
      <c r="AC1165" s="44"/>
      <c r="AD1165" s="44"/>
      <c r="AE1165" s="44"/>
      <c r="AF1165" s="44"/>
      <c r="AG1165" s="44"/>
      <c r="AH1165" s="44"/>
      <c r="AI1165" s="44"/>
      <c r="AJ1165" s="44"/>
      <c r="AK1165" s="44"/>
      <c r="AL1165" s="44"/>
      <c r="AM1165" s="44"/>
      <c r="AN1165" s="44"/>
      <c r="AO1165" s="44"/>
      <c r="AP1165" s="44"/>
    </row>
    <row r="1166" spans="1:44" x14ac:dyDescent="0.25">
      <c r="A1166" s="149" t="s">
        <v>264</v>
      </c>
      <c r="B1166" s="149"/>
      <c r="C1166" s="109">
        <f>C1196+C1210+C1211</f>
        <v>2331237.4144894434</v>
      </c>
      <c r="D1166" s="307" t="s">
        <v>0</v>
      </c>
      <c r="E1166" s="149" t="s">
        <v>0</v>
      </c>
      <c r="F1166" s="357">
        <f>F1196+F1211</f>
        <v>164236</v>
      </c>
      <c r="G1166" s="307" t="s">
        <v>0</v>
      </c>
      <c r="H1166" s="149" t="s">
        <v>0</v>
      </c>
      <c r="I1166" s="111">
        <f>I1196+I1211</f>
        <v>168199.12225541333</v>
      </c>
      <c r="J1166" s="111"/>
      <c r="K1166" s="307" t="s">
        <v>0</v>
      </c>
      <c r="L1166" s="149" t="s">
        <v>0</v>
      </c>
      <c r="M1166" s="111" t="e">
        <f>M1196+M1211</f>
        <v>#DIV/0!</v>
      </c>
      <c r="N1166" s="111"/>
      <c r="O1166" s="307" t="s">
        <v>0</v>
      </c>
      <c r="P1166" s="149" t="s">
        <v>0</v>
      </c>
      <c r="Q1166" s="111" t="e">
        <f>Q1196+Q1211</f>
        <v>#DIV/0!</v>
      </c>
      <c r="R1166" s="111"/>
      <c r="S1166" s="307" t="s">
        <v>0</v>
      </c>
      <c r="T1166" s="149" t="s">
        <v>0</v>
      </c>
      <c r="U1166" s="111" t="e">
        <f>U1196+U1211</f>
        <v>#DIV/0!</v>
      </c>
      <c r="V1166" s="44"/>
      <c r="W1166" s="91"/>
      <c r="X1166" s="91"/>
      <c r="Y1166" s="91"/>
      <c r="Z1166" s="44"/>
      <c r="AA1166" s="44"/>
      <c r="AB1166" s="44"/>
      <c r="AC1166" s="44"/>
      <c r="AD1166" s="44"/>
      <c r="AE1166" s="44"/>
      <c r="AF1166" s="44"/>
      <c r="AG1166" s="44"/>
      <c r="AH1166" s="44"/>
      <c r="AI1166" s="44"/>
      <c r="AJ1166" s="44"/>
      <c r="AK1166" s="44"/>
      <c r="AL1166" s="44"/>
      <c r="AM1166" s="44"/>
      <c r="AN1166" s="44"/>
      <c r="AO1166" s="44"/>
      <c r="AP1166" s="44"/>
    </row>
    <row r="1167" spans="1:44" x14ac:dyDescent="0.25">
      <c r="A1167" s="149" t="s">
        <v>265</v>
      </c>
      <c r="B1167" s="149"/>
      <c r="C1167" s="109">
        <f>C1197</f>
        <v>2267439.2993954606</v>
      </c>
      <c r="D1167" s="360" t="s">
        <v>0</v>
      </c>
      <c r="E1167" s="149" t="s">
        <v>0</v>
      </c>
      <c r="F1167" s="111">
        <f>F1182+F1183+F1184+F1185+F1186+F1187+F1190+F1191+F1192+F1193+F1194</f>
        <v>159739.89404560489</v>
      </c>
      <c r="G1167" s="360" t="s">
        <v>0</v>
      </c>
      <c r="H1167" s="149" t="s">
        <v>0</v>
      </c>
      <c r="I1167" s="111">
        <f>I1182+I1183+I1184+I1185+I1186+I1187+I1190+I1191+I1192+I1193+I1194</f>
        <v>163555.17538404744</v>
      </c>
      <c r="J1167" s="111"/>
      <c r="K1167" s="360" t="s">
        <v>0</v>
      </c>
      <c r="L1167" s="149" t="s">
        <v>0</v>
      </c>
      <c r="M1167" s="111" t="e">
        <f>M1182+M1183+M1184+M1185+M1186+M1187+M1190+M1191+M1192+M1193+M1194</f>
        <v>#DIV/0!</v>
      </c>
      <c r="N1167" s="111"/>
      <c r="O1167" s="360" t="s">
        <v>0</v>
      </c>
      <c r="P1167" s="149" t="s">
        <v>0</v>
      </c>
      <c r="Q1167" s="111" t="e">
        <f>Q1182+Q1183+Q1184+Q1185+Q1186+Q1187+Q1190+Q1191+Q1192+Q1193+Q1194</f>
        <v>#DIV/0!</v>
      </c>
      <c r="R1167" s="111"/>
      <c r="S1167" s="360" t="s">
        <v>0</v>
      </c>
      <c r="T1167" s="149" t="s">
        <v>0</v>
      </c>
      <c r="U1167" s="111" t="e">
        <f>U1182+U1183+U1184+U1185+U1186+U1187+U1190+U1191+U1192+U1193+U1194</f>
        <v>#DIV/0!</v>
      </c>
      <c r="V1167" s="44"/>
      <c r="W1167" s="91"/>
      <c r="X1167" s="243" t="s">
        <v>0</v>
      </c>
      <c r="Z1167" s="44"/>
      <c r="AA1167" s="44"/>
      <c r="AB1167" s="44"/>
      <c r="AC1167" s="44"/>
      <c r="AD1167" s="44"/>
      <c r="AE1167" s="44"/>
      <c r="AF1167" s="44"/>
      <c r="AG1167" s="44"/>
      <c r="AH1167" s="44"/>
      <c r="AI1167" s="44"/>
      <c r="AJ1167" s="44"/>
      <c r="AK1167" s="44"/>
      <c r="AL1167" s="44"/>
      <c r="AM1167" s="44"/>
      <c r="AN1167" s="44"/>
      <c r="AO1167" s="44"/>
      <c r="AP1167" s="44"/>
    </row>
    <row r="1168" spans="1:44" x14ac:dyDescent="0.25">
      <c r="A1168" s="149" t="s">
        <v>90</v>
      </c>
      <c r="B1168" s="149"/>
      <c r="C1168" s="109">
        <f>C1198+C1212</f>
        <v>81.416666666666671</v>
      </c>
      <c r="D1168" s="358"/>
      <c r="E1168" s="149"/>
      <c r="F1168" s="111"/>
      <c r="G1168" s="358"/>
      <c r="H1168" s="149"/>
      <c r="I1168" s="111"/>
      <c r="J1168" s="111"/>
      <c r="K1168" s="358"/>
      <c r="L1168" s="149"/>
      <c r="M1168" s="111"/>
      <c r="N1168" s="111"/>
      <c r="O1168" s="358"/>
      <c r="P1168" s="149"/>
      <c r="Q1168" s="111"/>
      <c r="R1168" s="111"/>
      <c r="S1168" s="358"/>
      <c r="T1168" s="149"/>
      <c r="U1168" s="111"/>
      <c r="V1168" s="44"/>
      <c r="W1168" s="91"/>
      <c r="X1168" s="91"/>
      <c r="Y1168" s="91"/>
      <c r="Z1168" s="44"/>
      <c r="AA1168" s="44"/>
      <c r="AB1168" s="44"/>
      <c r="AC1168" s="44"/>
      <c r="AD1168" s="44"/>
      <c r="AE1168" s="44"/>
      <c r="AF1168" s="44"/>
      <c r="AG1168" s="44"/>
      <c r="AH1168" s="44"/>
      <c r="AI1168" s="44"/>
      <c r="AJ1168" s="44"/>
      <c r="AK1168" s="44"/>
      <c r="AL1168" s="44"/>
      <c r="AM1168" s="44"/>
      <c r="AN1168" s="44"/>
      <c r="AO1168" s="44"/>
      <c r="AP1168" s="44"/>
    </row>
    <row r="1169" spans="1:44" s="120" customFormat="1" hidden="1" x14ac:dyDescent="0.25">
      <c r="A1169" s="119" t="s">
        <v>253</v>
      </c>
      <c r="C1169" s="121">
        <f>C1170</f>
        <v>4598676.713884904</v>
      </c>
      <c r="D1169" s="128">
        <v>0</v>
      </c>
      <c r="E1169" s="122"/>
      <c r="F1169" s="123"/>
      <c r="G1169" s="124">
        <v>0</v>
      </c>
      <c r="H1169" s="256" t="s">
        <v>89</v>
      </c>
      <c r="I1169" s="256">
        <f>ROUND(G1169*$C1169/100,0)</f>
        <v>0</v>
      </c>
      <c r="J1169" s="256"/>
      <c r="K1169" s="124" t="s">
        <v>0</v>
      </c>
      <c r="L1169" s="125" t="s">
        <v>0</v>
      </c>
      <c r="M1169" s="123">
        <f>K1169*C1169</f>
        <v>0</v>
      </c>
      <c r="N1169" s="123"/>
      <c r="O1169" s="124" t="s">
        <v>0</v>
      </c>
      <c r="P1169" s="125" t="s">
        <v>0</v>
      </c>
      <c r="Q1169" s="123">
        <f>O1169*C1169</f>
        <v>0</v>
      </c>
      <c r="R1169" s="123"/>
      <c r="S1169" s="124">
        <f>G1169</f>
        <v>0</v>
      </c>
      <c r="T1169" s="125" t="s">
        <v>89</v>
      </c>
      <c r="U1169" s="123">
        <f>I1169</f>
        <v>0</v>
      </c>
      <c r="V1169" s="287">
        <v>105993.44624000302</v>
      </c>
      <c r="W1169" s="361" t="s">
        <v>205</v>
      </c>
      <c r="Z1169" s="127"/>
      <c r="AA1169" s="127"/>
      <c r="AF1169" s="122"/>
      <c r="AG1169" s="122"/>
      <c r="AH1169" s="122"/>
      <c r="AI1169" s="122"/>
      <c r="AJ1169" s="122"/>
      <c r="AK1169" s="122"/>
      <c r="AL1169" s="122"/>
      <c r="AM1169" s="122"/>
      <c r="AN1169" s="122"/>
      <c r="AO1169" s="122"/>
      <c r="AP1169" s="122"/>
      <c r="AR1169" s="126"/>
    </row>
    <row r="1170" spans="1:44" x14ac:dyDescent="0.25">
      <c r="A1170" s="92" t="s">
        <v>260</v>
      </c>
      <c r="C1170" s="109">
        <f>C1201+C1214</f>
        <v>4598676.713884904</v>
      </c>
      <c r="D1170" s="128"/>
      <c r="E1170" s="44"/>
      <c r="F1170" s="131">
        <f>F1201+F1214</f>
        <v>326234.28787906107</v>
      </c>
      <c r="G1170" s="128"/>
      <c r="H1170" s="44"/>
      <c r="I1170" s="131">
        <f>I1201+I1214</f>
        <v>334012.69147291698</v>
      </c>
      <c r="J1170" s="131"/>
      <c r="K1170" s="128"/>
      <c r="L1170" s="44"/>
      <c r="M1170" s="131" t="e">
        <f>M1201+M1214</f>
        <v>#DIV/0!</v>
      </c>
      <c r="N1170" s="131"/>
      <c r="O1170" s="128"/>
      <c r="P1170" s="44"/>
      <c r="Q1170" s="131" t="e">
        <f>Q1201+Q1214</f>
        <v>#DIV/0!</v>
      </c>
      <c r="R1170" s="131"/>
      <c r="S1170" s="128"/>
      <c r="T1170" s="44"/>
      <c r="U1170" s="131" t="e">
        <f>U1201+U1214</f>
        <v>#DIV/0!</v>
      </c>
      <c r="X1170" s="91"/>
      <c r="Y1170" s="91"/>
      <c r="Z1170" s="44"/>
      <c r="AA1170" s="44"/>
      <c r="AB1170" s="44"/>
      <c r="AC1170" s="44"/>
      <c r="AD1170" s="44"/>
      <c r="AE1170" s="44"/>
      <c r="AF1170" s="44"/>
      <c r="AG1170" s="44"/>
      <c r="AH1170" s="44"/>
      <c r="AI1170" s="44"/>
      <c r="AJ1170" s="44"/>
      <c r="AK1170" s="44"/>
      <c r="AL1170" s="44"/>
      <c r="AM1170" s="44"/>
      <c r="AN1170" s="44"/>
      <c r="AO1170" s="44"/>
      <c r="AP1170" s="44"/>
    </row>
    <row r="1171" spans="1:44" x14ac:dyDescent="0.25">
      <c r="A1171" s="92" t="s">
        <v>261</v>
      </c>
      <c r="C1171" s="109">
        <f>C1202+C1215</f>
        <v>58236.455278948066</v>
      </c>
      <c r="D1171" s="128"/>
      <c r="E1171" s="44"/>
      <c r="F1171" s="131">
        <f>F1202+F1215</f>
        <v>5063.9173543015222</v>
      </c>
      <c r="G1171" s="128"/>
      <c r="H1171" s="44"/>
      <c r="I1171" s="131">
        <f>F1171</f>
        <v>5063.9173543015222</v>
      </c>
      <c r="J1171" s="131"/>
      <c r="K1171" s="128"/>
      <c r="L1171" s="44"/>
      <c r="M1171" s="131" t="e">
        <f>M1202+M1215</f>
        <v>#DIV/0!</v>
      </c>
      <c r="N1171" s="131"/>
      <c r="O1171" s="128"/>
      <c r="P1171" s="44"/>
      <c r="Q1171" s="131" t="e">
        <f>Q1202+Q1215</f>
        <v>#DIV/0!</v>
      </c>
      <c r="R1171" s="131"/>
      <c r="S1171" s="128"/>
      <c r="T1171" s="44"/>
      <c r="U1171" s="131" t="e">
        <f>U1202+U1215</f>
        <v>#DIV/0!</v>
      </c>
      <c r="V1171" s="278"/>
      <c r="W1171" s="279"/>
      <c r="X1171" s="91"/>
      <c r="Y1171" s="91"/>
      <c r="Z1171" s="44"/>
      <c r="AA1171" s="44"/>
      <c r="AB1171" s="44"/>
      <c r="AC1171" s="44"/>
      <c r="AD1171" s="44"/>
      <c r="AE1171" s="44"/>
      <c r="AF1171" s="44"/>
      <c r="AG1171" s="44"/>
      <c r="AH1171" s="44"/>
      <c r="AI1171" s="44"/>
      <c r="AJ1171" s="44"/>
      <c r="AK1171" s="44"/>
      <c r="AL1171" s="44"/>
      <c r="AM1171" s="44"/>
      <c r="AN1171" s="44"/>
      <c r="AO1171" s="44"/>
      <c r="AP1171" s="44"/>
    </row>
    <row r="1172" spans="1:44" ht="16.5" thickBot="1" x14ac:dyDescent="0.3">
      <c r="A1172" s="149" t="s">
        <v>93</v>
      </c>
      <c r="B1172" s="149"/>
      <c r="C1172" s="315">
        <f>C1170+C1171</f>
        <v>4656913.169163852</v>
      </c>
      <c r="D1172" s="359"/>
      <c r="E1172" s="232"/>
      <c r="F1172" s="138">
        <f>F1170+F1171</f>
        <v>331298.20523336262</v>
      </c>
      <c r="G1172" s="359"/>
      <c r="H1172" s="232"/>
      <c r="I1172" s="138">
        <f>I1170+I1171</f>
        <v>339076.60882721853</v>
      </c>
      <c r="J1172" s="137"/>
      <c r="K1172" s="359"/>
      <c r="L1172" s="232"/>
      <c r="M1172" s="138" t="e">
        <f>M1170+M1171</f>
        <v>#DIV/0!</v>
      </c>
      <c r="N1172" s="137"/>
      <c r="O1172" s="359"/>
      <c r="P1172" s="232"/>
      <c r="Q1172" s="138" t="e">
        <f>Q1170+Q1171</f>
        <v>#DIV/0!</v>
      </c>
      <c r="R1172" s="137"/>
      <c r="S1172" s="359"/>
      <c r="T1172" s="232"/>
      <c r="U1172" s="138" t="e">
        <f>U1170+U1171</f>
        <v>#DIV/0!</v>
      </c>
      <c r="V1172" s="350" t="s">
        <v>146</v>
      </c>
      <c r="W1172" s="140">
        <v>339087.49844314903</v>
      </c>
      <c r="X1172" s="235">
        <f>(I1172-F1172)/F1172</f>
        <v>2.3478556391142814E-2</v>
      </c>
      <c r="Y1172" s="330"/>
      <c r="Z1172" s="44"/>
      <c r="AA1172" s="44"/>
      <c r="AB1172" s="44"/>
      <c r="AC1172" s="44"/>
      <c r="AD1172" s="44"/>
      <c r="AE1172" s="44"/>
      <c r="AF1172" s="44"/>
      <c r="AG1172" s="44"/>
      <c r="AH1172" s="44"/>
      <c r="AI1172" s="44"/>
      <c r="AJ1172" s="44"/>
      <c r="AK1172" s="44"/>
      <c r="AL1172" s="44"/>
      <c r="AM1172" s="44"/>
      <c r="AN1172" s="44"/>
      <c r="AO1172" s="44"/>
      <c r="AP1172" s="44"/>
    </row>
    <row r="1173" spans="1:44" ht="16.5" thickTop="1" x14ac:dyDescent="0.25">
      <c r="A1173" s="362" t="s">
        <v>95</v>
      </c>
      <c r="B1173" s="149"/>
      <c r="C1173" s="280"/>
      <c r="D1173" s="363"/>
      <c r="E1173" s="238"/>
      <c r="F1173" s="133"/>
      <c r="G1173" s="363"/>
      <c r="H1173" s="238"/>
      <c r="I1173" s="133"/>
      <c r="J1173" s="133"/>
      <c r="K1173" s="363"/>
      <c r="L1173" s="238"/>
      <c r="M1173" s="133"/>
      <c r="N1173" s="133"/>
      <c r="O1173" s="363"/>
      <c r="P1173" s="238"/>
      <c r="Q1173" s="133"/>
      <c r="R1173" s="133"/>
      <c r="S1173" s="363"/>
      <c r="T1173" s="238"/>
      <c r="U1173" s="133"/>
      <c r="V1173" s="351"/>
      <c r="W1173" s="146"/>
      <c r="X1173" s="353"/>
      <c r="Y1173" s="330"/>
      <c r="Z1173" s="44"/>
      <c r="AA1173" s="44"/>
      <c r="AB1173" s="44"/>
      <c r="AC1173" s="44"/>
      <c r="AD1173" s="44"/>
      <c r="AE1173" s="44"/>
      <c r="AF1173" s="44"/>
      <c r="AG1173" s="44"/>
      <c r="AH1173" s="44"/>
      <c r="AI1173" s="44"/>
      <c r="AJ1173" s="44"/>
      <c r="AK1173" s="44"/>
      <c r="AL1173" s="44"/>
      <c r="AM1173" s="44"/>
      <c r="AN1173" s="44"/>
      <c r="AO1173" s="44"/>
      <c r="AP1173" s="44"/>
    </row>
    <row r="1174" spans="1:44" x14ac:dyDescent="0.25">
      <c r="A1174" s="149"/>
      <c r="B1174" s="149"/>
      <c r="C1174" s="280"/>
      <c r="D1174" s="363"/>
      <c r="E1174" s="238"/>
      <c r="F1174" s="133"/>
      <c r="G1174" s="363"/>
      <c r="H1174" s="238"/>
      <c r="I1174" s="133"/>
      <c r="J1174" s="133"/>
      <c r="K1174" s="363"/>
      <c r="L1174" s="238"/>
      <c r="M1174" s="133"/>
      <c r="N1174" s="133"/>
      <c r="O1174" s="363"/>
      <c r="P1174" s="238"/>
      <c r="Q1174" s="133"/>
      <c r="R1174" s="133"/>
      <c r="S1174" s="363"/>
      <c r="T1174" s="238"/>
      <c r="U1174" s="133"/>
      <c r="V1174" s="354" t="s">
        <v>96</v>
      </c>
      <c r="W1174" s="151">
        <f>W1172-I1172</f>
        <v>10.88961593050044</v>
      </c>
      <c r="X1174" s="329"/>
      <c r="Y1174" s="330"/>
      <c r="Z1174" s="44"/>
      <c r="AA1174" s="44"/>
      <c r="AB1174" s="44"/>
      <c r="AC1174" s="44"/>
      <c r="AD1174" s="44"/>
      <c r="AE1174" s="44"/>
      <c r="AF1174" s="44"/>
      <c r="AG1174" s="44"/>
      <c r="AH1174" s="44"/>
      <c r="AI1174" s="44"/>
      <c r="AJ1174" s="44"/>
      <c r="AK1174" s="44"/>
      <c r="AL1174" s="44"/>
      <c r="AM1174" s="44"/>
      <c r="AN1174" s="44"/>
      <c r="AO1174" s="44"/>
      <c r="AP1174" s="44"/>
    </row>
    <row r="1175" spans="1:44" hidden="1" x14ac:dyDescent="0.25">
      <c r="A1175" s="149"/>
      <c r="B1175" s="149"/>
      <c r="C1175" s="280"/>
      <c r="D1175" s="363"/>
      <c r="E1175" s="238"/>
      <c r="F1175" s="133"/>
      <c r="G1175" s="363"/>
      <c r="H1175" s="238"/>
      <c r="I1175" s="133"/>
      <c r="J1175" s="133"/>
      <c r="K1175" s="363"/>
      <c r="L1175" s="238"/>
      <c r="M1175" s="133"/>
      <c r="N1175" s="133"/>
      <c r="O1175" s="363"/>
      <c r="P1175" s="238"/>
      <c r="Q1175" s="133"/>
      <c r="R1175" s="133"/>
      <c r="S1175" s="363"/>
      <c r="T1175" s="238"/>
      <c r="U1175" s="133"/>
      <c r="V1175" s="153"/>
      <c r="W1175" s="153"/>
      <c r="X1175" s="153"/>
      <c r="Y1175" s="330"/>
      <c r="Z1175" s="44"/>
      <c r="AA1175" s="44"/>
      <c r="AB1175" s="44"/>
      <c r="AC1175" s="44"/>
      <c r="AD1175" s="44"/>
      <c r="AE1175" s="44"/>
      <c r="AF1175" s="44"/>
      <c r="AG1175" s="44"/>
      <c r="AH1175" s="44"/>
      <c r="AI1175" s="44"/>
      <c r="AJ1175" s="44"/>
      <c r="AK1175" s="44"/>
      <c r="AL1175" s="44"/>
      <c r="AM1175" s="44"/>
      <c r="AN1175" s="44"/>
      <c r="AO1175" s="44"/>
      <c r="AP1175" s="44"/>
    </row>
    <row r="1176" spans="1:44" hidden="1" x14ac:dyDescent="0.25">
      <c r="A1176" s="149"/>
      <c r="B1176" s="149"/>
      <c r="C1176" s="280"/>
      <c r="D1176" s="363" t="s">
        <v>0</v>
      </c>
      <c r="E1176" s="238"/>
      <c r="F1176" s="133"/>
      <c r="G1176" s="363" t="s">
        <v>0</v>
      </c>
      <c r="H1176" s="238"/>
      <c r="I1176" s="133" t="s">
        <v>0</v>
      </c>
      <c r="J1176" s="133"/>
      <c r="K1176" s="363" t="s">
        <v>0</v>
      </c>
      <c r="L1176" s="238"/>
      <c r="M1176" s="133" t="s">
        <v>0</v>
      </c>
      <c r="N1176" s="133"/>
      <c r="O1176" s="363" t="s">
        <v>0</v>
      </c>
      <c r="P1176" s="238"/>
      <c r="Q1176" s="133" t="s">
        <v>0</v>
      </c>
      <c r="R1176" s="133"/>
      <c r="S1176" s="363" t="s">
        <v>0</v>
      </c>
      <c r="T1176" s="238"/>
      <c r="U1176" s="133" t="s">
        <v>0</v>
      </c>
      <c r="V1176" s="146"/>
      <c r="W1176" s="146"/>
      <c r="X1176" s="146"/>
      <c r="Y1176" s="91"/>
      <c r="Z1176" s="44"/>
      <c r="AA1176" s="44"/>
      <c r="AB1176" s="44"/>
      <c r="AC1176" s="44"/>
      <c r="AD1176" s="44"/>
      <c r="AE1176" s="44"/>
      <c r="AF1176" s="44"/>
      <c r="AG1176" s="44"/>
      <c r="AH1176" s="44"/>
      <c r="AI1176" s="44"/>
      <c r="AJ1176" s="44"/>
      <c r="AK1176" s="44"/>
      <c r="AL1176" s="44"/>
      <c r="AM1176" s="44"/>
      <c r="AN1176" s="44"/>
      <c r="AO1176" s="44"/>
      <c r="AP1176" s="44"/>
    </row>
    <row r="1177" spans="1:44" x14ac:dyDescent="0.25">
      <c r="A1177" s="168" t="s">
        <v>266</v>
      </c>
      <c r="B1177" s="149"/>
      <c r="C1177" s="149"/>
      <c r="D1177" s="149"/>
      <c r="E1177" s="149"/>
      <c r="F1177" s="149"/>
      <c r="G1177" s="149"/>
      <c r="H1177" s="149"/>
      <c r="I1177" s="149"/>
      <c r="J1177" s="149"/>
      <c r="K1177" s="149"/>
      <c r="L1177" s="149"/>
      <c r="M1177" s="149"/>
      <c r="N1177" s="149"/>
      <c r="O1177" s="149"/>
      <c r="P1177" s="149"/>
      <c r="Q1177" s="149"/>
      <c r="R1177" s="149"/>
      <c r="S1177" s="149"/>
      <c r="T1177" s="149"/>
      <c r="U1177" s="149"/>
      <c r="V1177" s="146"/>
      <c r="W1177" s="91"/>
      <c r="X1177" s="91"/>
      <c r="Y1177" s="91"/>
      <c r="Z1177" s="44"/>
      <c r="AA1177" s="44"/>
      <c r="AB1177" s="44"/>
      <c r="AC1177" s="44"/>
      <c r="AD1177" s="44"/>
      <c r="AE1177" s="44"/>
      <c r="AF1177" s="44"/>
      <c r="AG1177" s="44"/>
      <c r="AH1177" s="44"/>
      <c r="AI1177" s="44"/>
      <c r="AJ1177" s="44"/>
      <c r="AK1177" s="44"/>
      <c r="AL1177" s="44"/>
      <c r="AM1177" s="44"/>
      <c r="AN1177" s="44"/>
      <c r="AO1177" s="44"/>
      <c r="AP1177" s="44"/>
    </row>
    <row r="1178" spans="1:44" x14ac:dyDescent="0.25">
      <c r="A1178" s="149" t="s">
        <v>267</v>
      </c>
      <c r="B1178" s="149"/>
      <c r="C1178" s="149"/>
      <c r="D1178" s="149"/>
      <c r="E1178" s="149"/>
      <c r="F1178" s="149"/>
      <c r="G1178" s="149"/>
      <c r="H1178" s="149"/>
      <c r="I1178" s="149"/>
      <c r="J1178" s="149"/>
      <c r="K1178" s="149"/>
      <c r="L1178" s="149"/>
      <c r="M1178" s="149"/>
      <c r="N1178" s="149"/>
      <c r="O1178" s="149"/>
      <c r="P1178" s="149"/>
      <c r="Q1178" s="149"/>
      <c r="R1178" s="149"/>
      <c r="S1178" s="149"/>
      <c r="T1178" s="149"/>
      <c r="U1178" s="149"/>
      <c r="V1178" s="44"/>
      <c r="W1178" s="91"/>
      <c r="X1178" s="91"/>
      <c r="Y1178" s="91"/>
      <c r="Z1178" s="44"/>
      <c r="AA1178" s="44"/>
      <c r="AB1178" s="44"/>
      <c r="AC1178" s="44"/>
      <c r="AD1178" s="44"/>
      <c r="AE1178" s="44"/>
      <c r="AF1178" s="44"/>
      <c r="AG1178" s="44"/>
      <c r="AH1178" s="44"/>
      <c r="AI1178" s="44"/>
      <c r="AJ1178" s="44"/>
      <c r="AK1178" s="44"/>
      <c r="AL1178" s="44"/>
      <c r="AM1178" s="44"/>
      <c r="AN1178" s="44"/>
      <c r="AO1178" s="44"/>
      <c r="AP1178" s="44"/>
    </row>
    <row r="1179" spans="1:44" x14ac:dyDescent="0.25">
      <c r="A1179" s="149"/>
      <c r="B1179" s="149"/>
      <c r="C1179" s="149"/>
      <c r="D1179" s="310"/>
      <c r="E1179" s="149"/>
      <c r="F1179" s="149"/>
      <c r="G1179" s="310"/>
      <c r="H1179" s="149"/>
      <c r="I1179" s="149"/>
      <c r="J1179" s="149"/>
      <c r="K1179" s="310"/>
      <c r="L1179" s="149"/>
      <c r="M1179" s="149"/>
      <c r="N1179" s="149"/>
      <c r="O1179" s="310"/>
      <c r="P1179" s="149"/>
      <c r="Q1179" s="149"/>
      <c r="R1179" s="149"/>
      <c r="S1179" s="310"/>
      <c r="T1179" s="149"/>
      <c r="U1179" s="149"/>
      <c r="V1179" s="44"/>
      <c r="W1179" s="91"/>
      <c r="X1179" s="91"/>
      <c r="Y1179" s="91"/>
      <c r="Z1179" s="44"/>
      <c r="AA1179" s="44"/>
      <c r="AB1179" s="44"/>
      <c r="AC1179" s="44"/>
      <c r="AD1179" s="44"/>
      <c r="AE1179" s="44"/>
      <c r="AF1179" s="44"/>
      <c r="AG1179" s="44"/>
      <c r="AH1179" s="44"/>
      <c r="AI1179" s="44"/>
      <c r="AJ1179" s="44"/>
      <c r="AK1179" s="44"/>
      <c r="AL1179" s="44"/>
      <c r="AM1179" s="44"/>
      <c r="AN1179" s="44"/>
      <c r="AO1179" s="44"/>
      <c r="AP1179" s="44"/>
    </row>
    <row r="1180" spans="1:44" x14ac:dyDescent="0.25">
      <c r="A1180" s="149" t="s">
        <v>256</v>
      </c>
      <c r="B1180" s="149"/>
      <c r="C1180" s="169"/>
      <c r="D1180" s="173"/>
      <c r="E1180" s="149"/>
      <c r="F1180" s="111">
        <v>2258.3938334562231</v>
      </c>
      <c r="G1180" s="173"/>
      <c r="H1180" s="149"/>
      <c r="I1180" s="111">
        <v>2258.3938334562231</v>
      </c>
      <c r="J1180" s="111"/>
      <c r="K1180" s="173"/>
      <c r="L1180" s="149"/>
      <c r="M1180" s="111">
        <f>I1180</f>
        <v>2258.3938334562231</v>
      </c>
      <c r="N1180" s="111"/>
      <c r="O1180" s="173"/>
      <c r="P1180" s="149"/>
      <c r="Q1180" s="111" t="s">
        <v>0</v>
      </c>
      <c r="R1180" s="111"/>
      <c r="S1180" s="173"/>
      <c r="T1180" s="149"/>
      <c r="U1180" s="111" t="str">
        <f>Q1180</f>
        <v xml:space="preserve"> </v>
      </c>
      <c r="V1180" s="44"/>
      <c r="W1180" s="91"/>
      <c r="X1180" s="91"/>
      <c r="Y1180" s="91"/>
      <c r="Z1180" s="44"/>
      <c r="AA1180" s="44"/>
      <c r="AB1180" s="44"/>
      <c r="AC1180" s="44"/>
      <c r="AD1180" s="44"/>
      <c r="AE1180" s="44"/>
      <c r="AF1180" s="44"/>
      <c r="AG1180" s="44"/>
      <c r="AH1180" s="44"/>
      <c r="AI1180" s="44"/>
      <c r="AJ1180" s="44"/>
      <c r="AK1180" s="44"/>
      <c r="AL1180" s="44"/>
      <c r="AM1180" s="44"/>
      <c r="AN1180" s="44"/>
      <c r="AO1180" s="44"/>
      <c r="AP1180" s="44"/>
    </row>
    <row r="1181" spans="1:44" x14ac:dyDescent="0.25">
      <c r="A1181" s="149" t="s">
        <v>235</v>
      </c>
      <c r="B1181" s="149"/>
      <c r="C1181" s="169"/>
      <c r="D1181" s="173"/>
      <c r="E1181" s="149"/>
      <c r="F1181" s="111"/>
      <c r="G1181" s="173"/>
      <c r="H1181" s="149"/>
      <c r="I1181" s="111"/>
      <c r="J1181" s="111"/>
      <c r="K1181" s="173"/>
      <c r="L1181" s="149"/>
      <c r="M1181" s="111"/>
      <c r="N1181" s="111"/>
      <c r="O1181" s="173"/>
      <c r="P1181" s="149"/>
      <c r="Q1181" s="111"/>
      <c r="R1181" s="111"/>
      <c r="S1181" s="173"/>
      <c r="T1181" s="149"/>
      <c r="U1181" s="111"/>
      <c r="V1181" s="44"/>
      <c r="Z1181" s="331" t="s">
        <v>0</v>
      </c>
      <c r="AA1181" s="91"/>
      <c r="AB1181" s="44"/>
      <c r="AC1181" s="44"/>
      <c r="AD1181" s="44"/>
      <c r="AE1181" s="44"/>
      <c r="AF1181" s="44"/>
      <c r="AG1181" s="44"/>
      <c r="AH1181" s="44"/>
      <c r="AI1181" s="44"/>
      <c r="AJ1181" s="44"/>
      <c r="AK1181" s="44"/>
      <c r="AL1181" s="44"/>
      <c r="AM1181" s="44"/>
      <c r="AN1181" s="44"/>
      <c r="AO1181" s="44"/>
      <c r="AP1181" s="44"/>
    </row>
    <row r="1182" spans="1:44" x14ac:dyDescent="0.25">
      <c r="A1182" s="92" t="s">
        <v>268</v>
      </c>
      <c r="B1182" s="149"/>
      <c r="C1182" s="169">
        <v>4296.0202493777233</v>
      </c>
      <c r="D1182" s="173">
        <v>2.1800000000000002</v>
      </c>
      <c r="E1182" s="149"/>
      <c r="F1182" s="111">
        <f t="shared" ref="F1182:F1187" si="157">C1182*D1182</f>
        <v>9365.3241436434382</v>
      </c>
      <c r="G1182" s="173">
        <v>2.2400000000000002</v>
      </c>
      <c r="H1182" s="149"/>
      <c r="I1182" s="111">
        <f t="shared" ref="I1182:I1187" si="158">G1182*C1182</f>
        <v>9623.0853586061003</v>
      </c>
      <c r="J1182" s="111"/>
      <c r="K1182" s="173" t="e">
        <v>#DIV/0!</v>
      </c>
      <c r="L1182" s="149"/>
      <c r="M1182" s="111" t="e">
        <v>#DIV/0!</v>
      </c>
      <c r="N1182" s="111"/>
      <c r="O1182" s="173" t="e">
        <v>#DIV/0!</v>
      </c>
      <c r="P1182" s="149"/>
      <c r="Q1182" s="111" t="e">
        <v>#DIV/0!</v>
      </c>
      <c r="R1182" s="111"/>
      <c r="S1182" s="173" t="e">
        <v>#DIV/0!</v>
      </c>
      <c r="T1182" s="149"/>
      <c r="U1182" s="111" t="e">
        <v>#DIV/0!</v>
      </c>
      <c r="V1182" s="44"/>
      <c r="Z1182" s="243" t="s">
        <v>0</v>
      </c>
      <c r="AA1182" s="364" t="s">
        <v>0</v>
      </c>
      <c r="AB1182" s="44"/>
      <c r="AC1182" s="44"/>
      <c r="AD1182" s="199" t="s">
        <v>0</v>
      </c>
      <c r="AE1182" s="44"/>
      <c r="AF1182" s="44"/>
      <c r="AG1182" s="44"/>
      <c r="AH1182" s="44"/>
      <c r="AI1182" s="44"/>
      <c r="AJ1182" s="44"/>
      <c r="AK1182" s="44"/>
      <c r="AL1182" s="44"/>
      <c r="AM1182" s="44"/>
      <c r="AN1182" s="44"/>
      <c r="AO1182" s="44"/>
      <c r="AP1182" s="44"/>
    </row>
    <row r="1183" spans="1:44" x14ac:dyDescent="0.25">
      <c r="A1183" s="92" t="s">
        <v>269</v>
      </c>
      <c r="B1183" s="149"/>
      <c r="C1183" s="169">
        <v>8160.0336742749596</v>
      </c>
      <c r="D1183" s="173">
        <v>3.1</v>
      </c>
      <c r="E1183" s="149"/>
      <c r="F1183" s="111">
        <f t="shared" si="157"/>
        <v>25296.104390252374</v>
      </c>
      <c r="G1183" s="173">
        <v>3.17</v>
      </c>
      <c r="H1183" s="149"/>
      <c r="I1183" s="111">
        <f t="shared" si="158"/>
        <v>25867.306747451621</v>
      </c>
      <c r="J1183" s="111"/>
      <c r="K1183" s="173" t="e">
        <v>#DIV/0!</v>
      </c>
      <c r="L1183" s="149"/>
      <c r="M1183" s="111" t="e">
        <v>#DIV/0!</v>
      </c>
      <c r="N1183" s="111"/>
      <c r="O1183" s="173" t="e">
        <v>#DIV/0!</v>
      </c>
      <c r="P1183" s="149"/>
      <c r="Q1183" s="111" t="e">
        <v>#DIV/0!</v>
      </c>
      <c r="R1183" s="111"/>
      <c r="S1183" s="173" t="e">
        <v>#DIV/0!</v>
      </c>
      <c r="T1183" s="149"/>
      <c r="U1183" s="111" t="e">
        <v>#DIV/0!</v>
      </c>
      <c r="V1183" s="44"/>
      <c r="Z1183" s="243" t="s">
        <v>0</v>
      </c>
      <c r="AA1183" s="364" t="s">
        <v>0</v>
      </c>
      <c r="AB1183" s="44"/>
      <c r="AC1183" s="44"/>
      <c r="AD1183" s="44"/>
      <c r="AE1183" s="44"/>
      <c r="AF1183" s="44"/>
      <c r="AG1183" s="44"/>
      <c r="AH1183" s="44"/>
      <c r="AI1183" s="44"/>
      <c r="AJ1183" s="44"/>
      <c r="AK1183" s="44"/>
      <c r="AL1183" s="44"/>
      <c r="AM1183" s="44"/>
      <c r="AN1183" s="44"/>
      <c r="AO1183" s="44"/>
      <c r="AP1183" s="44"/>
    </row>
    <row r="1184" spans="1:44" x14ac:dyDescent="0.25">
      <c r="A1184" s="92" t="s">
        <v>270</v>
      </c>
      <c r="B1184" s="149"/>
      <c r="C1184" s="169">
        <v>60.009361129530397</v>
      </c>
      <c r="D1184" s="173">
        <v>4.51</v>
      </c>
      <c r="E1184" s="149"/>
      <c r="F1184" s="111">
        <f t="shared" si="157"/>
        <v>270.64221869418208</v>
      </c>
      <c r="G1184" s="173">
        <v>4.62</v>
      </c>
      <c r="H1184" s="149"/>
      <c r="I1184" s="111">
        <f t="shared" si="158"/>
        <v>277.24324841843043</v>
      </c>
      <c r="J1184" s="111"/>
      <c r="K1184" s="173" t="e">
        <v>#DIV/0!</v>
      </c>
      <c r="L1184" s="149"/>
      <c r="M1184" s="111" t="e">
        <v>#DIV/0!</v>
      </c>
      <c r="N1184" s="111"/>
      <c r="O1184" s="173" t="e">
        <v>#DIV/0!</v>
      </c>
      <c r="P1184" s="149"/>
      <c r="Q1184" s="111" t="e">
        <v>#DIV/0!</v>
      </c>
      <c r="R1184" s="111"/>
      <c r="S1184" s="173" t="e">
        <v>#DIV/0!</v>
      </c>
      <c r="T1184" s="149"/>
      <c r="U1184" s="111" t="e">
        <v>#DIV/0!</v>
      </c>
      <c r="V1184" s="44"/>
      <c r="Z1184" s="243" t="s">
        <v>0</v>
      </c>
      <c r="AA1184" s="364" t="s">
        <v>0</v>
      </c>
      <c r="AB1184" s="44"/>
      <c r="AC1184" s="44"/>
      <c r="AD1184" s="44"/>
      <c r="AE1184" s="44"/>
      <c r="AF1184" s="44"/>
      <c r="AG1184" s="44"/>
      <c r="AH1184" s="44"/>
      <c r="AI1184" s="44"/>
      <c r="AJ1184" s="44"/>
      <c r="AK1184" s="44"/>
      <c r="AL1184" s="44"/>
      <c r="AM1184" s="44"/>
      <c r="AN1184" s="44"/>
      <c r="AO1184" s="44"/>
      <c r="AP1184" s="44"/>
    </row>
    <row r="1185" spans="1:44" x14ac:dyDescent="0.25">
      <c r="A1185" s="92" t="s">
        <v>271</v>
      </c>
      <c r="B1185" s="149"/>
      <c r="C1185" s="169">
        <v>11666.5444855351</v>
      </c>
      <c r="D1185" s="173">
        <v>5.99</v>
      </c>
      <c r="E1185" s="149"/>
      <c r="F1185" s="111">
        <f t="shared" si="157"/>
        <v>69882.601468355249</v>
      </c>
      <c r="G1185" s="173">
        <v>6.13</v>
      </c>
      <c r="H1185" s="149"/>
      <c r="I1185" s="111">
        <f t="shared" si="158"/>
        <v>71515.917696330158</v>
      </c>
      <c r="J1185" s="111"/>
      <c r="K1185" s="173" t="e">
        <v>#DIV/0!</v>
      </c>
      <c r="L1185" s="149"/>
      <c r="M1185" s="111" t="e">
        <v>#DIV/0!</v>
      </c>
      <c r="N1185" s="111"/>
      <c r="O1185" s="173" t="e">
        <v>#DIV/0!</v>
      </c>
      <c r="P1185" s="149"/>
      <c r="Q1185" s="111" t="e">
        <v>#DIV/0!</v>
      </c>
      <c r="R1185" s="111"/>
      <c r="S1185" s="173" t="e">
        <v>#DIV/0!</v>
      </c>
      <c r="T1185" s="149"/>
      <c r="U1185" s="111" t="e">
        <v>#DIV/0!</v>
      </c>
      <c r="V1185" s="44"/>
      <c r="Z1185" s="243" t="s">
        <v>0</v>
      </c>
      <c r="AA1185" s="364" t="s">
        <v>0</v>
      </c>
      <c r="AB1185" s="44"/>
      <c r="AC1185" s="44"/>
      <c r="AD1185" s="44"/>
      <c r="AE1185" s="44"/>
      <c r="AF1185" s="44"/>
      <c r="AG1185" s="44"/>
      <c r="AH1185" s="44"/>
      <c r="AI1185" s="44"/>
      <c r="AJ1185" s="44"/>
      <c r="AK1185" s="44"/>
      <c r="AL1185" s="44"/>
      <c r="AM1185" s="44"/>
      <c r="AN1185" s="44"/>
      <c r="AO1185" s="44"/>
      <c r="AP1185" s="44"/>
    </row>
    <row r="1186" spans="1:44" x14ac:dyDescent="0.25">
      <c r="A1186" s="92" t="s">
        <v>272</v>
      </c>
      <c r="B1186" s="149"/>
      <c r="C1186" s="169">
        <v>4355.9951802476999</v>
      </c>
      <c r="D1186" s="173">
        <v>8.1</v>
      </c>
      <c r="E1186" s="149"/>
      <c r="F1186" s="111">
        <f t="shared" si="157"/>
        <v>35283.560960006369</v>
      </c>
      <c r="G1186" s="173">
        <v>8.3000000000000007</v>
      </c>
      <c r="H1186" s="149"/>
      <c r="I1186" s="111">
        <f t="shared" si="158"/>
        <v>36154.759996055909</v>
      </c>
      <c r="J1186" s="111"/>
      <c r="K1186" s="173" t="e">
        <v>#DIV/0!</v>
      </c>
      <c r="L1186" s="149"/>
      <c r="M1186" s="111" t="e">
        <v>#DIV/0!</v>
      </c>
      <c r="N1186" s="111"/>
      <c r="O1186" s="173" t="e">
        <v>#DIV/0!</v>
      </c>
      <c r="P1186" s="149"/>
      <c r="Q1186" s="111" t="e">
        <v>#DIV/0!</v>
      </c>
      <c r="R1186" s="111"/>
      <c r="S1186" s="173" t="e">
        <v>#DIV/0!</v>
      </c>
      <c r="T1186" s="149"/>
      <c r="U1186" s="111" t="e">
        <v>#DIV/0!</v>
      </c>
      <c r="V1186" s="44"/>
      <c r="Z1186" s="243" t="s">
        <v>0</v>
      </c>
      <c r="AA1186" s="364" t="s">
        <v>0</v>
      </c>
      <c r="AB1186" s="44"/>
      <c r="AC1186" s="44"/>
      <c r="AD1186" s="44"/>
      <c r="AE1186" s="44"/>
      <c r="AF1186" s="44"/>
      <c r="AG1186" s="44"/>
      <c r="AH1186" s="44"/>
      <c r="AI1186" s="44"/>
      <c r="AJ1186" s="44"/>
      <c r="AK1186" s="44"/>
      <c r="AL1186" s="44"/>
      <c r="AM1186" s="44"/>
      <c r="AN1186" s="44"/>
      <c r="AO1186" s="44"/>
      <c r="AP1186" s="44"/>
    </row>
    <row r="1187" spans="1:44" x14ac:dyDescent="0.25">
      <c r="A1187" s="92" t="s">
        <v>273</v>
      </c>
      <c r="B1187" s="149"/>
      <c r="C1187" s="169">
        <v>1584.0049084397799</v>
      </c>
      <c r="D1187" s="173">
        <v>12.4</v>
      </c>
      <c r="E1187" s="149"/>
      <c r="F1187" s="111">
        <f t="shared" si="157"/>
        <v>19641.660864653273</v>
      </c>
      <c r="G1187" s="173">
        <v>12.7</v>
      </c>
      <c r="H1187" s="149"/>
      <c r="I1187" s="111">
        <f t="shared" si="158"/>
        <v>20116.862337185205</v>
      </c>
      <c r="J1187" s="111"/>
      <c r="K1187" s="173" t="e">
        <v>#DIV/0!</v>
      </c>
      <c r="L1187" s="149"/>
      <c r="M1187" s="111" t="e">
        <v>#DIV/0!</v>
      </c>
      <c r="N1187" s="111"/>
      <c r="O1187" s="173" t="e">
        <v>#DIV/0!</v>
      </c>
      <c r="P1187" s="149"/>
      <c r="Q1187" s="111" t="e">
        <v>#DIV/0!</v>
      </c>
      <c r="R1187" s="111"/>
      <c r="S1187" s="173" t="e">
        <v>#DIV/0!</v>
      </c>
      <c r="T1187" s="149"/>
      <c r="U1187" s="111" t="e">
        <v>#DIV/0!</v>
      </c>
      <c r="X1187" s="330" t="s">
        <v>0</v>
      </c>
      <c r="Y1187" s="142"/>
      <c r="Z1187" s="243" t="s">
        <v>0</v>
      </c>
      <c r="AA1187" s="364" t="s">
        <v>0</v>
      </c>
      <c r="AB1187" s="44"/>
      <c r="AC1187" s="44"/>
      <c r="AD1187" s="44"/>
      <c r="AE1187" s="44"/>
      <c r="AF1187" s="44"/>
      <c r="AG1187" s="44"/>
      <c r="AH1187" s="44"/>
      <c r="AI1187" s="44"/>
      <c r="AJ1187" s="44"/>
      <c r="AK1187" s="44"/>
      <c r="AL1187" s="44"/>
      <c r="AM1187" s="44"/>
      <c r="AN1187" s="44"/>
      <c r="AO1187" s="44"/>
      <c r="AP1187" s="44"/>
    </row>
    <row r="1188" spans="1:44" x14ac:dyDescent="0.25">
      <c r="B1188" s="149"/>
      <c r="C1188" s="169"/>
      <c r="D1188" s="173"/>
      <c r="E1188" s="149"/>
      <c r="F1188" s="111"/>
      <c r="G1188" s="173"/>
      <c r="H1188" s="149"/>
      <c r="I1188" s="111"/>
      <c r="J1188" s="111"/>
      <c r="K1188" s="173"/>
      <c r="L1188" s="149"/>
      <c r="M1188" s="111"/>
      <c r="N1188" s="111"/>
      <c r="O1188" s="173"/>
      <c r="P1188" s="149"/>
      <c r="Q1188" s="111"/>
      <c r="R1188" s="111"/>
      <c r="S1188" s="173"/>
      <c r="T1188" s="149"/>
      <c r="U1188" s="111"/>
      <c r="V1188" s="44"/>
      <c r="W1188" s="176" t="s">
        <v>176</v>
      </c>
      <c r="Z1188" s="91"/>
      <c r="AA1188" s="243" t="s">
        <v>0</v>
      </c>
      <c r="AB1188" s="44"/>
      <c r="AC1188" s="44"/>
      <c r="AD1188" s="44"/>
      <c r="AE1188" s="44"/>
      <c r="AF1188" s="44"/>
      <c r="AG1188" s="44"/>
      <c r="AH1188" s="44"/>
      <c r="AI1188" s="44"/>
      <c r="AJ1188" s="44"/>
      <c r="AK1188" s="44"/>
      <c r="AL1188" s="44"/>
      <c r="AM1188" s="44"/>
      <c r="AN1188" s="44"/>
      <c r="AO1188" s="44"/>
      <c r="AP1188" s="44"/>
    </row>
    <row r="1189" spans="1:44" x14ac:dyDescent="0.25">
      <c r="A1189" s="92" t="s">
        <v>245</v>
      </c>
      <c r="B1189" s="149"/>
      <c r="C1189" s="169"/>
      <c r="D1189" s="173"/>
      <c r="E1189" s="149"/>
      <c r="F1189" s="111"/>
      <c r="G1189" s="173" t="s">
        <v>0</v>
      </c>
      <c r="H1189" s="149"/>
      <c r="I1189" s="111"/>
      <c r="J1189" s="111"/>
      <c r="K1189" s="173" t="s">
        <v>0</v>
      </c>
      <c r="L1189" s="149"/>
      <c r="M1189" s="111"/>
      <c r="N1189" s="111"/>
      <c r="O1189" s="173" t="s">
        <v>0</v>
      </c>
      <c r="P1189" s="149"/>
      <c r="Q1189" s="111"/>
      <c r="R1189" s="111"/>
      <c r="S1189" s="173" t="s">
        <v>0</v>
      </c>
      <c r="T1189" s="149"/>
      <c r="U1189" s="111"/>
      <c r="V1189" s="44"/>
      <c r="Z1189" s="91"/>
      <c r="AA1189" s="243" t="s">
        <v>0</v>
      </c>
      <c r="AB1189" s="44"/>
      <c r="AC1189" s="44"/>
      <c r="AD1189" s="44"/>
      <c r="AE1189" s="44"/>
      <c r="AF1189" s="44"/>
      <c r="AG1189" s="44"/>
      <c r="AH1189" s="44"/>
      <c r="AI1189" s="44"/>
      <c r="AJ1189" s="44"/>
      <c r="AK1189" s="44"/>
      <c r="AL1189" s="44"/>
      <c r="AM1189" s="44"/>
      <c r="AN1189" s="44"/>
      <c r="AO1189" s="44"/>
      <c r="AP1189" s="44"/>
    </row>
    <row r="1190" spans="1:44" x14ac:dyDescent="0.25">
      <c r="A1190" s="92" t="s">
        <v>274</v>
      </c>
      <c r="B1190" s="149"/>
      <c r="C1190" s="169">
        <v>0</v>
      </c>
      <c r="D1190" s="173">
        <v>2.75</v>
      </c>
      <c r="E1190" s="149"/>
      <c r="F1190" s="111">
        <f>C1190*D1190</f>
        <v>0</v>
      </c>
      <c r="G1190" s="173">
        <v>2.81</v>
      </c>
      <c r="H1190" s="149"/>
      <c r="I1190" s="111">
        <f>G1190*C1190</f>
        <v>0</v>
      </c>
      <c r="J1190" s="111"/>
      <c r="K1190" s="173" t="e">
        <v>#DIV/0!</v>
      </c>
      <c r="L1190" s="149"/>
      <c r="M1190" s="111" t="e">
        <v>#DIV/0!</v>
      </c>
      <c r="N1190" s="111"/>
      <c r="O1190" s="173" t="e">
        <v>#DIV/0!</v>
      </c>
      <c r="P1190" s="149"/>
      <c r="Q1190" s="111" t="e">
        <v>#DIV/0!</v>
      </c>
      <c r="R1190" s="111"/>
      <c r="S1190" s="173" t="e">
        <v>#DIV/0!</v>
      </c>
      <c r="T1190" s="149"/>
      <c r="U1190" s="111" t="e">
        <v>#DIV/0!</v>
      </c>
      <c r="V1190" s="44"/>
      <c r="Z1190" s="243" t="s">
        <v>0</v>
      </c>
      <c r="AA1190" s="364" t="s">
        <v>0</v>
      </c>
      <c r="AB1190" s="44"/>
      <c r="AC1190" s="44"/>
      <c r="AD1190" s="44"/>
      <c r="AE1190" s="44"/>
      <c r="AF1190" s="44"/>
      <c r="AG1190" s="44"/>
      <c r="AH1190" s="44"/>
      <c r="AI1190" s="44"/>
      <c r="AJ1190" s="44"/>
      <c r="AK1190" s="44"/>
      <c r="AL1190" s="44"/>
      <c r="AM1190" s="44"/>
      <c r="AN1190" s="44"/>
      <c r="AO1190" s="44"/>
      <c r="AP1190" s="44"/>
    </row>
    <row r="1191" spans="1:44" x14ac:dyDescent="0.25">
      <c r="A1191" s="92" t="s">
        <v>275</v>
      </c>
      <c r="B1191" s="149"/>
      <c r="C1191" s="169">
        <v>0</v>
      </c>
      <c r="D1191" s="173">
        <v>4.79</v>
      </c>
      <c r="E1191" s="149"/>
      <c r="F1191" s="111">
        <f>C1191*D1191</f>
        <v>0</v>
      </c>
      <c r="G1191" s="173">
        <v>4.91</v>
      </c>
      <c r="H1191" s="149"/>
      <c r="I1191" s="111">
        <f>G1191*C1191</f>
        <v>0</v>
      </c>
      <c r="J1191" s="111"/>
      <c r="K1191" s="173" t="e">
        <v>#DIV/0!</v>
      </c>
      <c r="L1191" s="149"/>
      <c r="M1191" s="111" t="e">
        <v>#DIV/0!</v>
      </c>
      <c r="N1191" s="111"/>
      <c r="O1191" s="173" t="e">
        <v>#DIV/0!</v>
      </c>
      <c r="P1191" s="149"/>
      <c r="Q1191" s="111" t="e">
        <v>#DIV/0!</v>
      </c>
      <c r="R1191" s="111"/>
      <c r="S1191" s="173" t="e">
        <v>#DIV/0!</v>
      </c>
      <c r="T1191" s="149"/>
      <c r="U1191" s="111" t="e">
        <v>#DIV/0!</v>
      </c>
      <c r="V1191" s="44"/>
      <c r="Z1191" s="243" t="s">
        <v>0</v>
      </c>
      <c r="AA1191" s="364" t="s">
        <v>0</v>
      </c>
      <c r="AB1191" s="44"/>
      <c r="AC1191" s="44"/>
      <c r="AD1191" s="44"/>
      <c r="AE1191" s="44"/>
      <c r="AF1191" s="44"/>
      <c r="AG1191" s="44"/>
      <c r="AH1191" s="44"/>
      <c r="AI1191" s="44"/>
      <c r="AJ1191" s="44"/>
      <c r="AK1191" s="44"/>
      <c r="AL1191" s="44"/>
      <c r="AM1191" s="44"/>
      <c r="AN1191" s="44"/>
      <c r="AO1191" s="44"/>
      <c r="AP1191" s="44"/>
    </row>
    <row r="1192" spans="1:44" x14ac:dyDescent="0.25">
      <c r="A1192" s="92" t="s">
        <v>276</v>
      </c>
      <c r="B1192" s="149"/>
      <c r="C1192" s="169">
        <v>0</v>
      </c>
      <c r="D1192" s="173">
        <v>6.62</v>
      </c>
      <c r="E1192" s="149"/>
      <c r="F1192" s="111">
        <f>C1192*D1192</f>
        <v>0</v>
      </c>
      <c r="G1192" s="173">
        <v>6.78</v>
      </c>
      <c r="H1192" s="149"/>
      <c r="I1192" s="111">
        <f>G1192*C1192</f>
        <v>0</v>
      </c>
      <c r="J1192" s="111"/>
      <c r="K1192" s="173" t="e">
        <v>#DIV/0!</v>
      </c>
      <c r="L1192" s="149"/>
      <c r="M1192" s="111" t="e">
        <v>#DIV/0!</v>
      </c>
      <c r="N1192" s="111"/>
      <c r="O1192" s="173" t="e">
        <v>#DIV/0!</v>
      </c>
      <c r="P1192" s="149"/>
      <c r="Q1192" s="111" t="e">
        <v>#DIV/0!</v>
      </c>
      <c r="R1192" s="111"/>
      <c r="S1192" s="173" t="e">
        <v>#DIV/0!</v>
      </c>
      <c r="T1192" s="149"/>
      <c r="U1192" s="111" t="e">
        <v>#DIV/0!</v>
      </c>
      <c r="V1192" s="44" t="s">
        <v>0</v>
      </c>
      <c r="Z1192" s="243" t="s">
        <v>0</v>
      </c>
      <c r="AA1192" s="364" t="s">
        <v>0</v>
      </c>
      <c r="AB1192" s="44"/>
      <c r="AC1192" s="44"/>
      <c r="AD1192" s="44"/>
      <c r="AE1192" s="44"/>
      <c r="AF1192" s="44"/>
      <c r="AG1192" s="44"/>
      <c r="AH1192" s="44"/>
      <c r="AI1192" s="44"/>
      <c r="AJ1192" s="44"/>
      <c r="AK1192" s="44"/>
      <c r="AL1192" s="44"/>
      <c r="AM1192" s="44"/>
      <c r="AN1192" s="44"/>
      <c r="AO1192" s="44"/>
      <c r="AP1192" s="44"/>
    </row>
    <row r="1193" spans="1:44" x14ac:dyDescent="0.25">
      <c r="A1193" s="92" t="s">
        <v>277</v>
      </c>
      <c r="B1193" s="149"/>
      <c r="C1193" s="169">
        <v>0</v>
      </c>
      <c r="D1193" s="173">
        <v>10.5</v>
      </c>
      <c r="E1193" s="149"/>
      <c r="F1193" s="111">
        <f>C1193*D1193</f>
        <v>0</v>
      </c>
      <c r="G1193" s="173">
        <v>10.75</v>
      </c>
      <c r="H1193" s="149"/>
      <c r="I1193" s="111">
        <f>G1193*C1193</f>
        <v>0</v>
      </c>
      <c r="J1193" s="111"/>
      <c r="K1193" s="173" t="e">
        <v>#DIV/0!</v>
      </c>
      <c r="L1193" s="149"/>
      <c r="M1193" s="111" t="e">
        <v>#DIV/0!</v>
      </c>
      <c r="N1193" s="111"/>
      <c r="O1193" s="173" t="e">
        <v>#DIV/0!</v>
      </c>
      <c r="P1193" s="149"/>
      <c r="Q1193" s="111" t="e">
        <v>#DIV/0!</v>
      </c>
      <c r="R1193" s="111"/>
      <c r="S1193" s="173" t="e">
        <v>#DIV/0!</v>
      </c>
      <c r="T1193" s="149"/>
      <c r="U1193" s="111" t="e">
        <v>#DIV/0!</v>
      </c>
      <c r="V1193" s="44"/>
      <c r="Z1193" s="243" t="s">
        <v>0</v>
      </c>
      <c r="AA1193" s="364" t="s">
        <v>0</v>
      </c>
      <c r="AB1193" s="44"/>
      <c r="AC1193" s="44"/>
      <c r="AD1193" s="44"/>
      <c r="AE1193" s="44"/>
      <c r="AF1193" s="44"/>
      <c r="AG1193" s="44"/>
      <c r="AH1193" s="44"/>
      <c r="AI1193" s="44"/>
      <c r="AJ1193" s="44"/>
      <c r="AK1193" s="44"/>
      <c r="AL1193" s="44"/>
      <c r="AM1193" s="44"/>
      <c r="AN1193" s="44"/>
      <c r="AO1193" s="44"/>
      <c r="AP1193" s="44"/>
    </row>
    <row r="1194" spans="1:44" x14ac:dyDescent="0.25">
      <c r="A1194" s="92" t="s">
        <v>278</v>
      </c>
      <c r="B1194" s="149"/>
      <c r="C1194" s="169">
        <v>0</v>
      </c>
      <c r="D1194" s="173">
        <v>24.94</v>
      </c>
      <c r="E1194" s="149"/>
      <c r="F1194" s="111">
        <f>C1194*D1194</f>
        <v>0</v>
      </c>
      <c r="G1194" s="173">
        <v>25.54</v>
      </c>
      <c r="H1194" s="149"/>
      <c r="I1194" s="111">
        <f>G1194*C1194</f>
        <v>0</v>
      </c>
      <c r="J1194" s="111"/>
      <c r="K1194" s="173" t="e">
        <v>#DIV/0!</v>
      </c>
      <c r="L1194" s="149"/>
      <c r="M1194" s="111" t="e">
        <v>#DIV/0!</v>
      </c>
      <c r="N1194" s="111"/>
      <c r="O1194" s="173" t="e">
        <v>#DIV/0!</v>
      </c>
      <c r="P1194" s="149"/>
      <c r="Q1194" s="111" t="e">
        <v>#DIV/0!</v>
      </c>
      <c r="R1194" s="111"/>
      <c r="S1194" s="173" t="e">
        <v>#DIV/0!</v>
      </c>
      <c r="T1194" s="149"/>
      <c r="U1194" s="111" t="e">
        <v>#DIV/0!</v>
      </c>
      <c r="V1194" s="44"/>
      <c r="Z1194" s="243" t="s">
        <v>0</v>
      </c>
      <c r="AA1194" s="364" t="s">
        <v>0</v>
      </c>
      <c r="AB1194" s="44" t="s">
        <v>0</v>
      </c>
      <c r="AC1194" s="44"/>
      <c r="AD1194" s="44"/>
      <c r="AE1194" s="44"/>
      <c r="AF1194" s="44"/>
      <c r="AG1194" s="44"/>
      <c r="AH1194" s="44"/>
      <c r="AI1194" s="44"/>
      <c r="AJ1194" s="44"/>
      <c r="AK1194" s="44"/>
      <c r="AL1194" s="44"/>
      <c r="AM1194" s="44"/>
      <c r="AN1194" s="44"/>
      <c r="AO1194" s="44"/>
      <c r="AP1194" s="44"/>
    </row>
    <row r="1195" spans="1:44" x14ac:dyDescent="0.25">
      <c r="A1195" s="149"/>
      <c r="B1195" s="149"/>
      <c r="C1195" s="169"/>
      <c r="D1195" s="173">
        <v>0</v>
      </c>
      <c r="E1195" s="149"/>
      <c r="F1195" s="111"/>
      <c r="G1195" s="173"/>
      <c r="H1195" s="149"/>
      <c r="I1195" s="111"/>
      <c r="J1195" s="111"/>
      <c r="K1195" s="173"/>
      <c r="L1195" s="149"/>
      <c r="M1195" s="111"/>
      <c r="N1195" s="111"/>
      <c r="O1195" s="173"/>
      <c r="P1195" s="149"/>
      <c r="Q1195" s="111"/>
      <c r="R1195" s="111"/>
      <c r="S1195" s="173"/>
      <c r="T1195" s="149"/>
      <c r="U1195" s="111"/>
      <c r="V1195" s="44"/>
      <c r="Z1195" s="91"/>
      <c r="AA1195" s="91"/>
      <c r="AB1195" s="44"/>
      <c r="AC1195" s="44"/>
      <c r="AD1195" s="44"/>
      <c r="AE1195" s="44"/>
      <c r="AF1195" s="44"/>
      <c r="AG1195" s="44"/>
      <c r="AH1195" s="44"/>
      <c r="AI1195" s="44"/>
      <c r="AJ1195" s="44"/>
      <c r="AK1195" s="44"/>
      <c r="AL1195" s="44"/>
      <c r="AM1195" s="44"/>
      <c r="AN1195" s="44"/>
      <c r="AO1195" s="44"/>
      <c r="AP1195" s="44"/>
    </row>
    <row r="1196" spans="1:44" x14ac:dyDescent="0.25">
      <c r="A1196" s="149" t="s">
        <v>264</v>
      </c>
      <c r="B1196" s="149"/>
      <c r="C1196" s="109">
        <v>1180029.4144894434</v>
      </c>
      <c r="D1196" s="307">
        <v>7.0449999999999999</v>
      </c>
      <c r="E1196" s="149" t="s">
        <v>89</v>
      </c>
      <c r="F1196" s="357">
        <f>ROUND(D1196*C1196/100,0)</f>
        <v>83133</v>
      </c>
      <c r="G1196" s="307">
        <v>7.2149999999999999</v>
      </c>
      <c r="H1196" s="149" t="s">
        <v>89</v>
      </c>
      <c r="I1196" s="111">
        <f>G1196*C1196/100</f>
        <v>85139.122255413342</v>
      </c>
      <c r="J1196" s="111"/>
      <c r="K1196" s="307" t="e">
        <v>#DIV/0!</v>
      </c>
      <c r="L1196" s="149" t="s">
        <v>89</v>
      </c>
      <c r="M1196" s="111" t="e">
        <v>#DIV/0!</v>
      </c>
      <c r="N1196" s="111"/>
      <c r="O1196" s="307" t="e">
        <v>#DIV/0!</v>
      </c>
      <c r="P1196" s="149" t="s">
        <v>89</v>
      </c>
      <c r="Q1196" s="111" t="e">
        <v>#DIV/0!</v>
      </c>
      <c r="R1196" s="111"/>
      <c r="S1196" s="307" t="e">
        <v>#DIV/0!</v>
      </c>
      <c r="T1196" s="149" t="s">
        <v>89</v>
      </c>
      <c r="U1196" s="111" t="e">
        <v>#DIV/0!</v>
      </c>
      <c r="V1196" s="44"/>
      <c r="W1196" s="365" t="s">
        <v>0</v>
      </c>
      <c r="X1196" s="176" t="s">
        <v>0</v>
      </c>
      <c r="Z1196" s="91"/>
      <c r="AA1196" s="91"/>
      <c r="AB1196" s="44"/>
      <c r="AC1196" s="44"/>
      <c r="AD1196" s="44"/>
      <c r="AE1196" s="44"/>
      <c r="AF1196" s="44"/>
      <c r="AG1196" s="44"/>
      <c r="AH1196" s="44"/>
      <c r="AI1196" s="44"/>
      <c r="AJ1196" s="44"/>
      <c r="AK1196" s="44"/>
      <c r="AL1196" s="44"/>
      <c r="AM1196" s="44"/>
      <c r="AN1196" s="44"/>
      <c r="AO1196" s="44"/>
      <c r="AP1196" s="44"/>
    </row>
    <row r="1197" spans="1:44" x14ac:dyDescent="0.25">
      <c r="A1197" s="149" t="s">
        <v>279</v>
      </c>
      <c r="B1197" s="149"/>
      <c r="C1197" s="109">
        <v>2267439.2993954606</v>
      </c>
      <c r="D1197" s="299" t="s">
        <v>0</v>
      </c>
      <c r="E1197" s="149" t="s">
        <v>0</v>
      </c>
      <c r="F1197" s="357" t="s">
        <v>0</v>
      </c>
      <c r="G1197" s="299" t="s">
        <v>0</v>
      </c>
      <c r="H1197" s="149" t="s">
        <v>0</v>
      </c>
      <c r="I1197" s="111" t="s">
        <v>0</v>
      </c>
      <c r="J1197" s="111"/>
      <c r="K1197" s="299">
        <v>0</v>
      </c>
      <c r="L1197" s="149" t="s">
        <v>89</v>
      </c>
      <c r="M1197" s="111">
        <v>0</v>
      </c>
      <c r="N1197" s="111"/>
      <c r="O1197" s="299">
        <v>0</v>
      </c>
      <c r="P1197" s="149" t="s">
        <v>89</v>
      </c>
      <c r="Q1197" s="111">
        <v>0</v>
      </c>
      <c r="R1197" s="111"/>
      <c r="S1197" s="299">
        <v>0</v>
      </c>
      <c r="T1197" s="149" t="s">
        <v>89</v>
      </c>
      <c r="U1197" s="111">
        <v>0</v>
      </c>
      <c r="V1197" s="44"/>
      <c r="Z1197" s="91"/>
      <c r="AA1197" s="243" t="s">
        <v>0</v>
      </c>
      <c r="AB1197" s="111" t="s">
        <v>0</v>
      </c>
      <c r="AC1197" s="111"/>
      <c r="AD1197" s="44"/>
      <c r="AE1197" s="44"/>
      <c r="AF1197" s="44"/>
      <c r="AG1197" s="44"/>
      <c r="AH1197" s="44"/>
      <c r="AI1197" s="44"/>
      <c r="AJ1197" s="44"/>
      <c r="AK1197" s="44"/>
      <c r="AL1197" s="44"/>
      <c r="AM1197" s="44"/>
      <c r="AN1197" s="44"/>
      <c r="AO1197" s="44"/>
      <c r="AP1197" s="44"/>
    </row>
    <row r="1198" spans="1:44" x14ac:dyDescent="0.25">
      <c r="A1198" s="149" t="s">
        <v>90</v>
      </c>
      <c r="B1198" s="149"/>
      <c r="C1198" s="109">
        <v>59.249999999999972</v>
      </c>
      <c r="D1198" s="358"/>
      <c r="E1198" s="149"/>
      <c r="F1198" s="111"/>
      <c r="G1198" s="358"/>
      <c r="H1198" s="149"/>
      <c r="I1198" s="111"/>
      <c r="J1198" s="111"/>
      <c r="K1198" s="358"/>
      <c r="L1198" s="149"/>
      <c r="M1198" s="111"/>
      <c r="N1198" s="111"/>
      <c r="O1198" s="358"/>
      <c r="P1198" s="149"/>
      <c r="Q1198" s="111"/>
      <c r="R1198" s="111"/>
      <c r="S1198" s="358"/>
      <c r="T1198" s="149"/>
      <c r="U1198" s="111"/>
      <c r="V1198" s="44"/>
      <c r="W1198" s="91"/>
      <c r="X1198" s="91"/>
      <c r="Y1198" s="91"/>
      <c r="Z1198" s="44"/>
      <c r="AA1198" s="44"/>
      <c r="AB1198" s="44"/>
      <c r="AC1198" s="44"/>
      <c r="AD1198" s="44"/>
      <c r="AE1198" s="44"/>
      <c r="AF1198" s="44"/>
      <c r="AG1198" s="44"/>
      <c r="AH1198" s="44"/>
      <c r="AI1198" s="44"/>
      <c r="AJ1198" s="44"/>
      <c r="AK1198" s="44"/>
      <c r="AL1198" s="44"/>
      <c r="AM1198" s="44"/>
      <c r="AN1198" s="44"/>
      <c r="AO1198" s="44"/>
      <c r="AP1198" s="44"/>
    </row>
    <row r="1199" spans="1:44" s="120" customFormat="1" hidden="1" x14ac:dyDescent="0.25">
      <c r="A1199" s="119" t="s">
        <v>253</v>
      </c>
      <c r="C1199" s="121">
        <f>C1201</f>
        <v>3447468.713884904</v>
      </c>
      <c r="D1199" s="128">
        <v>0</v>
      </c>
      <c r="E1199" s="122"/>
      <c r="F1199" s="123"/>
      <c r="G1199" s="124">
        <v>0</v>
      </c>
      <c r="H1199" s="125" t="s">
        <v>89</v>
      </c>
      <c r="I1199" s="256">
        <f>ROUND(G1199*$C1199/100,0)</f>
        <v>0</v>
      </c>
      <c r="J1199" s="256"/>
      <c r="K1199" s="124" t="s">
        <v>0</v>
      </c>
      <c r="L1199" s="125" t="s">
        <v>89</v>
      </c>
      <c r="M1199" s="111">
        <v>0</v>
      </c>
      <c r="N1199" s="256"/>
      <c r="O1199" s="124" t="s">
        <v>0</v>
      </c>
      <c r="P1199" s="125" t="s">
        <v>89</v>
      </c>
      <c r="Q1199" s="111">
        <v>0</v>
      </c>
      <c r="R1199" s="256"/>
      <c r="S1199" s="124">
        <v>0</v>
      </c>
      <c r="T1199" s="125" t="s">
        <v>89</v>
      </c>
      <c r="U1199" s="111">
        <v>0</v>
      </c>
      <c r="W1199" s="112"/>
      <c r="Z1199" s="127"/>
      <c r="AA1199" s="127"/>
      <c r="AF1199" s="122"/>
      <c r="AG1199" s="122"/>
      <c r="AH1199" s="122"/>
      <c r="AI1199" s="122"/>
      <c r="AJ1199" s="122"/>
      <c r="AK1199" s="122"/>
      <c r="AL1199" s="122"/>
      <c r="AM1199" s="122"/>
      <c r="AN1199" s="122"/>
      <c r="AO1199" s="122"/>
      <c r="AP1199" s="122"/>
      <c r="AR1199" s="126"/>
    </row>
    <row r="1200" spans="1:44" s="120" customFormat="1" hidden="1" x14ac:dyDescent="0.25">
      <c r="A1200" s="182" t="s">
        <v>280</v>
      </c>
      <c r="B1200" s="183"/>
      <c r="C1200" s="341"/>
      <c r="D1200" s="334">
        <v>7.0449999999999999</v>
      </c>
      <c r="E1200" s="186" t="s">
        <v>89</v>
      </c>
      <c r="F1200" s="187"/>
      <c r="G1200" s="334">
        <f>G1196+G1199</f>
        <v>7.2149999999999999</v>
      </c>
      <c r="H1200" s="186" t="s">
        <v>89</v>
      </c>
      <c r="I1200" s="272"/>
      <c r="J1200" s="272"/>
      <c r="K1200" s="334" t="e">
        <f>K1196+K1199</f>
        <v>#DIV/0!</v>
      </c>
      <c r="L1200" s="186" t="s">
        <v>89</v>
      </c>
      <c r="M1200" s="272"/>
      <c r="N1200" s="272"/>
      <c r="O1200" s="334" t="e">
        <f>O1196+O1199</f>
        <v>#DIV/0!</v>
      </c>
      <c r="P1200" s="186" t="s">
        <v>89</v>
      </c>
      <c r="Q1200" s="272"/>
      <c r="R1200" s="272"/>
      <c r="S1200" s="334" t="e">
        <f>S1196+S1199</f>
        <v>#DIV/0!</v>
      </c>
      <c r="T1200" s="186" t="s">
        <v>89</v>
      </c>
      <c r="U1200" s="272"/>
      <c r="W1200" s="112"/>
      <c r="X1200" s="84" t="s">
        <v>0</v>
      </c>
      <c r="Z1200" s="127"/>
      <c r="AA1200" s="127"/>
      <c r="AF1200" s="122"/>
      <c r="AG1200" s="122"/>
      <c r="AH1200" s="122"/>
      <c r="AI1200" s="122"/>
      <c r="AJ1200" s="122"/>
      <c r="AK1200" s="122"/>
      <c r="AL1200" s="122"/>
      <c r="AM1200" s="122"/>
      <c r="AN1200" s="122"/>
      <c r="AO1200" s="122"/>
      <c r="AP1200" s="122"/>
      <c r="AR1200" s="126"/>
    </row>
    <row r="1201" spans="1:44" x14ac:dyDescent="0.25">
      <c r="A1201" s="92" t="s">
        <v>260</v>
      </c>
      <c r="C1201" s="109">
        <f>C1196+C1197</f>
        <v>3447468.713884904</v>
      </c>
      <c r="D1201" s="128"/>
      <c r="E1201" s="44"/>
      <c r="F1201" s="131">
        <f>SUM(F1180:F1197)</f>
        <v>245131.2878790611</v>
      </c>
      <c r="G1201" s="128"/>
      <c r="H1201" s="44"/>
      <c r="I1201" s="131">
        <f>SUM(I1180:I1200)</f>
        <v>250952.69147291698</v>
      </c>
      <c r="J1201" s="131"/>
      <c r="K1201" s="128"/>
      <c r="L1201" s="44"/>
      <c r="M1201" s="131" t="e">
        <f>SUM(M1180:M1199)</f>
        <v>#DIV/0!</v>
      </c>
      <c r="N1201" s="131"/>
      <c r="O1201" s="128"/>
      <c r="P1201" s="44"/>
      <c r="Q1201" s="131" t="e">
        <f>SUM(Q1180:Q1200)</f>
        <v>#DIV/0!</v>
      </c>
      <c r="R1201" s="131"/>
      <c r="S1201" s="128"/>
      <c r="T1201" s="44"/>
      <c r="U1201" s="131" t="e">
        <f>SUM(U1180:U1200)</f>
        <v>#DIV/0!</v>
      </c>
      <c r="V1201" s="44"/>
      <c r="W1201" s="91"/>
      <c r="X1201" s="91"/>
      <c r="Y1201" s="91"/>
      <c r="Z1201" s="44"/>
      <c r="AA1201" s="44"/>
      <c r="AB1201" s="44"/>
      <c r="AC1201" s="44"/>
      <c r="AD1201" s="44"/>
      <c r="AE1201" s="44"/>
      <c r="AF1201" s="44"/>
      <c r="AG1201" s="44"/>
      <c r="AH1201" s="44"/>
      <c r="AI1201" s="44"/>
      <c r="AJ1201" s="44"/>
      <c r="AK1201" s="44"/>
      <c r="AL1201" s="44"/>
      <c r="AM1201" s="44"/>
      <c r="AN1201" s="44"/>
      <c r="AO1201" s="44"/>
      <c r="AP1201" s="44"/>
    </row>
    <row r="1202" spans="1:44" x14ac:dyDescent="0.25">
      <c r="A1202" s="92" t="s">
        <v>261</v>
      </c>
      <c r="C1202" s="109">
        <v>43657.854220442547</v>
      </c>
      <c r="D1202" s="128"/>
      <c r="E1202" s="44"/>
      <c r="F1202" s="131">
        <v>3805.7819926921766</v>
      </c>
      <c r="G1202" s="128"/>
      <c r="H1202" s="44"/>
      <c r="I1202" s="131">
        <f>F1202</f>
        <v>3805.7819926921766</v>
      </c>
      <c r="J1202" s="131"/>
      <c r="K1202" s="128"/>
      <c r="L1202" s="44"/>
      <c r="M1202" s="131" t="e">
        <f>$I$1202*V1176/($V$1176+$W$1176+$X$1176)</f>
        <v>#DIV/0!</v>
      </c>
      <c r="N1202" s="133"/>
      <c r="O1202" s="134"/>
      <c r="P1202" s="134"/>
      <c r="Q1202" s="131" t="e">
        <f>$I$1202*W1176/($V$1176+$W$1176+$X$1176)</f>
        <v>#DIV/0!</v>
      </c>
      <c r="R1202" s="133"/>
      <c r="S1202" s="134"/>
      <c r="T1202" s="134"/>
      <c r="U1202" s="131" t="e">
        <f>$I$1202*X1176/($V$1176+$W$1176+$X$1176)</f>
        <v>#DIV/0!</v>
      </c>
      <c r="V1202" s="165"/>
      <c r="W1202" s="163"/>
      <c r="X1202" s="91"/>
      <c r="Y1202" s="91"/>
      <c r="Z1202" s="44"/>
      <c r="AA1202" s="44"/>
      <c r="AB1202" s="44"/>
      <c r="AC1202" s="44"/>
      <c r="AD1202" s="44"/>
      <c r="AE1202" s="44"/>
      <c r="AF1202" s="44"/>
      <c r="AG1202" s="44"/>
      <c r="AH1202" s="44"/>
      <c r="AI1202" s="44"/>
      <c r="AJ1202" s="44"/>
      <c r="AK1202" s="44"/>
      <c r="AL1202" s="44"/>
      <c r="AM1202" s="44"/>
      <c r="AN1202" s="44"/>
      <c r="AO1202" s="44"/>
      <c r="AP1202" s="44"/>
    </row>
    <row r="1203" spans="1:44" ht="16.5" thickBot="1" x14ac:dyDescent="0.3">
      <c r="A1203" s="149" t="s">
        <v>93</v>
      </c>
      <c r="B1203" s="149"/>
      <c r="C1203" s="315">
        <f>C1201+C1202</f>
        <v>3491126.5681053465</v>
      </c>
      <c r="D1203" s="359"/>
      <c r="E1203" s="232"/>
      <c r="F1203" s="138">
        <f>F1201+F1202</f>
        <v>248937.06987175328</v>
      </c>
      <c r="G1203" s="359"/>
      <c r="H1203" s="232"/>
      <c r="I1203" s="138">
        <f>I1201+I1202</f>
        <v>254758.47346560916</v>
      </c>
      <c r="J1203" s="133"/>
      <c r="K1203" s="359"/>
      <c r="L1203" s="232"/>
      <c r="M1203" s="138" t="e">
        <f>M1201+M1202</f>
        <v>#DIV/0!</v>
      </c>
      <c r="N1203" s="137"/>
      <c r="O1203" s="359"/>
      <c r="P1203" s="232"/>
      <c r="Q1203" s="138" t="e">
        <f>Q1201+Q1202</f>
        <v>#DIV/0!</v>
      </c>
      <c r="R1203" s="137"/>
      <c r="S1203" s="359"/>
      <c r="T1203" s="232"/>
      <c r="U1203" s="138" t="e">
        <f>U1201+U1202</f>
        <v>#DIV/0!</v>
      </c>
      <c r="V1203" s="166"/>
      <c r="W1203" s="167"/>
      <c r="X1203" s="91"/>
      <c r="Y1203" s="91"/>
      <c r="Z1203" s="44"/>
      <c r="AA1203" s="44"/>
      <c r="AB1203" s="44"/>
      <c r="AC1203" s="44"/>
      <c r="AD1203" s="44"/>
      <c r="AE1203" s="44"/>
      <c r="AF1203" s="44"/>
      <c r="AG1203" s="44"/>
      <c r="AH1203" s="44"/>
      <c r="AI1203" s="44"/>
      <c r="AJ1203" s="44"/>
      <c r="AK1203" s="44"/>
      <c r="AL1203" s="44"/>
      <c r="AM1203" s="44"/>
      <c r="AN1203" s="44"/>
      <c r="AO1203" s="44"/>
      <c r="AP1203" s="44"/>
    </row>
    <row r="1204" spans="1:44" ht="16.5" thickTop="1" x14ac:dyDescent="0.25">
      <c r="A1204" s="362" t="s">
        <v>95</v>
      </c>
      <c r="B1204" s="149"/>
      <c r="C1204" s="280"/>
      <c r="D1204" s="363"/>
      <c r="E1204" s="238"/>
      <c r="F1204" s="133"/>
      <c r="G1204" s="363"/>
      <c r="H1204" s="238"/>
      <c r="I1204" s="133"/>
      <c r="J1204" s="133"/>
      <c r="K1204" s="363"/>
      <c r="L1204" s="238"/>
      <c r="M1204" s="133"/>
      <c r="N1204" s="133"/>
      <c r="O1204" s="363"/>
      <c r="P1204" s="238"/>
      <c r="Q1204" s="133"/>
      <c r="R1204" s="133"/>
      <c r="S1204" s="363"/>
      <c r="T1204" s="238"/>
      <c r="U1204" s="133"/>
      <c r="V1204" s="166"/>
      <c r="W1204" s="167"/>
      <c r="X1204" s="91"/>
      <c r="Y1204" s="91"/>
      <c r="Z1204" s="44"/>
      <c r="AA1204" s="44"/>
      <c r="AB1204" s="44"/>
      <c r="AC1204" s="44"/>
      <c r="AD1204" s="44"/>
      <c r="AE1204" s="44"/>
      <c r="AF1204" s="44"/>
      <c r="AG1204" s="44"/>
      <c r="AH1204" s="44"/>
      <c r="AI1204" s="44"/>
      <c r="AJ1204" s="44"/>
      <c r="AK1204" s="44"/>
      <c r="AL1204" s="44"/>
      <c r="AM1204" s="44"/>
      <c r="AN1204" s="44"/>
      <c r="AO1204" s="44"/>
      <c r="AP1204" s="44"/>
    </row>
    <row r="1205" spans="1:44" x14ac:dyDescent="0.25">
      <c r="A1205" s="149"/>
      <c r="B1205" s="149"/>
      <c r="C1205" s="280"/>
      <c r="D1205" s="363" t="s">
        <v>0</v>
      </c>
      <c r="E1205" s="238"/>
      <c r="F1205" s="133"/>
      <c r="G1205" s="363" t="s">
        <v>0</v>
      </c>
      <c r="H1205" s="238"/>
      <c r="I1205" s="133" t="s">
        <v>0</v>
      </c>
      <c r="J1205" s="133"/>
      <c r="K1205" s="363" t="s">
        <v>0</v>
      </c>
      <c r="L1205" s="238"/>
      <c r="M1205" s="133" t="s">
        <v>0</v>
      </c>
      <c r="N1205" s="133"/>
      <c r="O1205" s="363" t="s">
        <v>0</v>
      </c>
      <c r="P1205" s="238"/>
      <c r="Q1205" s="133" t="s">
        <v>0</v>
      </c>
      <c r="R1205" s="133"/>
      <c r="S1205" s="363" t="s">
        <v>0</v>
      </c>
      <c r="T1205" s="238"/>
      <c r="U1205" s="133" t="e">
        <f>M1203+Q1203+U1203</f>
        <v>#DIV/0!</v>
      </c>
      <c r="V1205" s="153"/>
      <c r="W1205" s="153"/>
      <c r="X1205" s="153"/>
      <c r="Y1205" s="91"/>
      <c r="Z1205" s="44"/>
      <c r="AA1205" s="44"/>
      <c r="AB1205" s="44"/>
      <c r="AC1205" s="44"/>
      <c r="AD1205" s="44"/>
      <c r="AE1205" s="44"/>
      <c r="AF1205" s="44"/>
      <c r="AG1205" s="44"/>
      <c r="AH1205" s="44"/>
      <c r="AI1205" s="44"/>
      <c r="AJ1205" s="44"/>
      <c r="AK1205" s="44"/>
      <c r="AL1205" s="44"/>
      <c r="AM1205" s="44"/>
      <c r="AN1205" s="44"/>
      <c r="AO1205" s="44"/>
      <c r="AP1205" s="44"/>
    </row>
    <row r="1206" spans="1:44" x14ac:dyDescent="0.25">
      <c r="A1206" s="168" t="s">
        <v>281</v>
      </c>
      <c r="B1206" s="149"/>
      <c r="C1206" s="149"/>
      <c r="D1206" s="149"/>
      <c r="E1206" s="149"/>
      <c r="F1206" s="149"/>
      <c r="G1206" s="149"/>
      <c r="H1206" s="149"/>
      <c r="I1206" s="149"/>
      <c r="J1206" s="149"/>
      <c r="K1206" s="149"/>
      <c r="L1206" s="149"/>
      <c r="M1206" s="149"/>
      <c r="N1206" s="149"/>
      <c r="O1206" s="149"/>
      <c r="P1206" s="149"/>
      <c r="Q1206" s="149"/>
      <c r="R1206" s="149"/>
      <c r="S1206" s="149"/>
      <c r="T1206" s="149"/>
      <c r="U1206" s="111" t="e">
        <f>U1205-I1203</f>
        <v>#DIV/0!</v>
      </c>
      <c r="V1206" s="146"/>
      <c r="W1206" s="146"/>
      <c r="X1206" s="146"/>
      <c r="Y1206" s="91"/>
      <c r="Z1206" s="44"/>
      <c r="AA1206" s="44"/>
      <c r="AB1206" s="44"/>
      <c r="AC1206" s="44"/>
      <c r="AD1206" s="44"/>
      <c r="AE1206" s="44"/>
      <c r="AF1206" s="44"/>
      <c r="AG1206" s="44"/>
      <c r="AH1206" s="44"/>
      <c r="AI1206" s="44"/>
      <c r="AJ1206" s="44"/>
      <c r="AK1206" s="44"/>
      <c r="AL1206" s="44"/>
      <c r="AM1206" s="44"/>
      <c r="AN1206" s="44"/>
      <c r="AO1206" s="44"/>
      <c r="AP1206" s="44"/>
    </row>
    <row r="1207" spans="1:44" x14ac:dyDescent="0.25">
      <c r="A1207" s="149" t="s">
        <v>282</v>
      </c>
      <c r="B1207" s="149"/>
      <c r="C1207" s="149"/>
      <c r="D1207" s="149"/>
      <c r="E1207" s="149"/>
      <c r="F1207" s="149"/>
      <c r="G1207" s="149"/>
      <c r="H1207" s="149"/>
      <c r="I1207" s="149"/>
      <c r="J1207" s="149"/>
      <c r="K1207" s="149"/>
      <c r="L1207" s="149"/>
      <c r="M1207" s="149"/>
      <c r="N1207" s="149"/>
      <c r="O1207" s="149"/>
      <c r="P1207" s="149"/>
      <c r="Q1207" s="149"/>
      <c r="R1207" s="149"/>
      <c r="S1207" s="149"/>
      <c r="T1207" s="149"/>
      <c r="U1207" s="149"/>
      <c r="V1207" s="44"/>
      <c r="W1207" s="91"/>
      <c r="X1207" s="91"/>
      <c r="Y1207" s="91"/>
      <c r="Z1207" s="44"/>
      <c r="AA1207" s="44"/>
      <c r="AB1207" s="44"/>
      <c r="AC1207" s="44"/>
      <c r="AD1207" s="44"/>
      <c r="AE1207" s="44"/>
      <c r="AF1207" s="44"/>
      <c r="AG1207" s="44"/>
      <c r="AH1207" s="44"/>
      <c r="AI1207" s="44"/>
      <c r="AJ1207" s="44"/>
      <c r="AK1207" s="44"/>
      <c r="AL1207" s="44"/>
      <c r="AM1207" s="44"/>
      <c r="AN1207" s="44"/>
      <c r="AO1207" s="44"/>
      <c r="AP1207" s="44"/>
    </row>
    <row r="1208" spans="1:44" x14ac:dyDescent="0.25">
      <c r="A1208" s="149"/>
      <c r="B1208" s="149"/>
      <c r="C1208" s="149"/>
      <c r="D1208" s="310"/>
      <c r="E1208" s="149"/>
      <c r="F1208" s="149"/>
      <c r="G1208" s="310"/>
      <c r="H1208" s="149"/>
      <c r="I1208" s="149"/>
      <c r="J1208" s="149"/>
      <c r="K1208" s="310"/>
      <c r="L1208" s="149"/>
      <c r="M1208" s="149"/>
      <c r="N1208" s="149"/>
      <c r="O1208" s="310"/>
      <c r="P1208" s="149"/>
      <c r="Q1208" s="149"/>
      <c r="R1208" s="149"/>
      <c r="S1208" s="310"/>
      <c r="T1208" s="149"/>
      <c r="U1208" s="149"/>
      <c r="V1208" s="44"/>
      <c r="W1208" s="91"/>
      <c r="X1208" s="91"/>
      <c r="Y1208" s="91"/>
      <c r="Z1208" s="44"/>
      <c r="AA1208" s="44"/>
      <c r="AB1208" s="44"/>
      <c r="AC1208" s="44"/>
      <c r="AD1208" s="44"/>
      <c r="AE1208" s="44"/>
      <c r="AF1208" s="44"/>
      <c r="AG1208" s="44"/>
      <c r="AH1208" s="44"/>
      <c r="AI1208" s="44"/>
      <c r="AJ1208" s="44"/>
      <c r="AK1208" s="44"/>
      <c r="AL1208" s="44"/>
      <c r="AM1208" s="44"/>
      <c r="AN1208" s="44"/>
      <c r="AO1208" s="44"/>
      <c r="AP1208" s="44"/>
    </row>
    <row r="1209" spans="1:44" x14ac:dyDescent="0.25">
      <c r="A1209" s="149" t="s">
        <v>256</v>
      </c>
      <c r="B1209" s="149"/>
      <c r="C1209" s="169"/>
      <c r="D1209" s="173"/>
      <c r="E1209" s="149"/>
      <c r="F1209" s="111">
        <v>0</v>
      </c>
      <c r="G1209" s="173"/>
      <c r="H1209" s="149"/>
      <c r="I1209" s="111">
        <f>F1209</f>
        <v>0</v>
      </c>
      <c r="J1209" s="111"/>
      <c r="K1209" s="173"/>
      <c r="L1209" s="149"/>
      <c r="M1209" s="111" t="e">
        <v>#REF!</v>
      </c>
      <c r="N1209" s="111"/>
      <c r="O1209" s="173"/>
      <c r="P1209" s="149"/>
      <c r="Q1209" s="111" t="e">
        <v>#DIV/0!</v>
      </c>
      <c r="R1209" s="111"/>
      <c r="S1209" s="173"/>
      <c r="T1209" s="149"/>
      <c r="U1209" s="111" t="e">
        <v>#DIV/0!</v>
      </c>
      <c r="V1209" s="44"/>
      <c r="W1209" s="91"/>
      <c r="X1209" s="91"/>
      <c r="Y1209" s="91"/>
      <c r="Z1209" s="44"/>
      <c r="AA1209" s="44"/>
      <c r="AB1209" s="44"/>
      <c r="AC1209" s="44"/>
      <c r="AD1209" s="44"/>
      <c r="AE1209" s="44"/>
      <c r="AF1209" s="44"/>
      <c r="AG1209" s="44"/>
      <c r="AH1209" s="44"/>
      <c r="AI1209" s="44"/>
      <c r="AJ1209" s="44"/>
      <c r="AK1209" s="44"/>
      <c r="AL1209" s="44"/>
      <c r="AM1209" s="44"/>
      <c r="AN1209" s="44"/>
      <c r="AO1209" s="44"/>
      <c r="AP1209" s="44"/>
    </row>
    <row r="1210" spans="1:44" x14ac:dyDescent="0.25">
      <c r="A1210" s="149" t="s">
        <v>283</v>
      </c>
      <c r="B1210" s="149"/>
      <c r="C1210" s="109">
        <v>0</v>
      </c>
      <c r="D1210" s="307">
        <v>7.0449999999999999</v>
      </c>
      <c r="E1210" s="149" t="s">
        <v>89</v>
      </c>
      <c r="F1210" s="357">
        <f>ROUND(D1210*C1210/100,0)</f>
        <v>0</v>
      </c>
      <c r="G1210" s="307">
        <v>7.2149999999999999</v>
      </c>
      <c r="H1210" s="149" t="s">
        <v>89</v>
      </c>
      <c r="I1210" s="111">
        <f>ROUND(C1210*G1210/100,0)</f>
        <v>0</v>
      </c>
      <c r="J1210" s="111"/>
      <c r="K1210" s="307" t="e">
        <v>#DIV/0!</v>
      </c>
      <c r="L1210" s="149" t="s">
        <v>89</v>
      </c>
      <c r="M1210" s="111" t="e">
        <v>#DIV/0!</v>
      </c>
      <c r="N1210" s="111"/>
      <c r="O1210" s="307" t="e">
        <v>#DIV/0!</v>
      </c>
      <c r="P1210" s="149" t="s">
        <v>89</v>
      </c>
      <c r="Q1210" s="111" t="e">
        <v>#DIV/0!</v>
      </c>
      <c r="R1210" s="111"/>
      <c r="S1210" s="307" t="e">
        <v>#DIV/0!</v>
      </c>
      <c r="T1210" s="149" t="s">
        <v>89</v>
      </c>
      <c r="U1210" s="111" t="e">
        <v>#DIV/0!</v>
      </c>
      <c r="V1210" s="44"/>
      <c r="W1210" s="91"/>
      <c r="X1210" s="91"/>
      <c r="Y1210" s="91"/>
      <c r="Z1210" s="44"/>
      <c r="AA1210" s="44"/>
      <c r="AB1210" s="44"/>
      <c r="AC1210" s="44"/>
      <c r="AD1210" s="44"/>
      <c r="AE1210" s="44"/>
      <c r="AF1210" s="44"/>
      <c r="AG1210" s="44"/>
      <c r="AH1210" s="44"/>
      <c r="AI1210" s="44"/>
      <c r="AJ1210" s="44"/>
      <c r="AK1210" s="44"/>
      <c r="AL1210" s="44"/>
      <c r="AM1210" s="44"/>
      <c r="AN1210" s="44"/>
      <c r="AO1210" s="44"/>
      <c r="AP1210" s="44"/>
    </row>
    <row r="1211" spans="1:44" x14ac:dyDescent="0.25">
      <c r="A1211" s="149" t="s">
        <v>284</v>
      </c>
      <c r="B1211" s="149"/>
      <c r="C1211" s="109">
        <v>1151208</v>
      </c>
      <c r="D1211" s="360">
        <v>7.0449999999999999</v>
      </c>
      <c r="E1211" s="149" t="s">
        <v>89</v>
      </c>
      <c r="F1211" s="357">
        <f>ROUND(D1211*C1211/100,0)</f>
        <v>81103</v>
      </c>
      <c r="G1211" s="360">
        <f>G1210</f>
        <v>7.2149999999999999</v>
      </c>
      <c r="H1211" s="149" t="s">
        <v>89</v>
      </c>
      <c r="I1211" s="111">
        <f>ROUND(G1211*$C1211/100,0)</f>
        <v>83060</v>
      </c>
      <c r="J1211" s="111"/>
      <c r="K1211" s="360" t="e">
        <f>K1210</f>
        <v>#DIV/0!</v>
      </c>
      <c r="L1211" s="149" t="s">
        <v>89</v>
      </c>
      <c r="M1211" s="111">
        <v>0</v>
      </c>
      <c r="N1211" s="111"/>
      <c r="O1211" s="360" t="e">
        <f>O1210</f>
        <v>#DIV/0!</v>
      </c>
      <c r="P1211" s="149" t="s">
        <v>89</v>
      </c>
      <c r="Q1211" s="111">
        <v>0</v>
      </c>
      <c r="R1211" s="111"/>
      <c r="S1211" s="360" t="e">
        <f>S1210</f>
        <v>#DIV/0!</v>
      </c>
      <c r="T1211" s="149" t="s">
        <v>89</v>
      </c>
      <c r="U1211" s="111">
        <v>0</v>
      </c>
      <c r="V1211" s="44"/>
      <c r="W1211" s="91"/>
      <c r="X1211" s="91"/>
      <c r="Y1211" s="91"/>
      <c r="Z1211" s="44"/>
      <c r="AA1211" s="44"/>
      <c r="AB1211" s="44"/>
      <c r="AC1211" s="44"/>
      <c r="AD1211" s="44"/>
      <c r="AE1211" s="44"/>
      <c r="AF1211" s="44"/>
      <c r="AG1211" s="44"/>
      <c r="AH1211" s="44"/>
      <c r="AI1211" s="44"/>
      <c r="AJ1211" s="44"/>
      <c r="AK1211" s="44"/>
      <c r="AL1211" s="44"/>
      <c r="AM1211" s="44"/>
      <c r="AN1211" s="44"/>
      <c r="AO1211" s="44"/>
      <c r="AP1211" s="44"/>
    </row>
    <row r="1212" spans="1:44" x14ac:dyDescent="0.25">
      <c r="A1212" s="149" t="s">
        <v>90</v>
      </c>
      <c r="B1212" s="149"/>
      <c r="C1212" s="109">
        <v>22.1666666666667</v>
      </c>
      <c r="D1212" s="358"/>
      <c r="E1212" s="149"/>
      <c r="F1212" s="111"/>
      <c r="G1212" s="358"/>
      <c r="H1212" s="149"/>
      <c r="I1212" s="111"/>
      <c r="J1212" s="111"/>
      <c r="K1212" s="358"/>
      <c r="L1212" s="149"/>
      <c r="M1212" s="111"/>
      <c r="N1212" s="111"/>
      <c r="O1212" s="358"/>
      <c r="P1212" s="149"/>
      <c r="Q1212" s="111"/>
      <c r="R1212" s="111"/>
      <c r="S1212" s="358"/>
      <c r="T1212" s="149"/>
      <c r="U1212" s="111"/>
      <c r="V1212" s="44"/>
      <c r="W1212" s="91"/>
      <c r="X1212" s="91"/>
      <c r="Y1212" s="91"/>
      <c r="Z1212" s="44"/>
      <c r="AA1212" s="44"/>
      <c r="AB1212" s="44"/>
      <c r="AC1212" s="44"/>
      <c r="AD1212" s="44"/>
      <c r="AE1212" s="44"/>
      <c r="AF1212" s="44"/>
      <c r="AG1212" s="44"/>
      <c r="AH1212" s="44"/>
      <c r="AI1212" s="44"/>
      <c r="AJ1212" s="44"/>
      <c r="AK1212" s="44"/>
      <c r="AL1212" s="44"/>
      <c r="AM1212" s="44"/>
      <c r="AN1212" s="44"/>
      <c r="AO1212" s="44"/>
      <c r="AP1212" s="44"/>
    </row>
    <row r="1213" spans="1:44" s="120" customFormat="1" hidden="1" x14ac:dyDescent="0.25">
      <c r="A1213" s="119" t="s">
        <v>253</v>
      </c>
      <c r="C1213" s="121">
        <f>C1214</f>
        <v>1151208</v>
      </c>
      <c r="D1213" s="128">
        <v>0</v>
      </c>
      <c r="E1213" s="122"/>
      <c r="F1213" s="123"/>
      <c r="G1213" s="124">
        <v>0</v>
      </c>
      <c r="H1213" s="125" t="s">
        <v>89</v>
      </c>
      <c r="I1213" s="256">
        <f>ROUND(G1213*$C1213/100,0)</f>
        <v>0</v>
      </c>
      <c r="J1213" s="256"/>
      <c r="K1213" s="124" t="s">
        <v>0</v>
      </c>
      <c r="L1213" s="125" t="s">
        <v>0</v>
      </c>
      <c r="M1213" s="111">
        <v>0</v>
      </c>
      <c r="N1213" s="256"/>
      <c r="O1213" s="124" t="s">
        <v>0</v>
      </c>
      <c r="P1213" s="125" t="s">
        <v>0</v>
      </c>
      <c r="Q1213" s="111">
        <v>0</v>
      </c>
      <c r="R1213" s="256"/>
      <c r="S1213" s="124">
        <v>0</v>
      </c>
      <c r="T1213" s="125" t="s">
        <v>89</v>
      </c>
      <c r="U1213" s="256">
        <f>ROUND(S1213*$C1213/100,0)</f>
        <v>0</v>
      </c>
      <c r="W1213" s="112"/>
      <c r="Z1213" s="127"/>
      <c r="AA1213" s="127"/>
      <c r="AF1213" s="122"/>
      <c r="AG1213" s="122"/>
      <c r="AH1213" s="122"/>
      <c r="AI1213" s="122"/>
      <c r="AJ1213" s="122"/>
      <c r="AK1213" s="122"/>
      <c r="AL1213" s="122"/>
      <c r="AM1213" s="122"/>
      <c r="AN1213" s="122"/>
      <c r="AO1213" s="122"/>
      <c r="AP1213" s="122"/>
      <c r="AR1213" s="126"/>
    </row>
    <row r="1214" spans="1:44" x14ac:dyDescent="0.25">
      <c r="A1214" s="92" t="s">
        <v>260</v>
      </c>
      <c r="C1214" s="109">
        <f>C1210+C1211</f>
        <v>1151208</v>
      </c>
      <c r="D1214" s="128"/>
      <c r="E1214" s="44"/>
      <c r="F1214" s="131">
        <f>SUM(F1209:F1211)</f>
        <v>81103</v>
      </c>
      <c r="G1214" s="128"/>
      <c r="H1214" s="44"/>
      <c r="I1214" s="131">
        <f>SUM(I1209:I1213)</f>
        <v>83060</v>
      </c>
      <c r="J1214" s="131"/>
      <c r="K1214" s="128"/>
      <c r="L1214" s="44"/>
      <c r="M1214" s="131" t="e">
        <f>SUM(M1209:M1213)</f>
        <v>#REF!</v>
      </c>
      <c r="N1214" s="131"/>
      <c r="O1214" s="128"/>
      <c r="P1214" s="44"/>
      <c r="Q1214" s="131" t="e">
        <f>SUM(Q1209:Q1213)</f>
        <v>#DIV/0!</v>
      </c>
      <c r="R1214" s="131"/>
      <c r="S1214" s="128"/>
      <c r="T1214" s="44"/>
      <c r="U1214" s="131" t="e">
        <f>SUM(U1209:U1213)</f>
        <v>#DIV/0!</v>
      </c>
      <c r="V1214" s="44"/>
      <c r="W1214" s="91"/>
      <c r="X1214" s="91"/>
      <c r="Y1214" s="91"/>
      <c r="Z1214" s="44"/>
      <c r="AA1214" s="44"/>
      <c r="AB1214" s="44"/>
      <c r="AC1214" s="44"/>
      <c r="AD1214" s="44"/>
      <c r="AE1214" s="44"/>
      <c r="AF1214" s="44"/>
      <c r="AG1214" s="44"/>
      <c r="AH1214" s="44"/>
      <c r="AI1214" s="44"/>
      <c r="AJ1214" s="44"/>
      <c r="AK1214" s="44"/>
      <c r="AL1214" s="44"/>
      <c r="AM1214" s="44"/>
      <c r="AN1214" s="44"/>
      <c r="AO1214" s="44"/>
      <c r="AP1214" s="44"/>
    </row>
    <row r="1215" spans="1:44" x14ac:dyDescent="0.25">
      <c r="A1215" s="92" t="s">
        <v>261</v>
      </c>
      <c r="C1215" s="109">
        <v>14578.601058505523</v>
      </c>
      <c r="D1215" s="128"/>
      <c r="E1215" s="44"/>
      <c r="F1215" s="131">
        <v>1258.1353616093459</v>
      </c>
      <c r="G1215" s="128"/>
      <c r="H1215" s="44"/>
      <c r="I1215" s="131">
        <f>F1215</f>
        <v>1258.1353616093459</v>
      </c>
      <c r="J1215" s="131"/>
      <c r="K1215" s="128"/>
      <c r="L1215" s="44"/>
      <c r="M1215" s="131" t="e">
        <f>$I$1215*V1176/($V$1176+$W$1176+$X$1176)</f>
        <v>#DIV/0!</v>
      </c>
      <c r="N1215" s="133"/>
      <c r="O1215" s="134"/>
      <c r="P1215" s="134"/>
      <c r="Q1215" s="131" t="e">
        <f>$I$1215*W1176/($V$1176+$W$1176+$X$1176)</f>
        <v>#DIV/0!</v>
      </c>
      <c r="R1215" s="133"/>
      <c r="S1215" s="134"/>
      <c r="T1215" s="134"/>
      <c r="U1215" s="131" t="e">
        <f>$I$1215*X1176/($V$1176+$W$1176+$X$1176)</f>
        <v>#DIV/0!</v>
      </c>
      <c r="V1215" s="165"/>
      <c r="W1215" s="163"/>
      <c r="X1215" s="91"/>
      <c r="Y1215" s="91"/>
      <c r="Z1215" s="44"/>
      <c r="AA1215" s="44"/>
      <c r="AB1215" s="44"/>
      <c r="AC1215" s="44"/>
      <c r="AD1215" s="44"/>
      <c r="AE1215" s="44"/>
      <c r="AF1215" s="44"/>
      <c r="AG1215" s="44"/>
      <c r="AH1215" s="44"/>
      <c r="AI1215" s="44"/>
      <c r="AJ1215" s="44"/>
      <c r="AK1215" s="44"/>
      <c r="AL1215" s="44"/>
      <c r="AM1215" s="44"/>
      <c r="AN1215" s="44"/>
      <c r="AO1215" s="44"/>
      <c r="AP1215" s="44"/>
    </row>
    <row r="1216" spans="1:44" ht="16.5" thickBot="1" x14ac:dyDescent="0.3">
      <c r="A1216" s="149" t="s">
        <v>93</v>
      </c>
      <c r="B1216" s="149"/>
      <c r="C1216" s="315">
        <f>C1214+C1215</f>
        <v>1165786.6010585055</v>
      </c>
      <c r="D1216" s="359"/>
      <c r="E1216" s="232"/>
      <c r="F1216" s="138">
        <f>F1214+F1215</f>
        <v>82361.13536160934</v>
      </c>
      <c r="G1216" s="359"/>
      <c r="H1216" s="232"/>
      <c r="I1216" s="138">
        <f>I1214+I1215</f>
        <v>84318.13536160934</v>
      </c>
      <c r="J1216" s="133"/>
      <c r="K1216" s="359"/>
      <c r="L1216" s="232"/>
      <c r="M1216" s="138" t="e">
        <f>M1214+M1215</f>
        <v>#REF!</v>
      </c>
      <c r="N1216" s="137"/>
      <c r="O1216" s="359"/>
      <c r="P1216" s="232"/>
      <c r="Q1216" s="138" t="e">
        <f>Q1214+Q1215</f>
        <v>#DIV/0!</v>
      </c>
      <c r="R1216" s="137"/>
      <c r="S1216" s="359"/>
      <c r="T1216" s="232"/>
      <c r="U1216" s="138" t="e">
        <f>U1214+U1215</f>
        <v>#DIV/0!</v>
      </c>
      <c r="V1216" s="166"/>
      <c r="W1216" s="167"/>
      <c r="X1216" s="91"/>
      <c r="Y1216" s="91"/>
      <c r="Z1216" s="44"/>
      <c r="AA1216" s="44"/>
      <c r="AB1216" s="44"/>
      <c r="AC1216" s="44"/>
      <c r="AD1216" s="44"/>
      <c r="AE1216" s="44"/>
      <c r="AF1216" s="44"/>
      <c r="AG1216" s="44"/>
      <c r="AH1216" s="44"/>
      <c r="AI1216" s="44"/>
      <c r="AJ1216" s="44"/>
      <c r="AK1216" s="44"/>
      <c r="AL1216" s="44"/>
      <c r="AM1216" s="44"/>
      <c r="AN1216" s="44"/>
      <c r="AO1216" s="44"/>
      <c r="AP1216" s="44"/>
    </row>
    <row r="1217" spans="1:44" ht="16.5" thickTop="1" x14ac:dyDescent="0.25">
      <c r="A1217" s="362" t="s">
        <v>95</v>
      </c>
      <c r="B1217" s="149"/>
      <c r="C1217" s="280"/>
      <c r="D1217" s="363"/>
      <c r="E1217" s="238"/>
      <c r="F1217" s="133"/>
      <c r="G1217" s="363"/>
      <c r="H1217" s="238"/>
      <c r="I1217" s="133"/>
      <c r="J1217" s="133"/>
      <c r="K1217" s="363"/>
      <c r="L1217" s="238"/>
      <c r="M1217" s="133"/>
      <c r="N1217" s="133"/>
      <c r="O1217" s="363"/>
      <c r="P1217" s="238"/>
      <c r="Q1217" s="133"/>
      <c r="R1217" s="133"/>
      <c r="S1217" s="363"/>
      <c r="T1217" s="238"/>
      <c r="U1217" s="133"/>
      <c r="V1217" s="166"/>
      <c r="W1217" s="167"/>
      <c r="X1217" s="91"/>
      <c r="Y1217" s="91"/>
      <c r="Z1217" s="44"/>
      <c r="AA1217" s="44"/>
      <c r="AB1217" s="44"/>
      <c r="AC1217" s="44"/>
      <c r="AD1217" s="44"/>
      <c r="AE1217" s="44"/>
      <c r="AF1217" s="44"/>
      <c r="AG1217" s="44"/>
      <c r="AH1217" s="44"/>
      <c r="AI1217" s="44"/>
      <c r="AJ1217" s="44"/>
      <c r="AK1217" s="44"/>
      <c r="AL1217" s="44"/>
      <c r="AM1217" s="44"/>
      <c r="AN1217" s="44"/>
      <c r="AO1217" s="44"/>
      <c r="AP1217" s="44"/>
    </row>
    <row r="1218" spans="1:44" x14ac:dyDescent="0.25">
      <c r="A1218" s="149"/>
      <c r="B1218" s="149"/>
      <c r="C1218" s="280"/>
      <c r="D1218" s="363"/>
      <c r="E1218" s="238"/>
      <c r="F1218" s="133"/>
      <c r="G1218" s="363"/>
      <c r="H1218" s="238"/>
      <c r="I1218" s="133"/>
      <c r="J1218" s="133"/>
      <c r="K1218" s="363"/>
      <c r="L1218" s="238"/>
      <c r="M1218" s="133"/>
      <c r="N1218" s="133"/>
      <c r="O1218" s="363"/>
      <c r="P1218" s="238"/>
      <c r="Q1218" s="133"/>
      <c r="R1218" s="133"/>
      <c r="S1218" s="363"/>
      <c r="T1218" s="238"/>
      <c r="U1218" s="133"/>
      <c r="V1218" s="153"/>
      <c r="W1218" s="153"/>
      <c r="X1218" s="153"/>
      <c r="Y1218" s="91"/>
      <c r="Z1218" s="44"/>
      <c r="AA1218" s="44"/>
      <c r="AB1218" s="44"/>
      <c r="AC1218" s="44"/>
      <c r="AD1218" s="44"/>
      <c r="AE1218" s="44"/>
      <c r="AF1218" s="44"/>
      <c r="AG1218" s="44"/>
      <c r="AH1218" s="44"/>
      <c r="AI1218" s="44"/>
      <c r="AJ1218" s="44"/>
      <c r="AK1218" s="44"/>
      <c r="AL1218" s="44"/>
      <c r="AM1218" s="44"/>
      <c r="AN1218" s="44"/>
      <c r="AO1218" s="44"/>
      <c r="AP1218" s="44"/>
    </row>
    <row r="1219" spans="1:44" hidden="1" x14ac:dyDescent="0.25">
      <c r="A1219" s="149"/>
      <c r="B1219" s="149"/>
      <c r="C1219" s="280"/>
      <c r="D1219" s="363"/>
      <c r="E1219" s="238"/>
      <c r="F1219" s="133"/>
      <c r="G1219" s="363"/>
      <c r="H1219" s="238"/>
      <c r="I1219" s="133"/>
      <c r="J1219" s="133"/>
      <c r="K1219" s="363"/>
      <c r="L1219" s="238"/>
      <c r="M1219" s="133"/>
      <c r="N1219" s="133"/>
      <c r="O1219" s="363"/>
      <c r="P1219" s="238"/>
      <c r="Q1219" s="133"/>
      <c r="R1219" s="133"/>
      <c r="S1219" s="363"/>
      <c r="T1219" s="238"/>
      <c r="U1219" s="133"/>
      <c r="V1219" s="146"/>
      <c r="W1219" s="146"/>
      <c r="X1219" s="146"/>
      <c r="Y1219" s="91"/>
      <c r="Z1219" s="44"/>
      <c r="AA1219" s="44"/>
      <c r="AB1219" s="44"/>
      <c r="AC1219" s="44"/>
      <c r="AD1219" s="44"/>
      <c r="AE1219" s="44"/>
      <c r="AF1219" s="44"/>
      <c r="AG1219" s="44"/>
      <c r="AH1219" s="44"/>
      <c r="AI1219" s="44"/>
      <c r="AJ1219" s="44"/>
      <c r="AK1219" s="44"/>
      <c r="AL1219" s="44"/>
      <c r="AM1219" s="44"/>
      <c r="AN1219" s="44"/>
      <c r="AO1219" s="44"/>
      <c r="AP1219" s="44"/>
    </row>
    <row r="1220" spans="1:44" hidden="1" x14ac:dyDescent="0.25">
      <c r="A1220" s="149"/>
      <c r="B1220" s="149"/>
      <c r="C1220" s="280"/>
      <c r="D1220" s="363" t="s">
        <v>0</v>
      </c>
      <c r="E1220" s="238"/>
      <c r="F1220" s="133"/>
      <c r="G1220" s="363" t="s">
        <v>0</v>
      </c>
      <c r="H1220" s="238"/>
      <c r="I1220" s="133" t="s">
        <v>0</v>
      </c>
      <c r="J1220" s="133"/>
      <c r="K1220" s="363" t="s">
        <v>0</v>
      </c>
      <c r="L1220" s="238"/>
      <c r="M1220" s="133" t="s">
        <v>0</v>
      </c>
      <c r="N1220" s="133"/>
      <c r="O1220" s="363" t="s">
        <v>0</v>
      </c>
      <c r="P1220" s="238"/>
      <c r="Q1220" s="133" t="s">
        <v>0</v>
      </c>
      <c r="R1220" s="133"/>
      <c r="S1220" s="363" t="s">
        <v>0</v>
      </c>
      <c r="T1220" s="238"/>
      <c r="U1220" s="133" t="s">
        <v>0</v>
      </c>
      <c r="V1220" s="44"/>
      <c r="W1220" s="91"/>
      <c r="X1220" s="91"/>
      <c r="Y1220" s="91"/>
      <c r="Z1220" s="44"/>
      <c r="AA1220" s="44"/>
      <c r="AB1220" s="44"/>
      <c r="AC1220" s="44"/>
      <c r="AD1220" s="44"/>
      <c r="AE1220" s="44"/>
      <c r="AF1220" s="44"/>
      <c r="AG1220" s="44"/>
      <c r="AH1220" s="44"/>
      <c r="AI1220" s="44"/>
      <c r="AJ1220" s="44"/>
      <c r="AK1220" s="44"/>
      <c r="AL1220" s="44"/>
      <c r="AM1220" s="44"/>
      <c r="AN1220" s="44"/>
      <c r="AO1220" s="44"/>
      <c r="AP1220" s="44"/>
    </row>
    <row r="1221" spans="1:44" x14ac:dyDescent="0.25">
      <c r="A1221" s="168" t="s">
        <v>285</v>
      </c>
      <c r="B1221" s="149"/>
      <c r="C1221" s="149"/>
      <c r="D1221" s="149"/>
      <c r="E1221" s="149"/>
      <c r="F1221" s="149"/>
      <c r="G1221" s="149"/>
      <c r="H1221" s="149"/>
      <c r="I1221" s="149" t="s">
        <v>0</v>
      </c>
      <c r="J1221" s="149"/>
      <c r="K1221" s="149"/>
      <c r="L1221" s="149"/>
      <c r="M1221" s="149" t="s">
        <v>0</v>
      </c>
      <c r="N1221" s="149"/>
      <c r="O1221" s="149"/>
      <c r="P1221" s="149"/>
      <c r="Q1221" s="149" t="s">
        <v>0</v>
      </c>
      <c r="R1221" s="149"/>
      <c r="S1221" s="149"/>
      <c r="T1221" s="149"/>
      <c r="U1221" s="149" t="s">
        <v>0</v>
      </c>
      <c r="V1221" s="44"/>
      <c r="W1221" s="91"/>
      <c r="X1221" s="91"/>
      <c r="Y1221" s="91"/>
      <c r="Z1221" s="44"/>
      <c r="AA1221" s="44"/>
      <c r="AB1221" s="44"/>
      <c r="AC1221" s="44"/>
      <c r="AD1221" s="44"/>
      <c r="AE1221" s="44"/>
      <c r="AF1221" s="44"/>
      <c r="AG1221" s="44"/>
      <c r="AH1221" s="44"/>
      <c r="AI1221" s="44"/>
      <c r="AJ1221" s="44"/>
      <c r="AK1221" s="44"/>
      <c r="AL1221" s="44"/>
      <c r="AM1221" s="44"/>
      <c r="AN1221" s="44"/>
      <c r="AO1221" s="44"/>
      <c r="AP1221" s="44"/>
    </row>
    <row r="1222" spans="1:44" x14ac:dyDescent="0.25">
      <c r="A1222" s="149" t="s">
        <v>54</v>
      </c>
      <c r="B1222" s="149"/>
      <c r="C1222" s="149"/>
      <c r="D1222" s="149"/>
      <c r="E1222" s="149"/>
      <c r="F1222" s="149"/>
      <c r="G1222" s="149"/>
      <c r="H1222" s="149"/>
      <c r="I1222" s="149"/>
      <c r="J1222" s="149"/>
      <c r="K1222" s="149"/>
      <c r="L1222" s="149"/>
      <c r="M1222" s="149"/>
      <c r="N1222" s="149"/>
      <c r="O1222" s="149"/>
      <c r="P1222" s="149"/>
      <c r="Q1222" s="149"/>
      <c r="R1222" s="149"/>
      <c r="S1222" s="149"/>
      <c r="T1222" s="149"/>
      <c r="U1222" s="149"/>
      <c r="V1222" s="44"/>
      <c r="W1222" s="91"/>
      <c r="X1222" s="91"/>
      <c r="Y1222" s="91"/>
      <c r="Z1222" s="44"/>
      <c r="AA1222" s="44"/>
      <c r="AB1222" s="44"/>
      <c r="AC1222" s="44"/>
      <c r="AD1222" s="44"/>
      <c r="AE1222" s="44"/>
      <c r="AF1222" s="44"/>
      <c r="AG1222" s="44"/>
      <c r="AH1222" s="44"/>
      <c r="AI1222" s="44"/>
      <c r="AJ1222" s="44"/>
      <c r="AK1222" s="44"/>
      <c r="AL1222" s="44"/>
      <c r="AM1222" s="44"/>
      <c r="AN1222" s="44"/>
      <c r="AO1222" s="44"/>
      <c r="AP1222" s="44"/>
    </row>
    <row r="1223" spans="1:44" x14ac:dyDescent="0.25">
      <c r="A1223" s="149"/>
      <c r="B1223" s="149"/>
      <c r="C1223" s="149"/>
      <c r="D1223" s="149"/>
      <c r="E1223" s="149"/>
      <c r="F1223" s="149"/>
      <c r="G1223" s="149"/>
      <c r="H1223" s="149"/>
      <c r="I1223" s="149"/>
      <c r="J1223" s="149"/>
      <c r="K1223" s="149"/>
      <c r="L1223" s="149"/>
      <c r="M1223" s="149"/>
      <c r="N1223" s="149"/>
      <c r="O1223" s="149"/>
      <c r="P1223" s="149"/>
      <c r="Q1223" s="149"/>
      <c r="R1223" s="149"/>
      <c r="S1223" s="149"/>
      <c r="T1223" s="149"/>
      <c r="U1223" s="149"/>
      <c r="V1223" s="44"/>
      <c r="W1223" s="91"/>
      <c r="X1223" s="91"/>
      <c r="Y1223" s="91"/>
      <c r="Z1223" s="44"/>
      <c r="AA1223" s="44"/>
      <c r="AB1223" s="44"/>
      <c r="AC1223" s="44"/>
      <c r="AD1223" s="44"/>
      <c r="AE1223" s="44"/>
      <c r="AF1223" s="44"/>
      <c r="AG1223" s="44"/>
      <c r="AH1223" s="44"/>
      <c r="AI1223" s="44"/>
      <c r="AJ1223" s="44"/>
      <c r="AK1223" s="44"/>
      <c r="AL1223" s="44"/>
      <c r="AM1223" s="44"/>
      <c r="AN1223" s="44"/>
      <c r="AO1223" s="44"/>
      <c r="AP1223" s="44"/>
    </row>
    <row r="1224" spans="1:44" x14ac:dyDescent="0.25">
      <c r="A1224" s="149" t="s">
        <v>286</v>
      </c>
      <c r="B1224" s="149"/>
      <c r="C1224" s="169">
        <v>169.46666666666701</v>
      </c>
      <c r="D1224" s="173">
        <v>3.8</v>
      </c>
      <c r="E1224" s="149"/>
      <c r="F1224" s="111">
        <f>ROUND(C1224*D1224,0)</f>
        <v>644</v>
      </c>
      <c r="G1224" s="173">
        <v>3.9</v>
      </c>
      <c r="H1224" s="149"/>
      <c r="I1224" s="111">
        <f>ROUND(G1224*$C1224,0)</f>
        <v>661</v>
      </c>
      <c r="J1224" s="111"/>
      <c r="K1224" s="173">
        <v>3.75</v>
      </c>
      <c r="L1224" s="149"/>
      <c r="M1224" s="111">
        <v>636</v>
      </c>
      <c r="N1224" s="111"/>
      <c r="O1224" s="173" t="s">
        <v>0</v>
      </c>
      <c r="P1224" s="149"/>
      <c r="Q1224" s="111">
        <v>0</v>
      </c>
      <c r="R1224" s="111"/>
      <c r="S1224" s="173" t="s">
        <v>0</v>
      </c>
      <c r="T1224" s="149"/>
      <c r="U1224" s="111">
        <v>0</v>
      </c>
      <c r="V1224" s="44"/>
      <c r="W1224" s="366"/>
      <c r="X1224" s="366"/>
      <c r="Y1224" s="366"/>
      <c r="Z1224" s="44"/>
      <c r="AA1224" s="44"/>
      <c r="AB1224" s="44"/>
      <c r="AC1224" s="44"/>
      <c r="AD1224" s="44"/>
      <c r="AE1224" s="44"/>
      <c r="AF1224" s="44"/>
      <c r="AG1224" s="44"/>
      <c r="AH1224" s="44"/>
      <c r="AI1224" s="44"/>
      <c r="AJ1224" s="44"/>
      <c r="AK1224" s="44"/>
      <c r="AL1224" s="44"/>
      <c r="AM1224" s="44"/>
      <c r="AN1224" s="44"/>
      <c r="AO1224" s="44"/>
      <c r="AP1224" s="44"/>
    </row>
    <row r="1225" spans="1:44" x14ac:dyDescent="0.25">
      <c r="A1225" s="149" t="s">
        <v>287</v>
      </c>
      <c r="B1225" s="149"/>
      <c r="C1225" s="169">
        <v>180</v>
      </c>
      <c r="D1225" s="173">
        <v>6.85</v>
      </c>
      <c r="E1225" s="149"/>
      <c r="F1225" s="111">
        <f>ROUND(C1225*D1225,0)</f>
        <v>1233</v>
      </c>
      <c r="G1225" s="173">
        <v>7</v>
      </c>
      <c r="H1225" s="149"/>
      <c r="I1225" s="111">
        <f>ROUND(G1225*$C1225,0)</f>
        <v>1260</v>
      </c>
      <c r="J1225" s="111"/>
      <c r="K1225" s="173">
        <v>6.75</v>
      </c>
      <c r="L1225" s="149"/>
      <c r="M1225" s="111">
        <v>1215</v>
      </c>
      <c r="N1225" s="111"/>
      <c r="O1225" s="173" t="s">
        <v>0</v>
      </c>
      <c r="P1225" s="149"/>
      <c r="Q1225" s="111">
        <v>0</v>
      </c>
      <c r="R1225" s="111"/>
      <c r="S1225" s="173" t="s">
        <v>0</v>
      </c>
      <c r="T1225" s="149"/>
      <c r="U1225" s="111">
        <v>0</v>
      </c>
      <c r="V1225" s="44"/>
      <c r="W1225" s="366"/>
      <c r="X1225" s="366"/>
      <c r="Y1225" s="366"/>
      <c r="Z1225" s="44"/>
      <c r="AA1225" s="44"/>
      <c r="AB1225" s="44"/>
      <c r="AC1225" s="44"/>
      <c r="AD1225" s="44"/>
      <c r="AE1225" s="44"/>
      <c r="AF1225" s="44"/>
      <c r="AG1225" s="44"/>
      <c r="AH1225" s="44"/>
      <c r="AI1225" s="44"/>
      <c r="AJ1225" s="44"/>
      <c r="AK1225" s="44"/>
      <c r="AL1225" s="44"/>
      <c r="AM1225" s="44"/>
      <c r="AN1225" s="44"/>
      <c r="AO1225" s="44"/>
      <c r="AP1225" s="44"/>
    </row>
    <row r="1226" spans="1:44" x14ac:dyDescent="0.25">
      <c r="A1226" s="149" t="s">
        <v>288</v>
      </c>
      <c r="B1226" s="149"/>
      <c r="C1226" s="169">
        <f>SUM(C1224:C1225)</f>
        <v>349.46666666666704</v>
      </c>
      <c r="D1226" s="260"/>
      <c r="E1226" s="149"/>
      <c r="F1226" s="357"/>
      <c r="G1226" s="260"/>
      <c r="H1226" s="149"/>
      <c r="I1226" s="111"/>
      <c r="J1226" s="111"/>
      <c r="K1226" s="260"/>
      <c r="L1226" s="149"/>
      <c r="M1226" s="111"/>
      <c r="N1226" s="111"/>
      <c r="O1226" s="260"/>
      <c r="P1226" s="149"/>
      <c r="Q1226" s="111"/>
      <c r="R1226" s="111"/>
      <c r="S1226" s="260"/>
      <c r="T1226" s="149"/>
      <c r="U1226" s="111"/>
      <c r="V1226" s="44"/>
      <c r="W1226" s="366"/>
      <c r="X1226" s="366"/>
      <c r="Y1226" s="366"/>
      <c r="Z1226" s="44"/>
      <c r="AA1226" s="44"/>
      <c r="AB1226" s="44"/>
      <c r="AC1226" s="44"/>
      <c r="AD1226" s="44"/>
      <c r="AE1226" s="44"/>
      <c r="AF1226" s="44"/>
      <c r="AG1226" s="44"/>
      <c r="AH1226" s="44"/>
      <c r="AI1226" s="44"/>
      <c r="AJ1226" s="44"/>
      <c r="AK1226" s="44"/>
      <c r="AL1226" s="44"/>
      <c r="AM1226" s="44"/>
      <c r="AN1226" s="44"/>
      <c r="AO1226" s="44"/>
      <c r="AP1226" s="44"/>
    </row>
    <row r="1227" spans="1:44" x14ac:dyDescent="0.25">
      <c r="A1227" s="149" t="s">
        <v>203</v>
      </c>
      <c r="B1227" s="149"/>
      <c r="C1227" s="169">
        <v>267781</v>
      </c>
      <c r="D1227" s="269">
        <v>8.3840000000000003</v>
      </c>
      <c r="E1227" s="111" t="s">
        <v>89</v>
      </c>
      <c r="F1227" s="357">
        <f>ROUND(D1227*C1227/100,0)</f>
        <v>22451</v>
      </c>
      <c r="G1227" s="269">
        <v>8.5820000000000007</v>
      </c>
      <c r="H1227" s="111" t="s">
        <v>89</v>
      </c>
      <c r="I1227" s="111">
        <f>ROUND(G1227*$C1227/100,0)</f>
        <v>22981</v>
      </c>
      <c r="J1227" s="111"/>
      <c r="K1227" s="269" t="e">
        <v>#DIV/0!</v>
      </c>
      <c r="L1227" s="111" t="s">
        <v>89</v>
      </c>
      <c r="M1227" s="111" t="e">
        <v>#DIV/0!</v>
      </c>
      <c r="N1227" s="111"/>
      <c r="O1227" s="269" t="e">
        <v>#DIV/0!</v>
      </c>
      <c r="P1227" s="111" t="s">
        <v>89</v>
      </c>
      <c r="Q1227" s="111" t="e">
        <v>#DIV/0!</v>
      </c>
      <c r="R1227" s="111"/>
      <c r="S1227" s="269" t="e">
        <v>#DIV/0!</v>
      </c>
      <c r="T1227" s="111" t="s">
        <v>89</v>
      </c>
      <c r="U1227" s="111" t="e">
        <v>#DIV/0!</v>
      </c>
      <c r="V1227" s="44"/>
      <c r="W1227" s="366"/>
      <c r="X1227" s="366"/>
      <c r="Y1227" s="366"/>
      <c r="Z1227" s="44"/>
      <c r="AA1227" s="44"/>
      <c r="AB1227" s="44"/>
      <c r="AC1227" s="44"/>
      <c r="AD1227" s="44"/>
      <c r="AE1227" s="44"/>
      <c r="AF1227" s="44"/>
      <c r="AG1227" s="44"/>
      <c r="AH1227" s="44"/>
      <c r="AI1227" s="44"/>
      <c r="AJ1227" s="44"/>
      <c r="AK1227" s="44"/>
      <c r="AL1227" s="44"/>
      <c r="AM1227" s="44"/>
      <c r="AN1227" s="44"/>
      <c r="AO1227" s="44"/>
      <c r="AP1227" s="44"/>
    </row>
    <row r="1228" spans="1:44" s="120" customFormat="1" hidden="1" x14ac:dyDescent="0.25">
      <c r="A1228" s="119" t="s">
        <v>204</v>
      </c>
      <c r="C1228" s="121">
        <f>C1230</f>
        <v>267781</v>
      </c>
      <c r="D1228" s="128">
        <v>0</v>
      </c>
      <c r="E1228" s="122"/>
      <c r="F1228" s="123"/>
      <c r="G1228" s="124">
        <v>0</v>
      </c>
      <c r="H1228" s="256" t="s">
        <v>89</v>
      </c>
      <c r="I1228" s="256">
        <f>ROUND(G1228*$C1228/100,0)</f>
        <v>0</v>
      </c>
      <c r="J1228" s="256"/>
      <c r="K1228" s="124" t="s">
        <v>0</v>
      </c>
      <c r="L1228" s="125" t="s">
        <v>0</v>
      </c>
      <c r="M1228" s="111">
        <v>0</v>
      </c>
      <c r="N1228" s="123"/>
      <c r="O1228" s="124" t="s">
        <v>0</v>
      </c>
      <c r="P1228" s="125" t="s">
        <v>0</v>
      </c>
      <c r="Q1228" s="111">
        <v>0</v>
      </c>
      <c r="R1228" s="123"/>
      <c r="S1228" s="124">
        <v>0</v>
      </c>
      <c r="T1228" s="125" t="s">
        <v>89</v>
      </c>
      <c r="U1228" s="111">
        <v>0</v>
      </c>
      <c r="V1228" s="126">
        <v>6171.999641091671</v>
      </c>
      <c r="W1228" s="112" t="s">
        <v>205</v>
      </c>
      <c r="Z1228" s="127"/>
      <c r="AA1228" s="127"/>
      <c r="AF1228" s="122"/>
      <c r="AG1228" s="122"/>
      <c r="AH1228" s="122"/>
      <c r="AI1228" s="122"/>
      <c r="AJ1228" s="122"/>
      <c r="AK1228" s="122"/>
      <c r="AL1228" s="122"/>
      <c r="AM1228" s="122"/>
      <c r="AN1228" s="122"/>
      <c r="AO1228" s="122"/>
      <c r="AP1228" s="122"/>
      <c r="AR1228" s="126"/>
    </row>
    <row r="1229" spans="1:44" s="120" customFormat="1" hidden="1" x14ac:dyDescent="0.25">
      <c r="A1229" s="182" t="s">
        <v>259</v>
      </c>
      <c r="B1229" s="183"/>
      <c r="C1229" s="341"/>
      <c r="D1229" s="271">
        <v>8.3840000000000003</v>
      </c>
      <c r="E1229" s="187" t="s">
        <v>89</v>
      </c>
      <c r="F1229" s="187"/>
      <c r="G1229" s="271">
        <f>G1227+G1228</f>
        <v>8.5820000000000007</v>
      </c>
      <c r="H1229" s="187" t="s">
        <v>89</v>
      </c>
      <c r="I1229" s="272"/>
      <c r="J1229" s="272"/>
      <c r="K1229" s="271" t="e">
        <f>K1227+K1228</f>
        <v>#DIV/0!</v>
      </c>
      <c r="L1229" s="187" t="s">
        <v>89</v>
      </c>
      <c r="M1229" s="272"/>
      <c r="N1229" s="272"/>
      <c r="O1229" s="271" t="e">
        <f>O1227+O1228</f>
        <v>#DIV/0!</v>
      </c>
      <c r="P1229" s="187" t="s">
        <v>89</v>
      </c>
      <c r="Q1229" s="272"/>
      <c r="R1229" s="272"/>
      <c r="S1229" s="271" t="e">
        <f>S1227+S1228</f>
        <v>#DIV/0!</v>
      </c>
      <c r="T1229" s="187" t="s">
        <v>89</v>
      </c>
      <c r="U1229" s="272"/>
      <c r="V1229" s="126"/>
      <c r="W1229" s="112"/>
      <c r="X1229" s="286"/>
      <c r="Z1229" s="127"/>
      <c r="AA1229" s="127"/>
      <c r="AF1229" s="122"/>
      <c r="AG1229" s="122"/>
      <c r="AH1229" s="122"/>
      <c r="AI1229" s="122"/>
      <c r="AJ1229" s="122"/>
      <c r="AK1229" s="122"/>
      <c r="AL1229" s="122"/>
      <c r="AM1229" s="122"/>
      <c r="AN1229" s="122"/>
      <c r="AO1229" s="122"/>
      <c r="AP1229" s="122"/>
      <c r="AR1229" s="126"/>
    </row>
    <row r="1230" spans="1:44" x14ac:dyDescent="0.25">
      <c r="A1230" s="149" t="s">
        <v>114</v>
      </c>
      <c r="B1230" s="149"/>
      <c r="C1230" s="204">
        <f>SUM(C1227)</f>
        <v>267781</v>
      </c>
      <c r="D1230" s="169"/>
      <c r="E1230" s="111"/>
      <c r="F1230" s="357">
        <f>SUM(F1224:F1227)</f>
        <v>24328</v>
      </c>
      <c r="G1230" s="169"/>
      <c r="H1230" s="111"/>
      <c r="I1230" s="357">
        <f>SUM(I1224:I1229)</f>
        <v>24902</v>
      </c>
      <c r="J1230" s="357"/>
      <c r="K1230" s="169"/>
      <c r="L1230" s="111"/>
      <c r="M1230" s="357" t="e">
        <f>SUM(M1224:M1229)</f>
        <v>#DIV/0!</v>
      </c>
      <c r="N1230" s="357"/>
      <c r="O1230" s="169"/>
      <c r="P1230" s="111"/>
      <c r="Q1230" s="357" t="e">
        <f>SUM(Q1224:Q1229)</f>
        <v>#DIV/0!</v>
      </c>
      <c r="R1230" s="357"/>
      <c r="S1230" s="169"/>
      <c r="T1230" s="111"/>
      <c r="U1230" s="357" t="e">
        <f>SUM(U1224:U1229)</f>
        <v>#DIV/0!</v>
      </c>
      <c r="V1230" s="44"/>
      <c r="W1230" s="91"/>
      <c r="X1230" s="91"/>
      <c r="Y1230" s="91"/>
      <c r="Z1230" s="44"/>
      <c r="AA1230" s="44"/>
      <c r="AB1230" s="44"/>
      <c r="AC1230" s="44"/>
      <c r="AD1230" s="44"/>
      <c r="AE1230" s="44"/>
      <c r="AF1230" s="44"/>
      <c r="AG1230" s="44"/>
      <c r="AH1230" s="44"/>
      <c r="AI1230" s="44"/>
      <c r="AJ1230" s="44"/>
      <c r="AK1230" s="44"/>
      <c r="AL1230" s="44"/>
      <c r="AM1230" s="44"/>
      <c r="AN1230" s="44"/>
      <c r="AO1230" s="44"/>
      <c r="AP1230" s="44"/>
    </row>
    <row r="1231" spans="1:44" x14ac:dyDescent="0.25">
      <c r="A1231" s="149" t="s">
        <v>92</v>
      </c>
      <c r="B1231" s="149"/>
      <c r="C1231" s="248">
        <v>1846.9158017184013</v>
      </c>
      <c r="D1231" s="367"/>
      <c r="E1231" s="367"/>
      <c r="F1231" s="368">
        <v>189.2729477693606</v>
      </c>
      <c r="G1231" s="367"/>
      <c r="H1231" s="367"/>
      <c r="I1231" s="368">
        <f>F1231</f>
        <v>189.2729477693606</v>
      </c>
      <c r="J1231" s="369"/>
      <c r="K1231" s="367"/>
      <c r="L1231" s="367"/>
      <c r="M1231" s="368" t="e">
        <f>$I$1231*V1235/($V$1235+$W$1235+$X$1235)</f>
        <v>#DIV/0!</v>
      </c>
      <c r="N1231" s="133"/>
      <c r="O1231" s="134"/>
      <c r="P1231" s="134"/>
      <c r="Q1231" s="368" t="e">
        <f>$I$1231*W1235/($V$1235+$W$1235+$X$1235)</f>
        <v>#DIV/0!</v>
      </c>
      <c r="R1231" s="133"/>
      <c r="S1231" s="134"/>
      <c r="T1231" s="134"/>
      <c r="U1231" s="368" t="e">
        <f>$I$1231*X1235/($V$1235+$W$1235+$X$1235)</f>
        <v>#DIV/0!</v>
      </c>
      <c r="V1231" s="278"/>
      <c r="W1231" s="279"/>
      <c r="X1231" s="91"/>
      <c r="Y1231" s="91"/>
      <c r="Z1231" s="44"/>
      <c r="AA1231" s="44"/>
      <c r="AB1231" s="44"/>
      <c r="AC1231" s="44"/>
      <c r="AD1231" s="44"/>
      <c r="AE1231" s="44"/>
      <c r="AF1231" s="44"/>
      <c r="AG1231" s="44"/>
      <c r="AH1231" s="44"/>
      <c r="AI1231" s="44"/>
      <c r="AJ1231" s="44"/>
      <c r="AK1231" s="44"/>
      <c r="AL1231" s="44"/>
      <c r="AM1231" s="44"/>
      <c r="AN1231" s="44"/>
      <c r="AO1231" s="44"/>
      <c r="AP1231" s="44"/>
    </row>
    <row r="1232" spans="1:44" ht="16.5" thickBot="1" x14ac:dyDescent="0.3">
      <c r="A1232" s="149" t="s">
        <v>115</v>
      </c>
      <c r="B1232" s="149"/>
      <c r="C1232" s="265">
        <f>C1230+C1231</f>
        <v>269627.91580171842</v>
      </c>
      <c r="D1232" s="232"/>
      <c r="E1232" s="232"/>
      <c r="F1232" s="137">
        <f>F1230+F1231</f>
        <v>24517.272947769361</v>
      </c>
      <c r="G1232" s="232"/>
      <c r="H1232" s="232"/>
      <c r="I1232" s="137">
        <f>I1230+I1231</f>
        <v>25091.272947769361</v>
      </c>
      <c r="J1232" s="137"/>
      <c r="K1232" s="232"/>
      <c r="L1232" s="232"/>
      <c r="M1232" s="137" t="e">
        <f>M1230+M1231</f>
        <v>#DIV/0!</v>
      </c>
      <c r="N1232" s="137"/>
      <c r="O1232" s="232"/>
      <c r="P1232" s="232"/>
      <c r="Q1232" s="137" t="e">
        <f>Q1230+Q1231</f>
        <v>#DIV/0!</v>
      </c>
      <c r="R1232" s="137"/>
      <c r="S1232" s="232"/>
      <c r="T1232" s="232"/>
      <c r="U1232" s="137" t="e">
        <f>U1230+U1231</f>
        <v>#DIV/0!</v>
      </c>
      <c r="V1232" s="350" t="s">
        <v>146</v>
      </c>
      <c r="W1232" s="140">
        <v>25092.188778846648</v>
      </c>
      <c r="X1232" s="141">
        <f>(I1232-F1232)/F1232</f>
        <v>2.3412065494511854E-2</v>
      </c>
      <c r="Y1232" s="91"/>
      <c r="Z1232" s="44"/>
      <c r="AA1232" s="44"/>
      <c r="AB1232" s="44"/>
      <c r="AC1232" s="44"/>
      <c r="AD1232" s="44"/>
      <c r="AE1232" s="44"/>
      <c r="AF1232" s="44"/>
      <c r="AG1232" s="44"/>
      <c r="AH1232" s="44"/>
      <c r="AI1232" s="44"/>
      <c r="AJ1232" s="44"/>
      <c r="AK1232" s="44"/>
      <c r="AL1232" s="44"/>
      <c r="AM1232" s="44"/>
      <c r="AN1232" s="44"/>
      <c r="AO1232" s="44"/>
      <c r="AP1232" s="44"/>
    </row>
    <row r="1233" spans="1:42" ht="16.5" thickTop="1" x14ac:dyDescent="0.25">
      <c r="A1233" s="149"/>
      <c r="B1233" s="195"/>
      <c r="C1233" s="149"/>
      <c r="D1233" s="149" t="s">
        <v>0</v>
      </c>
      <c r="E1233" s="149"/>
      <c r="F1233" s="149"/>
      <c r="G1233" s="149" t="s">
        <v>0</v>
      </c>
      <c r="H1233" s="149"/>
      <c r="I1233" s="111" t="s">
        <v>0</v>
      </c>
      <c r="J1233" s="111"/>
      <c r="K1233" s="149" t="s">
        <v>0</v>
      </c>
      <c r="L1233" s="149"/>
      <c r="M1233" s="111" t="s">
        <v>0</v>
      </c>
      <c r="N1233" s="111"/>
      <c r="O1233" s="149" t="s">
        <v>0</v>
      </c>
      <c r="P1233" s="149"/>
      <c r="Q1233" s="111" t="s">
        <v>0</v>
      </c>
      <c r="R1233" s="111"/>
      <c r="S1233" s="149" t="s">
        <v>0</v>
      </c>
      <c r="T1233" s="149"/>
      <c r="U1233" s="111" t="s">
        <v>0</v>
      </c>
      <c r="V1233" s="354" t="s">
        <v>96</v>
      </c>
      <c r="W1233" s="151">
        <f>W1232-I1232</f>
        <v>0.91583107728729374</v>
      </c>
      <c r="X1233" s="282" t="s">
        <v>0</v>
      </c>
      <c r="Y1233" s="154"/>
      <c r="Z1233" s="44"/>
      <c r="AA1233" s="44"/>
      <c r="AB1233" s="44"/>
      <c r="AC1233" s="44"/>
      <c r="AD1233" s="44"/>
      <c r="AE1233" s="44"/>
      <c r="AF1233" s="44"/>
      <c r="AG1233" s="44"/>
      <c r="AH1233" s="44"/>
      <c r="AI1233" s="44"/>
      <c r="AJ1233" s="44"/>
      <c r="AK1233" s="44"/>
      <c r="AL1233" s="44"/>
      <c r="AM1233" s="44"/>
      <c r="AN1233" s="44"/>
      <c r="AO1233" s="44"/>
      <c r="AP1233" s="44"/>
    </row>
    <row r="1234" spans="1:42" hidden="1" x14ac:dyDescent="0.25">
      <c r="A1234" s="149"/>
      <c r="B1234" s="195"/>
      <c r="C1234" s="149"/>
      <c r="D1234" s="149"/>
      <c r="E1234" s="149"/>
      <c r="F1234" s="149"/>
      <c r="G1234" s="149"/>
      <c r="H1234" s="149"/>
      <c r="I1234" s="111"/>
      <c r="J1234" s="111"/>
      <c r="K1234" s="149"/>
      <c r="L1234" s="149"/>
      <c r="M1234" s="111"/>
      <c r="N1234" s="111"/>
      <c r="O1234" s="149"/>
      <c r="P1234" s="149"/>
      <c r="Q1234" s="111"/>
      <c r="R1234" s="111"/>
      <c r="S1234" s="149"/>
      <c r="T1234" s="149"/>
      <c r="U1234" s="111"/>
      <c r="V1234" s="153"/>
      <c r="W1234" s="153"/>
      <c r="X1234" s="153"/>
      <c r="Y1234" s="154"/>
      <c r="Z1234" s="44"/>
      <c r="AA1234" s="44"/>
      <c r="AB1234" s="44"/>
      <c r="AC1234" s="44"/>
      <c r="AD1234" s="44"/>
      <c r="AE1234" s="44"/>
      <c r="AF1234" s="44"/>
      <c r="AG1234" s="44"/>
      <c r="AH1234" s="44"/>
      <c r="AI1234" s="44"/>
      <c r="AJ1234" s="44"/>
      <c r="AK1234" s="44"/>
      <c r="AL1234" s="44"/>
      <c r="AM1234" s="44"/>
      <c r="AN1234" s="44"/>
      <c r="AO1234" s="44"/>
      <c r="AP1234" s="44"/>
    </row>
    <row r="1235" spans="1:42" hidden="1" x14ac:dyDescent="0.25">
      <c r="A1235" s="149"/>
      <c r="B1235" s="195"/>
      <c r="C1235" s="149"/>
      <c r="D1235" s="149"/>
      <c r="E1235" s="149"/>
      <c r="F1235" s="149"/>
      <c r="G1235" s="149"/>
      <c r="H1235" s="149"/>
      <c r="I1235" s="111"/>
      <c r="J1235" s="111"/>
      <c r="K1235" s="149"/>
      <c r="L1235" s="149"/>
      <c r="M1235" s="111"/>
      <c r="N1235" s="111"/>
      <c r="O1235" s="149"/>
      <c r="P1235" s="149"/>
      <c r="Q1235" s="111"/>
      <c r="R1235" s="111"/>
      <c r="S1235" s="149"/>
      <c r="T1235" s="149"/>
      <c r="U1235" s="111"/>
      <c r="V1235" s="146"/>
      <c r="W1235" s="146"/>
      <c r="X1235" s="146"/>
      <c r="Y1235" s="154"/>
      <c r="Z1235" s="44"/>
      <c r="AA1235" s="44"/>
      <c r="AB1235" s="44"/>
      <c r="AC1235" s="44"/>
      <c r="AD1235" s="44"/>
      <c r="AE1235" s="44"/>
      <c r="AF1235" s="44"/>
      <c r="AG1235" s="44"/>
      <c r="AH1235" s="44"/>
      <c r="AI1235" s="44"/>
      <c r="AJ1235" s="44"/>
      <c r="AK1235" s="44"/>
      <c r="AL1235" s="44"/>
      <c r="AM1235" s="44"/>
      <c r="AN1235" s="44"/>
      <c r="AO1235" s="44"/>
      <c r="AP1235" s="44"/>
    </row>
    <row r="1236" spans="1:42" x14ac:dyDescent="0.25">
      <c r="A1236" s="107" t="s">
        <v>289</v>
      </c>
      <c r="B1236" s="179"/>
      <c r="C1236" s="179"/>
      <c r="D1236" s="179"/>
      <c r="E1236" s="179"/>
      <c r="F1236" s="179"/>
      <c r="G1236" s="179"/>
      <c r="H1236" s="179"/>
      <c r="I1236" s="179"/>
      <c r="J1236" s="179"/>
      <c r="K1236" s="179"/>
      <c r="L1236" s="179"/>
      <c r="M1236" s="179"/>
      <c r="N1236" s="179"/>
      <c r="O1236" s="179"/>
      <c r="P1236" s="179"/>
      <c r="Q1236" s="179"/>
      <c r="R1236" s="179"/>
      <c r="S1236" s="179"/>
      <c r="T1236" s="179"/>
      <c r="U1236" s="179"/>
      <c r="V1236" s="44"/>
      <c r="W1236" s="91"/>
      <c r="X1236" s="91"/>
      <c r="Y1236" s="91"/>
      <c r="Z1236" s="44"/>
      <c r="AA1236" s="44"/>
      <c r="AB1236" s="44"/>
      <c r="AC1236" s="44"/>
      <c r="AD1236" s="44"/>
      <c r="AE1236" s="44"/>
      <c r="AF1236" s="44"/>
      <c r="AG1236" s="44"/>
      <c r="AH1236" s="44"/>
      <c r="AI1236" s="44"/>
      <c r="AJ1236" s="44"/>
      <c r="AK1236" s="44"/>
      <c r="AL1236" s="44"/>
      <c r="AM1236" s="44"/>
      <c r="AN1236" s="44"/>
      <c r="AO1236" s="44"/>
      <c r="AP1236" s="44"/>
    </row>
    <row r="1237" spans="1:42" x14ac:dyDescent="0.25">
      <c r="A1237" s="179" t="s">
        <v>290</v>
      </c>
      <c r="B1237" s="179"/>
      <c r="C1237" s="179"/>
      <c r="D1237" s="179"/>
      <c r="E1237" s="179"/>
      <c r="F1237" s="179"/>
      <c r="G1237" s="179"/>
      <c r="H1237" s="179"/>
      <c r="I1237" s="179"/>
      <c r="J1237" s="179"/>
      <c r="K1237" s="179"/>
      <c r="L1237" s="179"/>
      <c r="M1237" s="179"/>
      <c r="N1237" s="179"/>
      <c r="O1237" s="179"/>
      <c r="P1237" s="179"/>
      <c r="Q1237" s="179"/>
      <c r="R1237" s="179"/>
      <c r="S1237" s="179"/>
      <c r="T1237" s="179"/>
      <c r="U1237" s="179"/>
      <c r="V1237" s="155"/>
      <c r="W1237" s="155"/>
      <c r="X1237" s="155"/>
      <c r="Y1237" s="155"/>
      <c r="Z1237" s="155"/>
      <c r="AA1237" s="155"/>
      <c r="AB1237" s="155"/>
      <c r="AC1237" s="155"/>
      <c r="AD1237" s="155"/>
      <c r="AE1237" s="155"/>
      <c r="AF1237" s="155"/>
      <c r="AG1237" s="155"/>
      <c r="AH1237" s="155"/>
      <c r="AI1237" s="155"/>
      <c r="AJ1237" s="155"/>
      <c r="AK1237" s="155"/>
      <c r="AL1237" s="44"/>
      <c r="AM1237" s="44"/>
      <c r="AN1237" s="44"/>
      <c r="AO1237" s="44"/>
      <c r="AP1237" s="44"/>
    </row>
    <row r="1238" spans="1:42" x14ac:dyDescent="0.25">
      <c r="A1238" s="370" t="s">
        <v>291</v>
      </c>
      <c r="B1238" s="179"/>
      <c r="C1238" s="179"/>
      <c r="D1238" s="179"/>
      <c r="E1238" s="179"/>
      <c r="F1238" s="179"/>
      <c r="G1238" s="179"/>
      <c r="H1238" s="179"/>
      <c r="I1238" s="179"/>
      <c r="J1238" s="179"/>
      <c r="K1238" s="179"/>
      <c r="L1238" s="179"/>
      <c r="M1238" s="179"/>
      <c r="N1238" s="179"/>
      <c r="O1238" s="179"/>
      <c r="P1238" s="179"/>
      <c r="Q1238" s="179"/>
      <c r="R1238" s="179"/>
      <c r="S1238" s="179"/>
      <c r="T1238" s="179"/>
      <c r="U1238" s="179"/>
      <c r="V1238" s="155"/>
      <c r="W1238" s="155"/>
      <c r="X1238" s="155"/>
      <c r="Y1238" s="155"/>
      <c r="Z1238" s="155"/>
      <c r="AA1238" s="155"/>
      <c r="AB1238" s="155"/>
      <c r="AC1238" s="155"/>
      <c r="AD1238" s="155"/>
      <c r="AE1238" s="155"/>
      <c r="AF1238" s="155"/>
      <c r="AG1238" s="155"/>
      <c r="AH1238" s="155"/>
      <c r="AI1238" s="155"/>
      <c r="AJ1238" s="155"/>
      <c r="AK1238" s="155"/>
      <c r="AL1238" s="44"/>
      <c r="AM1238" s="44"/>
      <c r="AN1238" s="44"/>
      <c r="AO1238" s="44"/>
      <c r="AP1238" s="44"/>
    </row>
    <row r="1239" spans="1:42" x14ac:dyDescent="0.25">
      <c r="A1239" s="92" t="s">
        <v>292</v>
      </c>
      <c r="F1239" s="108"/>
      <c r="V1239" s="155"/>
      <c r="W1239" s="155"/>
      <c r="X1239" s="91"/>
      <c r="Y1239" s="91"/>
      <c r="Z1239" s="156"/>
      <c r="AA1239" s="156"/>
      <c r="AB1239" s="157"/>
      <c r="AC1239" s="157"/>
      <c r="AD1239" s="157"/>
      <c r="AE1239" s="157"/>
      <c r="AF1239" s="371"/>
      <c r="AG1239" s="159"/>
      <c r="AH1239" s="155"/>
      <c r="AI1239" s="155"/>
      <c r="AJ1239" s="155"/>
      <c r="AK1239" s="155"/>
      <c r="AL1239" s="44"/>
      <c r="AM1239" s="44"/>
      <c r="AN1239" s="44"/>
      <c r="AO1239" s="44"/>
      <c r="AP1239" s="44"/>
    </row>
    <row r="1240" spans="1:42" x14ac:dyDescent="0.25">
      <c r="A1240" s="92" t="s">
        <v>80</v>
      </c>
      <c r="C1240" s="109">
        <v>12717.7343365056</v>
      </c>
      <c r="D1240" s="110">
        <v>10.050000000000001</v>
      </c>
      <c r="F1240" s="111">
        <f>ROUND(C1240*D1240,0)</f>
        <v>127813</v>
      </c>
      <c r="G1240" s="110">
        <v>10.29</v>
      </c>
      <c r="I1240" s="111">
        <f>ROUND(G1240*$C1240,0)</f>
        <v>130865</v>
      </c>
      <c r="J1240" s="111"/>
      <c r="K1240" s="110" t="e">
        <v>#DIV/0!</v>
      </c>
      <c r="M1240" s="111" t="e">
        <v>#DIV/0!</v>
      </c>
      <c r="N1240" s="111"/>
      <c r="O1240" s="110" t="e">
        <v>#DIV/0!</v>
      </c>
      <c r="Q1240" s="111" t="e">
        <v>#DIV/0!</v>
      </c>
      <c r="R1240" s="111"/>
      <c r="S1240" s="110" t="e">
        <v>#DIV/0!</v>
      </c>
      <c r="U1240" s="111" t="e">
        <v>#DIV/0!</v>
      </c>
      <c r="V1240" s="44"/>
      <c r="W1240" s="158"/>
      <c r="X1240" s="91"/>
      <c r="Y1240" s="91"/>
      <c r="Z1240" s="347"/>
      <c r="AA1240" s="347"/>
      <c r="AB1240" s="160"/>
      <c r="AC1240" s="160"/>
      <c r="AD1240" s="160"/>
      <c r="AE1240" s="160"/>
      <c r="AF1240" s="161"/>
      <c r="AG1240" s="155"/>
      <c r="AH1240" s="158"/>
      <c r="AI1240" s="158"/>
      <c r="AJ1240" s="372"/>
      <c r="AK1240" s="158"/>
      <c r="AL1240" s="44"/>
      <c r="AM1240" s="44"/>
      <c r="AN1240" s="44"/>
      <c r="AO1240" s="44"/>
      <c r="AP1240" s="44"/>
    </row>
    <row r="1241" spans="1:42" x14ac:dyDescent="0.25">
      <c r="A1241" s="92" t="s">
        <v>81</v>
      </c>
      <c r="C1241" s="109">
        <v>1066.00041589388</v>
      </c>
      <c r="D1241" s="110">
        <v>18.399999999999999</v>
      </c>
      <c r="F1241" s="111">
        <f>ROUND(C1241*D1241,0)</f>
        <v>19614</v>
      </c>
      <c r="G1241" s="110">
        <v>18.829999999999998</v>
      </c>
      <c r="I1241" s="111">
        <f>ROUND(G1241*$C1241,0)</f>
        <v>20073</v>
      </c>
      <c r="J1241" s="111"/>
      <c r="K1241" s="110" t="e">
        <v>#DIV/0!</v>
      </c>
      <c r="M1241" s="111" t="e">
        <v>#DIV/0!</v>
      </c>
      <c r="N1241" s="111"/>
      <c r="O1241" s="110" t="e">
        <v>#DIV/0!</v>
      </c>
      <c r="Q1241" s="111" t="e">
        <v>#DIV/0!</v>
      </c>
      <c r="R1241" s="111"/>
      <c r="S1241" s="110" t="e">
        <v>#DIV/0!</v>
      </c>
      <c r="U1241" s="111" t="e">
        <v>#DIV/0!</v>
      </c>
      <c r="V1241" s="44"/>
      <c r="W1241" s="158"/>
      <c r="X1241" s="91"/>
      <c r="Y1241" s="91"/>
      <c r="Z1241" s="347"/>
      <c r="AA1241" s="347"/>
      <c r="AB1241" s="160"/>
      <c r="AC1241" s="160"/>
      <c r="AD1241" s="160"/>
      <c r="AE1241" s="160"/>
      <c r="AF1241" s="155"/>
      <c r="AG1241" s="155"/>
      <c r="AH1241" s="158"/>
      <c r="AI1241" s="158"/>
      <c r="AJ1241" s="372"/>
      <c r="AK1241" s="158"/>
      <c r="AL1241" s="44"/>
      <c r="AM1241" s="44"/>
      <c r="AN1241" s="44"/>
      <c r="AO1241" s="44"/>
      <c r="AP1241" s="44"/>
    </row>
    <row r="1242" spans="1:42" x14ac:dyDescent="0.25">
      <c r="A1242" s="92" t="s">
        <v>82</v>
      </c>
      <c r="C1242" s="109">
        <v>0</v>
      </c>
      <c r="D1242" s="110">
        <v>37.21</v>
      </c>
      <c r="F1242" s="111">
        <f>ROUND(C1242*D1242,0)</f>
        <v>0</v>
      </c>
      <c r="G1242" s="110">
        <v>38.08</v>
      </c>
      <c r="I1242" s="111">
        <f>ROUND(G1242*$C1242,0)</f>
        <v>0</v>
      </c>
      <c r="J1242" s="111"/>
      <c r="K1242" s="110" t="e">
        <v>#DIV/0!</v>
      </c>
      <c r="M1242" s="111" t="e">
        <v>#DIV/0!</v>
      </c>
      <c r="N1242" s="111"/>
      <c r="O1242" s="110" t="e">
        <v>#DIV/0!</v>
      </c>
      <c r="Q1242" s="111" t="e">
        <v>#DIV/0!</v>
      </c>
      <c r="R1242" s="111"/>
      <c r="S1242" s="110" t="e">
        <v>#DIV/0!</v>
      </c>
      <c r="U1242" s="111" t="e">
        <v>#DIV/0!</v>
      </c>
      <c r="V1242" s="44"/>
      <c r="W1242" s="158"/>
      <c r="X1242" s="91"/>
      <c r="Y1242" s="91"/>
      <c r="Z1242" s="347"/>
      <c r="AA1242" s="347"/>
      <c r="AB1242" s="160"/>
      <c r="AC1242" s="160"/>
      <c r="AD1242" s="160"/>
      <c r="AE1242" s="160"/>
      <c r="AF1242" s="155"/>
      <c r="AG1242" s="155"/>
      <c r="AH1242" s="158"/>
      <c r="AI1242" s="158"/>
      <c r="AJ1242" s="372"/>
      <c r="AK1242" s="158"/>
      <c r="AL1242" s="44"/>
      <c r="AM1242" s="44"/>
      <c r="AN1242" s="44"/>
      <c r="AO1242" s="44"/>
      <c r="AP1242" s="44"/>
    </row>
    <row r="1243" spans="1:42" x14ac:dyDescent="0.25">
      <c r="A1243" s="92" t="s">
        <v>293</v>
      </c>
      <c r="C1243" s="109"/>
      <c r="D1243" s="117"/>
      <c r="F1243" s="108"/>
      <c r="G1243" s="117"/>
      <c r="K1243" s="117"/>
      <c r="O1243" s="117"/>
      <c r="S1243" s="117"/>
      <c r="V1243" s="44"/>
      <c r="W1243" s="158"/>
      <c r="X1243" s="91"/>
      <c r="Y1243" s="91"/>
      <c r="Z1243" s="44"/>
      <c r="AA1243" s="44"/>
      <c r="AB1243" s="163"/>
      <c r="AC1243" s="163"/>
      <c r="AD1243" s="163"/>
      <c r="AE1243" s="163"/>
      <c r="AF1243" s="155"/>
      <c r="AG1243" s="155"/>
      <c r="AH1243" s="158"/>
      <c r="AI1243" s="158"/>
      <c r="AJ1243" s="372"/>
      <c r="AK1243" s="158"/>
      <c r="AL1243" s="44"/>
      <c r="AM1243" s="44"/>
      <c r="AN1243" s="44"/>
      <c r="AO1243" s="44"/>
      <c r="AP1243" s="44"/>
    </row>
    <row r="1244" spans="1:42" x14ac:dyDescent="0.25">
      <c r="A1244" s="92" t="s">
        <v>80</v>
      </c>
      <c r="C1244" s="109">
        <v>4248.0674676650497</v>
      </c>
      <c r="D1244" s="110">
        <v>9.43</v>
      </c>
      <c r="F1244" s="111">
        <f>ROUND(C1244*D1244,0)</f>
        <v>40059</v>
      </c>
      <c r="G1244" s="110">
        <v>9.65</v>
      </c>
      <c r="I1244" s="111">
        <f>ROUND(G1244*$C1244,0)</f>
        <v>40994</v>
      </c>
      <c r="J1244" s="111"/>
      <c r="K1244" s="110" t="e">
        <v>#DIV/0!</v>
      </c>
      <c r="M1244" s="111" t="e">
        <v>#DIV/0!</v>
      </c>
      <c r="N1244" s="111"/>
      <c r="O1244" s="110" t="e">
        <v>#DIV/0!</v>
      </c>
      <c r="Q1244" s="111" t="e">
        <v>#DIV/0!</v>
      </c>
      <c r="R1244" s="111"/>
      <c r="S1244" s="110" t="e">
        <v>#DIV/0!</v>
      </c>
      <c r="U1244" s="111" t="e">
        <v>#DIV/0!</v>
      </c>
      <c r="V1244" s="44"/>
      <c r="W1244" s="158"/>
      <c r="X1244" s="91"/>
      <c r="Y1244" s="91"/>
      <c r="Z1244" s="347"/>
      <c r="AA1244" s="347"/>
      <c r="AB1244" s="160"/>
      <c r="AC1244" s="160"/>
      <c r="AD1244" s="160"/>
      <c r="AE1244" s="160"/>
      <c r="AF1244" s="44"/>
      <c r="AG1244" s="44"/>
      <c r="AH1244" s="158"/>
      <c r="AI1244" s="158"/>
      <c r="AJ1244" s="372"/>
      <c r="AK1244" s="158"/>
      <c r="AL1244" s="44"/>
      <c r="AM1244" s="44"/>
      <c r="AN1244" s="44"/>
      <c r="AO1244" s="44"/>
      <c r="AP1244" s="44"/>
    </row>
    <row r="1245" spans="1:42" x14ac:dyDescent="0.25">
      <c r="A1245" s="92" t="s">
        <v>81</v>
      </c>
      <c r="C1245" s="109">
        <v>0</v>
      </c>
      <c r="D1245" s="110">
        <v>17.170000000000002</v>
      </c>
      <c r="F1245" s="111">
        <f>ROUND(C1245*D1245,0)</f>
        <v>0</v>
      </c>
      <c r="G1245" s="110">
        <v>17.57</v>
      </c>
      <c r="I1245" s="111">
        <f>ROUND(G1245*$C1245,0)</f>
        <v>0</v>
      </c>
      <c r="J1245" s="111"/>
      <c r="K1245" s="110" t="e">
        <v>#DIV/0!</v>
      </c>
      <c r="M1245" s="111" t="e">
        <v>#DIV/0!</v>
      </c>
      <c r="N1245" s="111"/>
      <c r="O1245" s="110" t="e">
        <v>#DIV/0!</v>
      </c>
      <c r="Q1245" s="111" t="e">
        <v>#DIV/0!</v>
      </c>
      <c r="R1245" s="111"/>
      <c r="S1245" s="110" t="e">
        <v>#DIV/0!</v>
      </c>
      <c r="U1245" s="111" t="e">
        <v>#DIV/0!</v>
      </c>
      <c r="V1245" s="44"/>
      <c r="W1245" s="158"/>
      <c r="X1245" s="91"/>
      <c r="Y1245" s="91"/>
      <c r="Z1245" s="347"/>
      <c r="AA1245" s="347"/>
      <c r="AB1245" s="160"/>
      <c r="AC1245" s="160"/>
      <c r="AD1245" s="160"/>
      <c r="AE1245" s="160"/>
      <c r="AF1245" s="44"/>
      <c r="AG1245" s="44"/>
      <c r="AH1245" s="158"/>
      <c r="AI1245" s="158"/>
      <c r="AJ1245" s="372"/>
      <c r="AK1245" s="158"/>
      <c r="AL1245" s="44"/>
      <c r="AM1245" s="44"/>
      <c r="AN1245" s="44"/>
      <c r="AO1245" s="44"/>
      <c r="AP1245" s="44"/>
    </row>
    <row r="1246" spans="1:42" x14ac:dyDescent="0.25">
      <c r="A1246" s="370" t="s">
        <v>294</v>
      </c>
      <c r="C1246" s="109"/>
      <c r="D1246" s="110"/>
      <c r="F1246" s="111"/>
      <c r="G1246" s="110"/>
      <c r="I1246" s="111"/>
      <c r="J1246" s="111"/>
      <c r="K1246" s="110"/>
      <c r="M1246" s="111"/>
      <c r="N1246" s="111"/>
      <c r="O1246" s="110"/>
      <c r="Q1246" s="111"/>
      <c r="R1246" s="111"/>
      <c r="S1246" s="110"/>
      <c r="U1246" s="111"/>
      <c r="V1246" s="44"/>
      <c r="W1246" s="158"/>
      <c r="X1246" s="91"/>
      <c r="Y1246" s="91"/>
      <c r="Z1246" s="44"/>
      <c r="AA1246" s="44"/>
      <c r="AB1246" s="44"/>
      <c r="AC1246" s="44"/>
      <c r="AD1246" s="44"/>
      <c r="AE1246" s="44"/>
      <c r="AF1246" s="44"/>
      <c r="AG1246" s="44"/>
      <c r="AH1246" s="44"/>
      <c r="AI1246" s="44"/>
      <c r="AJ1246" s="372"/>
      <c r="AK1246" s="44"/>
      <c r="AL1246" s="44"/>
      <c r="AM1246" s="44"/>
      <c r="AN1246" s="44"/>
      <c r="AO1246" s="44"/>
      <c r="AP1246" s="44"/>
    </row>
    <row r="1247" spans="1:42" x14ac:dyDescent="0.25">
      <c r="A1247" s="92" t="s">
        <v>292</v>
      </c>
      <c r="C1247" s="109"/>
      <c r="D1247" s="117"/>
      <c r="F1247" s="108"/>
      <c r="G1247" s="117"/>
      <c r="K1247" s="117"/>
      <c r="O1247" s="117"/>
      <c r="S1247" s="117"/>
      <c r="V1247" s="44"/>
      <c r="W1247" s="91"/>
      <c r="X1247" s="91"/>
      <c r="Y1247" s="91"/>
      <c r="Z1247" s="44"/>
      <c r="AA1247" s="44"/>
      <c r="AB1247" s="44"/>
      <c r="AC1247" s="44"/>
      <c r="AD1247" s="44"/>
      <c r="AE1247" s="44"/>
      <c r="AF1247" s="44"/>
      <c r="AG1247" s="44"/>
      <c r="AH1247" s="44"/>
      <c r="AI1247" s="44"/>
      <c r="AJ1247" s="372"/>
      <c r="AK1247" s="44"/>
      <c r="AL1247" s="44"/>
      <c r="AM1247" s="44"/>
      <c r="AN1247" s="44"/>
      <c r="AO1247" s="44"/>
      <c r="AP1247" s="44"/>
    </row>
    <row r="1248" spans="1:42" x14ac:dyDescent="0.25">
      <c r="A1248" s="92" t="s">
        <v>80</v>
      </c>
      <c r="C1248" s="109">
        <v>480.00024382612202</v>
      </c>
      <c r="D1248" s="110">
        <v>13.13</v>
      </c>
      <c r="F1248" s="111">
        <f>ROUND(C1248*D1248,0)</f>
        <v>6302</v>
      </c>
      <c r="G1248" s="110">
        <v>13.44</v>
      </c>
      <c r="I1248" s="111">
        <f>ROUND(G1248*$C1248,0)</f>
        <v>6451</v>
      </c>
      <c r="J1248" s="111"/>
      <c r="K1248" s="110" t="e">
        <v>#DIV/0!</v>
      </c>
      <c r="M1248" s="111" t="e">
        <v>#DIV/0!</v>
      </c>
      <c r="N1248" s="111"/>
      <c r="O1248" s="110" t="e">
        <v>#DIV/0!</v>
      </c>
      <c r="Q1248" s="111" t="e">
        <v>#DIV/0!</v>
      </c>
      <c r="R1248" s="111"/>
      <c r="S1248" s="110" t="e">
        <v>#DIV/0!</v>
      </c>
      <c r="U1248" s="111" t="e">
        <v>#DIV/0!</v>
      </c>
      <c r="V1248" s="44"/>
      <c r="W1248" s="158"/>
      <c r="X1248" s="91"/>
      <c r="Y1248" s="91"/>
      <c r="Z1248" s="347"/>
      <c r="AA1248" s="347"/>
      <c r="AB1248" s="160"/>
      <c r="AC1248" s="160"/>
      <c r="AD1248" s="160"/>
      <c r="AE1248" s="160"/>
      <c r="AF1248" s="44"/>
      <c r="AG1248" s="44"/>
      <c r="AH1248" s="158"/>
      <c r="AI1248" s="158"/>
      <c r="AJ1248" s="372"/>
      <c r="AK1248" s="158"/>
      <c r="AL1248" s="44"/>
      <c r="AM1248" s="44"/>
      <c r="AN1248" s="44"/>
      <c r="AO1248" s="44"/>
      <c r="AP1248" s="44"/>
    </row>
    <row r="1249" spans="1:42" x14ac:dyDescent="0.25">
      <c r="A1249" s="92" t="s">
        <v>81</v>
      </c>
      <c r="C1249" s="109">
        <v>395.99974732766401</v>
      </c>
      <c r="D1249" s="110">
        <v>22.05</v>
      </c>
      <c r="F1249" s="111">
        <f>ROUND(C1249*D1249,0)</f>
        <v>8732</v>
      </c>
      <c r="G1249" s="110">
        <v>22.57</v>
      </c>
      <c r="I1249" s="111">
        <f>ROUND(G1249*$C1249,0)</f>
        <v>8938</v>
      </c>
      <c r="J1249" s="111"/>
      <c r="K1249" s="110" t="e">
        <v>#DIV/0!</v>
      </c>
      <c r="M1249" s="111" t="e">
        <v>#DIV/0!</v>
      </c>
      <c r="N1249" s="111"/>
      <c r="O1249" s="110" t="e">
        <v>#DIV/0!</v>
      </c>
      <c r="Q1249" s="111" t="e">
        <v>#DIV/0!</v>
      </c>
      <c r="R1249" s="111"/>
      <c r="S1249" s="110" t="e">
        <v>#DIV/0!</v>
      </c>
      <c r="U1249" s="111" t="e">
        <v>#DIV/0!</v>
      </c>
      <c r="V1249" s="44"/>
      <c r="W1249" s="158"/>
      <c r="X1249" s="91"/>
      <c r="Y1249" s="91"/>
      <c r="Z1249" s="347"/>
      <c r="AA1249" s="347"/>
      <c r="AB1249" s="160"/>
      <c r="AC1249" s="160"/>
      <c r="AD1249" s="160"/>
      <c r="AE1249" s="160"/>
      <c r="AF1249" s="373"/>
      <c r="AG1249" s="373"/>
      <c r="AH1249" s="158"/>
      <c r="AI1249" s="158"/>
      <c r="AJ1249" s="372"/>
      <c r="AK1249" s="158"/>
      <c r="AL1249" s="44"/>
      <c r="AM1249" s="44"/>
      <c r="AN1249" s="44"/>
      <c r="AO1249" s="44"/>
      <c r="AP1249" s="44"/>
    </row>
    <row r="1250" spans="1:42" x14ac:dyDescent="0.25">
      <c r="A1250" s="92" t="s">
        <v>82</v>
      </c>
      <c r="C1250" s="109">
        <v>0</v>
      </c>
      <c r="D1250" s="110">
        <v>40.89</v>
      </c>
      <c r="F1250" s="111">
        <f>ROUND(C1250*D1250,0)</f>
        <v>0</v>
      </c>
      <c r="G1250" s="110">
        <v>41.85</v>
      </c>
      <c r="I1250" s="111">
        <f>ROUND(G1250*$C1250,0)</f>
        <v>0</v>
      </c>
      <c r="J1250" s="111"/>
      <c r="K1250" s="110" t="e">
        <v>#DIV/0!</v>
      </c>
      <c r="M1250" s="111" t="e">
        <v>#DIV/0!</v>
      </c>
      <c r="N1250" s="111"/>
      <c r="O1250" s="110" t="e">
        <v>#DIV/0!</v>
      </c>
      <c r="Q1250" s="111" t="e">
        <v>#DIV/0!</v>
      </c>
      <c r="R1250" s="111"/>
      <c r="S1250" s="110" t="e">
        <v>#DIV/0!</v>
      </c>
      <c r="U1250" s="111" t="e">
        <v>#DIV/0!</v>
      </c>
      <c r="V1250" s="44"/>
      <c r="W1250" s="158"/>
      <c r="X1250" s="91"/>
      <c r="Y1250" s="91"/>
      <c r="Z1250" s="347"/>
      <c r="AA1250" s="347"/>
      <c r="AB1250" s="160"/>
      <c r="AC1250" s="160"/>
      <c r="AD1250" s="160"/>
      <c r="AE1250" s="160"/>
      <c r="AF1250" s="373"/>
      <c r="AG1250" s="373"/>
      <c r="AH1250" s="158"/>
      <c r="AI1250" s="158"/>
      <c r="AJ1250" s="372"/>
      <c r="AK1250" s="158"/>
      <c r="AL1250" s="44"/>
      <c r="AM1250" s="44"/>
      <c r="AN1250" s="44"/>
      <c r="AO1250" s="44"/>
      <c r="AP1250" s="44"/>
    </row>
    <row r="1251" spans="1:42" x14ac:dyDescent="0.25">
      <c r="A1251" s="92" t="s">
        <v>293</v>
      </c>
      <c r="C1251" s="109"/>
      <c r="D1251" s="117"/>
      <c r="F1251" s="108"/>
      <c r="G1251" s="117"/>
      <c r="K1251" s="117"/>
      <c r="O1251" s="117"/>
      <c r="S1251" s="117"/>
      <c r="V1251" s="44"/>
      <c r="W1251" s="44"/>
      <c r="X1251" s="374"/>
      <c r="Y1251" s="374"/>
      <c r="Z1251" s="374"/>
      <c r="AA1251" s="374"/>
      <c r="AB1251" s="375"/>
      <c r="AC1251" s="375"/>
      <c r="AD1251" s="375"/>
      <c r="AE1251" s="375"/>
      <c r="AF1251" s="373"/>
      <c r="AG1251" s="373"/>
      <c r="AH1251" s="236"/>
      <c r="AI1251" s="44"/>
      <c r="AJ1251" s="372"/>
      <c r="AK1251" s="44"/>
      <c r="AL1251" s="44"/>
      <c r="AM1251" s="44"/>
      <c r="AN1251" s="44"/>
      <c r="AO1251" s="44"/>
      <c r="AP1251" s="44"/>
    </row>
    <row r="1252" spans="1:42" x14ac:dyDescent="0.25">
      <c r="A1252" s="92" t="s">
        <v>80</v>
      </c>
      <c r="C1252" s="109">
        <v>0</v>
      </c>
      <c r="D1252" s="110">
        <v>12.43</v>
      </c>
      <c r="F1252" s="111">
        <f>ROUND(C1252*D1252,0)</f>
        <v>0</v>
      </c>
      <c r="G1252" s="110">
        <v>12.72</v>
      </c>
      <c r="I1252" s="111">
        <f>ROUND(G1252*$C1252,0)</f>
        <v>0</v>
      </c>
      <c r="J1252" s="111"/>
      <c r="K1252" s="110" t="e">
        <v>#DIV/0!</v>
      </c>
      <c r="M1252" s="111" t="e">
        <v>#DIV/0!</v>
      </c>
      <c r="N1252" s="111"/>
      <c r="O1252" s="110" t="e">
        <v>#DIV/0!</v>
      </c>
      <c r="Q1252" s="111" t="e">
        <v>#DIV/0!</v>
      </c>
      <c r="R1252" s="111"/>
      <c r="S1252" s="110" t="e">
        <v>#DIV/0!</v>
      </c>
      <c r="U1252" s="111" t="e">
        <v>#DIV/0!</v>
      </c>
      <c r="V1252" s="44"/>
      <c r="W1252" s="158"/>
      <c r="X1252" s="91"/>
      <c r="Y1252" s="91"/>
      <c r="Z1252" s="347"/>
      <c r="AA1252" s="347"/>
      <c r="AB1252" s="160"/>
      <c r="AC1252" s="160"/>
      <c r="AD1252" s="160"/>
      <c r="AE1252" s="160"/>
      <c r="AF1252" s="373"/>
      <c r="AG1252" s="373"/>
      <c r="AH1252" s="158"/>
      <c r="AI1252" s="158"/>
      <c r="AJ1252" s="372"/>
      <c r="AK1252" s="158"/>
      <c r="AL1252" s="44"/>
      <c r="AM1252" s="44"/>
      <c r="AN1252" s="44"/>
      <c r="AO1252" s="44"/>
      <c r="AP1252" s="44"/>
    </row>
    <row r="1253" spans="1:42" x14ac:dyDescent="0.25">
      <c r="A1253" s="92" t="s">
        <v>81</v>
      </c>
      <c r="C1253" s="109">
        <v>0</v>
      </c>
      <c r="D1253" s="110">
        <v>20.85</v>
      </c>
      <c r="F1253" s="111">
        <f>ROUND(C1253*D1253,0)</f>
        <v>0</v>
      </c>
      <c r="G1253" s="110">
        <v>21.34</v>
      </c>
      <c r="I1253" s="111">
        <f>ROUND(G1253*$C1253,0)</f>
        <v>0</v>
      </c>
      <c r="J1253" s="111"/>
      <c r="K1253" s="110" t="e">
        <v>#DIV/0!</v>
      </c>
      <c r="M1253" s="111" t="e">
        <v>#DIV/0!</v>
      </c>
      <c r="N1253" s="111"/>
      <c r="O1253" s="110" t="e">
        <v>#DIV/0!</v>
      </c>
      <c r="Q1253" s="111" t="e">
        <v>#DIV/0!</v>
      </c>
      <c r="R1253" s="111"/>
      <c r="S1253" s="110" t="e">
        <v>#DIV/0!</v>
      </c>
      <c r="U1253" s="111" t="e">
        <v>#DIV/0!</v>
      </c>
      <c r="V1253" s="44"/>
      <c r="W1253" s="158"/>
      <c r="X1253" s="91"/>
      <c r="Y1253" s="91"/>
      <c r="Z1253" s="347"/>
      <c r="AA1253" s="347"/>
      <c r="AB1253" s="160"/>
      <c r="AC1253" s="160"/>
      <c r="AD1253" s="160"/>
      <c r="AE1253" s="160"/>
      <c r="AF1253" s="373"/>
      <c r="AG1253" s="373"/>
      <c r="AH1253" s="158"/>
      <c r="AI1253" s="158"/>
      <c r="AJ1253" s="372"/>
      <c r="AK1253" s="158"/>
      <c r="AL1253" s="44"/>
      <c r="AM1253" s="44"/>
      <c r="AN1253" s="44"/>
      <c r="AO1253" s="44"/>
      <c r="AP1253" s="44"/>
    </row>
    <row r="1254" spans="1:42" x14ac:dyDescent="0.25">
      <c r="A1254" s="370" t="s">
        <v>295</v>
      </c>
      <c r="B1254" s="179"/>
      <c r="C1254" s="109"/>
      <c r="D1254" s="117"/>
      <c r="E1254" s="179"/>
      <c r="F1254" s="179"/>
      <c r="G1254" s="117"/>
      <c r="H1254" s="179"/>
      <c r="I1254" s="179"/>
      <c r="J1254" s="179"/>
      <c r="K1254" s="117"/>
      <c r="L1254" s="179"/>
      <c r="M1254" s="179"/>
      <c r="N1254" s="179"/>
      <c r="O1254" s="117"/>
      <c r="P1254" s="179"/>
      <c r="Q1254" s="179"/>
      <c r="R1254" s="179"/>
      <c r="S1254" s="117"/>
      <c r="T1254" s="179"/>
      <c r="U1254" s="179"/>
      <c r="V1254" s="44"/>
      <c r="W1254" s="44"/>
      <c r="X1254" s="374"/>
      <c r="Y1254" s="374"/>
      <c r="Z1254" s="374"/>
      <c r="AA1254" s="374"/>
      <c r="AB1254" s="375"/>
      <c r="AC1254" s="375"/>
      <c r="AD1254" s="375"/>
      <c r="AE1254" s="375"/>
      <c r="AF1254" s="373"/>
      <c r="AG1254" s="373"/>
      <c r="AH1254" s="236"/>
      <c r="AI1254" s="44"/>
      <c r="AJ1254" s="372"/>
      <c r="AK1254" s="44"/>
      <c r="AL1254" s="44"/>
      <c r="AM1254" s="44"/>
      <c r="AN1254" s="44"/>
      <c r="AO1254" s="44"/>
      <c r="AP1254" s="44"/>
    </row>
    <row r="1255" spans="1:42" x14ac:dyDescent="0.25">
      <c r="A1255" s="92" t="s">
        <v>292</v>
      </c>
      <c r="C1255" s="109"/>
      <c r="D1255" s="117"/>
      <c r="F1255" s="108"/>
      <c r="G1255" s="117"/>
      <c r="K1255" s="117"/>
      <c r="O1255" s="117"/>
      <c r="S1255" s="117"/>
      <c r="V1255" s="44"/>
      <c r="W1255" s="44"/>
      <c r="X1255" s="374"/>
      <c r="Y1255" s="374"/>
      <c r="Z1255" s="374"/>
      <c r="AA1255" s="374"/>
      <c r="AB1255" s="375"/>
      <c r="AC1255" s="375"/>
      <c r="AD1255" s="375"/>
      <c r="AE1255" s="375"/>
      <c r="AF1255" s="373"/>
      <c r="AG1255" s="373"/>
      <c r="AH1255" s="236"/>
      <c r="AI1255" s="44"/>
      <c r="AJ1255" s="372"/>
      <c r="AK1255" s="44"/>
      <c r="AL1255" s="44"/>
      <c r="AM1255" s="44"/>
      <c r="AN1255" s="44"/>
      <c r="AO1255" s="44"/>
      <c r="AP1255" s="44"/>
    </row>
    <row r="1256" spans="1:42" x14ac:dyDescent="0.25">
      <c r="A1256" s="92" t="s">
        <v>80</v>
      </c>
      <c r="C1256" s="109">
        <v>0</v>
      </c>
      <c r="D1256" s="110">
        <v>13.12</v>
      </c>
      <c r="F1256" s="111">
        <f>ROUND(C1256*D1256,0)</f>
        <v>0</v>
      </c>
      <c r="G1256" s="110">
        <v>13.43</v>
      </c>
      <c r="I1256" s="111">
        <f>ROUND(G1256*$C1256,0)</f>
        <v>0</v>
      </c>
      <c r="J1256" s="111"/>
      <c r="K1256" s="110" t="e">
        <v>#DIV/0!</v>
      </c>
      <c r="M1256" s="111" t="e">
        <v>#DIV/0!</v>
      </c>
      <c r="N1256" s="111"/>
      <c r="O1256" s="110" t="e">
        <v>#DIV/0!</v>
      </c>
      <c r="Q1256" s="111" t="e">
        <v>#DIV/0!</v>
      </c>
      <c r="R1256" s="111"/>
      <c r="S1256" s="110" t="e">
        <v>#DIV/0!</v>
      </c>
      <c r="U1256" s="111" t="e">
        <v>#DIV/0!</v>
      </c>
      <c r="V1256" s="44"/>
      <c r="W1256" s="158"/>
      <c r="X1256" s="91"/>
      <c r="Y1256" s="91"/>
      <c r="Z1256" s="347"/>
      <c r="AA1256" s="347"/>
      <c r="AB1256" s="160"/>
      <c r="AC1256" s="160"/>
      <c r="AD1256" s="160"/>
      <c r="AE1256" s="160"/>
      <c r="AF1256" s="373"/>
      <c r="AG1256" s="373"/>
      <c r="AH1256" s="158"/>
      <c r="AI1256" s="158"/>
      <c r="AJ1256" s="372"/>
      <c r="AK1256" s="158"/>
      <c r="AL1256" s="44"/>
      <c r="AM1256" s="44"/>
      <c r="AN1256" s="44"/>
      <c r="AO1256" s="44"/>
      <c r="AP1256" s="44"/>
    </row>
    <row r="1257" spans="1:42" x14ac:dyDescent="0.25">
      <c r="A1257" s="92" t="s">
        <v>81</v>
      </c>
      <c r="C1257" s="109">
        <v>0</v>
      </c>
      <c r="D1257" s="110">
        <v>21.33</v>
      </c>
      <c r="F1257" s="111">
        <f>ROUND(C1257*D1257,0)</f>
        <v>0</v>
      </c>
      <c r="G1257" s="110">
        <v>21.83</v>
      </c>
      <c r="I1257" s="111">
        <f>ROUND(G1257*$C1257,0)</f>
        <v>0</v>
      </c>
      <c r="J1257" s="111"/>
      <c r="K1257" s="110" t="e">
        <v>#DIV/0!</v>
      </c>
      <c r="M1257" s="111" t="e">
        <v>#DIV/0!</v>
      </c>
      <c r="N1257" s="111"/>
      <c r="O1257" s="110" t="e">
        <v>#DIV/0!</v>
      </c>
      <c r="Q1257" s="111" t="e">
        <v>#DIV/0!</v>
      </c>
      <c r="R1257" s="111"/>
      <c r="S1257" s="110" t="e">
        <v>#DIV/0!</v>
      </c>
      <c r="U1257" s="111" t="e">
        <v>#DIV/0!</v>
      </c>
      <c r="V1257" s="44"/>
      <c r="W1257" s="158"/>
      <c r="X1257" s="91"/>
      <c r="Y1257" s="91"/>
      <c r="Z1257" s="347"/>
      <c r="AA1257" s="347"/>
      <c r="AB1257" s="160"/>
      <c r="AC1257" s="160"/>
      <c r="AD1257" s="160"/>
      <c r="AE1257" s="160"/>
      <c r="AF1257" s="373"/>
      <c r="AG1257" s="373"/>
      <c r="AH1257" s="158"/>
      <c r="AI1257" s="158"/>
      <c r="AJ1257" s="372"/>
      <c r="AK1257" s="158"/>
      <c r="AL1257" s="44"/>
      <c r="AM1257" s="44"/>
      <c r="AN1257" s="44"/>
      <c r="AO1257" s="44"/>
      <c r="AP1257" s="44"/>
    </row>
    <row r="1258" spans="1:42" x14ac:dyDescent="0.25">
      <c r="A1258" s="92" t="s">
        <v>82</v>
      </c>
      <c r="C1258" s="109">
        <v>0</v>
      </c>
      <c r="D1258" s="110">
        <v>40.19</v>
      </c>
      <c r="F1258" s="111">
        <f>ROUND(C1258*D1258,0)</f>
        <v>0</v>
      </c>
      <c r="G1258" s="110">
        <v>41.13</v>
      </c>
      <c r="I1258" s="111">
        <f>ROUND(G1258*$C1258,0)</f>
        <v>0</v>
      </c>
      <c r="J1258" s="111"/>
      <c r="K1258" s="110" t="e">
        <v>#DIV/0!</v>
      </c>
      <c r="M1258" s="111" t="e">
        <v>#DIV/0!</v>
      </c>
      <c r="N1258" s="111"/>
      <c r="O1258" s="110" t="e">
        <v>#DIV/0!</v>
      </c>
      <c r="Q1258" s="111" t="e">
        <v>#DIV/0!</v>
      </c>
      <c r="R1258" s="111"/>
      <c r="S1258" s="110" t="e">
        <v>#DIV/0!</v>
      </c>
      <c r="U1258" s="111" t="e">
        <v>#DIV/0!</v>
      </c>
      <c r="V1258" s="44"/>
      <c r="W1258" s="158"/>
      <c r="X1258" s="91"/>
      <c r="Y1258" s="91"/>
      <c r="Z1258" s="347"/>
      <c r="AA1258" s="347"/>
      <c r="AB1258" s="160"/>
      <c r="AC1258" s="160"/>
      <c r="AD1258" s="160"/>
      <c r="AE1258" s="160"/>
      <c r="AF1258" s="373"/>
      <c r="AG1258" s="373"/>
      <c r="AH1258" s="158"/>
      <c r="AI1258" s="158"/>
      <c r="AJ1258" s="372"/>
      <c r="AK1258" s="158"/>
      <c r="AL1258" s="44"/>
      <c r="AM1258" s="44"/>
      <c r="AN1258" s="44"/>
      <c r="AO1258" s="44"/>
      <c r="AP1258" s="44"/>
    </row>
    <row r="1259" spans="1:42" x14ac:dyDescent="0.25">
      <c r="A1259" s="92" t="s">
        <v>293</v>
      </c>
      <c r="C1259" s="109"/>
      <c r="D1259" s="117"/>
      <c r="F1259" s="108"/>
      <c r="G1259" s="117"/>
      <c r="K1259" s="117"/>
      <c r="O1259" s="117"/>
      <c r="S1259" s="117"/>
      <c r="V1259" s="44"/>
      <c r="W1259" s="44"/>
      <c r="X1259" s="374"/>
      <c r="Y1259" s="374"/>
      <c r="Z1259" s="374"/>
      <c r="AA1259" s="374"/>
      <c r="AB1259" s="375"/>
      <c r="AC1259" s="375"/>
      <c r="AD1259" s="375"/>
      <c r="AE1259" s="375"/>
      <c r="AF1259" s="373"/>
      <c r="AG1259" s="373"/>
      <c r="AH1259" s="236"/>
      <c r="AI1259" s="44"/>
      <c r="AJ1259" s="372"/>
      <c r="AK1259" s="44"/>
      <c r="AL1259" s="44"/>
      <c r="AM1259" s="44"/>
      <c r="AN1259" s="44"/>
      <c r="AO1259" s="44"/>
      <c r="AP1259" s="44"/>
    </row>
    <row r="1260" spans="1:42" x14ac:dyDescent="0.25">
      <c r="A1260" s="92" t="s">
        <v>80</v>
      </c>
      <c r="C1260" s="109">
        <v>0</v>
      </c>
      <c r="D1260" s="110">
        <v>12.43</v>
      </c>
      <c r="F1260" s="111">
        <f>ROUND(C1260*D1260,0)</f>
        <v>0</v>
      </c>
      <c r="G1260" s="110">
        <v>12.72</v>
      </c>
      <c r="I1260" s="111">
        <f>ROUND(G1260*$C1260,0)</f>
        <v>0</v>
      </c>
      <c r="J1260" s="111"/>
      <c r="K1260" s="110" t="e">
        <v>#DIV/0!</v>
      </c>
      <c r="M1260" s="111" t="e">
        <v>#DIV/0!</v>
      </c>
      <c r="N1260" s="111"/>
      <c r="O1260" s="110" t="e">
        <v>#DIV/0!</v>
      </c>
      <c r="Q1260" s="111" t="e">
        <v>#DIV/0!</v>
      </c>
      <c r="R1260" s="111"/>
      <c r="S1260" s="110" t="e">
        <v>#DIV/0!</v>
      </c>
      <c r="U1260" s="111" t="e">
        <v>#DIV/0!</v>
      </c>
      <c r="V1260" s="44"/>
      <c r="W1260" s="158"/>
      <c r="X1260" s="91"/>
      <c r="Y1260" s="91"/>
      <c r="Z1260" s="347"/>
      <c r="AA1260" s="347"/>
      <c r="AB1260" s="160"/>
      <c r="AC1260" s="160"/>
      <c r="AD1260" s="160"/>
      <c r="AE1260" s="160"/>
      <c r="AF1260" s="373"/>
      <c r="AG1260" s="373"/>
      <c r="AH1260" s="158"/>
      <c r="AI1260" s="158"/>
      <c r="AJ1260" s="372"/>
      <c r="AK1260" s="158"/>
      <c r="AL1260" s="44"/>
      <c r="AM1260" s="44"/>
      <c r="AN1260" s="44"/>
      <c r="AO1260" s="44"/>
      <c r="AP1260" s="44"/>
    </row>
    <row r="1261" spans="1:42" x14ac:dyDescent="0.25">
      <c r="A1261" s="92" t="s">
        <v>81</v>
      </c>
      <c r="C1261" s="109">
        <v>0</v>
      </c>
      <c r="D1261" s="110">
        <v>20.13</v>
      </c>
      <c r="F1261" s="111">
        <f>ROUND(C1261*D1261,0)</f>
        <v>0</v>
      </c>
      <c r="G1261" s="110">
        <v>20.6</v>
      </c>
      <c r="I1261" s="111">
        <f>ROUND(G1261*$C1261,0)</f>
        <v>0</v>
      </c>
      <c r="J1261" s="111"/>
      <c r="K1261" s="110" t="e">
        <v>#DIV/0!</v>
      </c>
      <c r="M1261" s="111" t="e">
        <v>#DIV/0!</v>
      </c>
      <c r="N1261" s="111"/>
      <c r="O1261" s="110" t="e">
        <v>#DIV/0!</v>
      </c>
      <c r="Q1261" s="111" t="e">
        <v>#DIV/0!</v>
      </c>
      <c r="R1261" s="111"/>
      <c r="S1261" s="110" t="e">
        <v>#DIV/0!</v>
      </c>
      <c r="U1261" s="111" t="e">
        <v>#DIV/0!</v>
      </c>
      <c r="V1261" s="44"/>
      <c r="W1261" s="158"/>
      <c r="X1261" s="91"/>
      <c r="Y1261" s="91"/>
      <c r="Z1261" s="347"/>
      <c r="AA1261" s="347"/>
      <c r="AB1261" s="160"/>
      <c r="AC1261" s="160"/>
      <c r="AD1261" s="160"/>
      <c r="AE1261" s="160"/>
      <c r="AF1261" s="373"/>
      <c r="AG1261" s="373"/>
      <c r="AH1261" s="158"/>
      <c r="AI1261" s="158"/>
      <c r="AJ1261" s="372"/>
      <c r="AK1261" s="158"/>
      <c r="AL1261" s="44"/>
      <c r="AM1261" s="44"/>
      <c r="AN1261" s="44"/>
      <c r="AO1261" s="44"/>
      <c r="AP1261" s="44"/>
    </row>
    <row r="1262" spans="1:42" x14ac:dyDescent="0.25">
      <c r="A1262" s="370" t="s">
        <v>296</v>
      </c>
      <c r="B1262" s="179"/>
      <c r="C1262" s="109"/>
      <c r="D1262" s="117"/>
      <c r="E1262" s="179"/>
      <c r="F1262" s="179"/>
      <c r="G1262" s="117"/>
      <c r="H1262" s="179"/>
      <c r="I1262" s="179"/>
      <c r="J1262" s="179"/>
      <c r="K1262" s="117"/>
      <c r="L1262" s="179"/>
      <c r="M1262" s="179"/>
      <c r="N1262" s="179"/>
      <c r="O1262" s="117"/>
      <c r="P1262" s="179"/>
      <c r="Q1262" s="179"/>
      <c r="R1262" s="179"/>
      <c r="S1262" s="117"/>
      <c r="T1262" s="179"/>
      <c r="U1262" s="179"/>
      <c r="V1262" s="44"/>
      <c r="W1262" s="44"/>
      <c r="X1262" s="374"/>
      <c r="Y1262" s="374"/>
      <c r="Z1262" s="374"/>
      <c r="AA1262" s="374"/>
      <c r="AB1262" s="375"/>
      <c r="AC1262" s="375"/>
      <c r="AD1262" s="375"/>
      <c r="AE1262" s="375"/>
      <c r="AF1262" s="373"/>
      <c r="AG1262" s="373"/>
      <c r="AH1262" s="236"/>
      <c r="AI1262" s="44"/>
      <c r="AJ1262" s="372"/>
      <c r="AK1262" s="44"/>
      <c r="AL1262" s="44"/>
      <c r="AM1262" s="44"/>
      <c r="AN1262" s="44"/>
      <c r="AO1262" s="44"/>
      <c r="AP1262" s="44"/>
    </row>
    <row r="1263" spans="1:42" x14ac:dyDescent="0.25">
      <c r="A1263" s="92" t="s">
        <v>80</v>
      </c>
      <c r="C1263" s="109">
        <v>335.96501937771501</v>
      </c>
      <c r="D1263" s="110">
        <v>10.5</v>
      </c>
      <c r="F1263" s="111">
        <f>ROUND(C1263*D1263,0)</f>
        <v>3528</v>
      </c>
      <c r="G1263" s="110">
        <v>10.75</v>
      </c>
      <c r="I1263" s="111">
        <f>ROUND(G1263*$C1263,0)</f>
        <v>3612</v>
      </c>
      <c r="J1263" s="111"/>
      <c r="K1263" s="110" t="e">
        <v>#DIV/0!</v>
      </c>
      <c r="M1263" s="111" t="e">
        <v>#DIV/0!</v>
      </c>
      <c r="N1263" s="111"/>
      <c r="O1263" s="110" t="e">
        <v>#DIV/0!</v>
      </c>
      <c r="Q1263" s="111" t="e">
        <v>#DIV/0!</v>
      </c>
      <c r="R1263" s="111"/>
      <c r="S1263" s="110" t="e">
        <v>#DIV/0!</v>
      </c>
      <c r="U1263" s="111" t="e">
        <v>#DIV/0!</v>
      </c>
      <c r="V1263" s="44"/>
      <c r="W1263" s="158"/>
      <c r="X1263" s="91"/>
      <c r="Y1263" s="91"/>
      <c r="Z1263" s="347"/>
      <c r="AA1263" s="347"/>
      <c r="AB1263" s="160"/>
      <c r="AC1263" s="160"/>
      <c r="AD1263" s="160"/>
      <c r="AE1263" s="160"/>
      <c r="AF1263" s="373"/>
      <c r="AG1263" s="373"/>
      <c r="AH1263" s="158"/>
      <c r="AI1263" s="158"/>
      <c r="AJ1263" s="372"/>
      <c r="AK1263" s="158"/>
      <c r="AL1263" s="44"/>
      <c r="AM1263" s="44"/>
      <c r="AN1263" s="44"/>
      <c r="AO1263" s="44"/>
      <c r="AP1263" s="44"/>
    </row>
    <row r="1264" spans="1:42" x14ac:dyDescent="0.25">
      <c r="A1264" s="92" t="s">
        <v>81</v>
      </c>
      <c r="C1264" s="109">
        <v>758.71802767756799</v>
      </c>
      <c r="D1264" s="110">
        <v>18.39</v>
      </c>
      <c r="F1264" s="111">
        <f>ROUND(C1264*D1264,0)</f>
        <v>13953</v>
      </c>
      <c r="G1264" s="110">
        <v>18.82</v>
      </c>
      <c r="I1264" s="111">
        <f>ROUND(G1264*$C1264,0)</f>
        <v>14279</v>
      </c>
      <c r="J1264" s="111"/>
      <c r="K1264" s="110" t="e">
        <v>#DIV/0!</v>
      </c>
      <c r="M1264" s="111" t="e">
        <v>#DIV/0!</v>
      </c>
      <c r="N1264" s="111"/>
      <c r="O1264" s="110" t="e">
        <v>#DIV/0!</v>
      </c>
      <c r="Q1264" s="111" t="e">
        <v>#DIV/0!</v>
      </c>
      <c r="R1264" s="111"/>
      <c r="S1264" s="110" t="e">
        <v>#DIV/0!</v>
      </c>
      <c r="U1264" s="111" t="e">
        <v>#DIV/0!</v>
      </c>
      <c r="V1264" s="44"/>
      <c r="W1264" s="158"/>
      <c r="X1264" s="91"/>
      <c r="Y1264" s="91"/>
      <c r="Z1264" s="347"/>
      <c r="AA1264" s="347"/>
      <c r="AB1264" s="160"/>
      <c r="AC1264" s="160"/>
      <c r="AD1264" s="160"/>
      <c r="AE1264" s="160"/>
      <c r="AF1264" s="373"/>
      <c r="AG1264" s="373"/>
      <c r="AH1264" s="158"/>
      <c r="AI1264" s="158"/>
      <c r="AJ1264" s="372"/>
      <c r="AK1264" s="158"/>
      <c r="AL1264" s="44"/>
      <c r="AM1264" s="44"/>
      <c r="AN1264" s="44"/>
      <c r="AO1264" s="44"/>
      <c r="AP1264" s="44"/>
    </row>
    <row r="1265" spans="1:44" x14ac:dyDescent="0.25">
      <c r="A1265" s="92" t="s">
        <v>82</v>
      </c>
      <c r="C1265" s="109">
        <v>0</v>
      </c>
      <c r="D1265" s="110">
        <v>39.28</v>
      </c>
      <c r="F1265" s="111">
        <f>ROUND(C1265*D1265,0)</f>
        <v>0</v>
      </c>
      <c r="G1265" s="110">
        <v>40.200000000000003</v>
      </c>
      <c r="I1265" s="111">
        <f>ROUND(G1265*$C1265,0)</f>
        <v>0</v>
      </c>
      <c r="J1265" s="111"/>
      <c r="K1265" s="110" t="e">
        <v>#DIV/0!</v>
      </c>
      <c r="M1265" s="111" t="e">
        <v>#DIV/0!</v>
      </c>
      <c r="N1265" s="111"/>
      <c r="O1265" s="110" t="e">
        <v>#DIV/0!</v>
      </c>
      <c r="Q1265" s="111" t="e">
        <v>#DIV/0!</v>
      </c>
      <c r="R1265" s="111"/>
      <c r="S1265" s="110" t="e">
        <v>#DIV/0!</v>
      </c>
      <c r="U1265" s="111" t="e">
        <v>#DIV/0!</v>
      </c>
      <c r="V1265" s="44"/>
      <c r="W1265" s="158"/>
      <c r="X1265" s="91"/>
      <c r="Y1265" s="91"/>
      <c r="Z1265" s="347"/>
      <c r="AA1265" s="347"/>
      <c r="AB1265" s="160"/>
      <c r="AC1265" s="160"/>
      <c r="AD1265" s="160"/>
      <c r="AE1265" s="160"/>
      <c r="AF1265" s="373"/>
      <c r="AG1265" s="373"/>
      <c r="AH1265" s="158"/>
      <c r="AI1265" s="158"/>
      <c r="AJ1265" s="372"/>
      <c r="AK1265" s="158"/>
      <c r="AL1265" s="44"/>
      <c r="AM1265" s="44"/>
      <c r="AN1265" s="44"/>
      <c r="AO1265" s="44"/>
      <c r="AP1265" s="44"/>
    </row>
    <row r="1266" spans="1:44" x14ac:dyDescent="0.25">
      <c r="A1266" s="376" t="s">
        <v>297</v>
      </c>
      <c r="C1266" s="109"/>
      <c r="D1266" s="110"/>
      <c r="F1266" s="111"/>
      <c r="G1266" s="110"/>
      <c r="I1266" s="111"/>
      <c r="J1266" s="111"/>
      <c r="K1266" s="110"/>
      <c r="M1266" s="111"/>
      <c r="N1266" s="111"/>
      <c r="O1266" s="110"/>
      <c r="Q1266" s="111"/>
      <c r="R1266" s="111"/>
      <c r="S1266" s="110"/>
      <c r="U1266" s="111"/>
      <c r="V1266" s="44"/>
      <c r="W1266" s="44"/>
      <c r="X1266" s="374"/>
      <c r="Y1266" s="374"/>
      <c r="Z1266" s="374"/>
      <c r="AA1266" s="374"/>
      <c r="AB1266" s="377"/>
      <c r="AC1266" s="377"/>
      <c r="AD1266" s="377"/>
      <c r="AE1266" s="377"/>
      <c r="AF1266" s="373"/>
      <c r="AG1266" s="373"/>
      <c r="AH1266" s="236"/>
      <c r="AI1266" s="44"/>
      <c r="AJ1266" s="372"/>
      <c r="AK1266" s="44"/>
      <c r="AL1266" s="44"/>
      <c r="AM1266" s="44"/>
      <c r="AN1266" s="44"/>
      <c r="AO1266" s="44"/>
      <c r="AP1266" s="44"/>
    </row>
    <row r="1267" spans="1:44" x14ac:dyDescent="0.25">
      <c r="A1267" s="92" t="s">
        <v>298</v>
      </c>
      <c r="C1267" s="109">
        <v>0</v>
      </c>
      <c r="D1267" s="110">
        <v>37.700000000000003</v>
      </c>
      <c r="F1267" s="111">
        <f>ROUND(C1267*D1267,0)</f>
        <v>0</v>
      </c>
      <c r="G1267" s="110">
        <v>38.58</v>
      </c>
      <c r="I1267" s="111">
        <f>ROUND(G1267*$C1267,0)</f>
        <v>0</v>
      </c>
      <c r="J1267" s="111"/>
      <c r="K1267" s="110" t="e">
        <v>#DIV/0!</v>
      </c>
      <c r="M1267" s="111" t="e">
        <v>#DIV/0!</v>
      </c>
      <c r="N1267" s="111"/>
      <c r="O1267" s="110" t="e">
        <v>#DIV/0!</v>
      </c>
      <c r="Q1267" s="111" t="e">
        <v>#DIV/0!</v>
      </c>
      <c r="R1267" s="111"/>
      <c r="S1267" s="110" t="e">
        <v>#DIV/0!</v>
      </c>
      <c r="U1267" s="111" t="e">
        <v>#DIV/0!</v>
      </c>
      <c r="V1267" s="44"/>
      <c r="W1267" s="158"/>
      <c r="X1267" s="91"/>
      <c r="Y1267" s="91"/>
      <c r="Z1267" s="347"/>
      <c r="AA1267" s="347"/>
      <c r="AB1267" s="160"/>
      <c r="AC1267" s="160"/>
      <c r="AD1267" s="160"/>
      <c r="AE1267" s="160"/>
      <c r="AF1267" s="373"/>
      <c r="AG1267" s="373"/>
      <c r="AH1267" s="158"/>
      <c r="AI1267" s="158"/>
      <c r="AJ1267" s="372"/>
      <c r="AK1267" s="158"/>
      <c r="AL1267" s="44"/>
      <c r="AM1267" s="44"/>
      <c r="AN1267" s="44"/>
      <c r="AO1267" s="44"/>
      <c r="AP1267" s="44"/>
    </row>
    <row r="1268" spans="1:44" x14ac:dyDescent="0.25">
      <c r="A1268" s="92" t="s">
        <v>90</v>
      </c>
      <c r="C1268" s="109">
        <v>418</v>
      </c>
      <c r="D1268" s="378"/>
      <c r="F1268" s="111"/>
      <c r="G1268" s="378"/>
      <c r="I1268" s="111"/>
      <c r="J1268" s="111"/>
      <c r="K1268" s="378"/>
      <c r="M1268" s="111"/>
      <c r="N1268" s="111"/>
      <c r="O1268" s="378"/>
      <c r="Q1268" s="111"/>
      <c r="R1268" s="111"/>
      <c r="S1268" s="378"/>
      <c r="U1268" s="111"/>
      <c r="V1268" s="44"/>
      <c r="W1268" s="158"/>
      <c r="X1268" s="379"/>
      <c r="Y1268" s="379"/>
      <c r="Z1268" s="44"/>
      <c r="AA1268" s="44"/>
      <c r="AB1268" s="163"/>
      <c r="AC1268" s="163"/>
      <c r="AD1268" s="163"/>
      <c r="AE1268" s="163"/>
      <c r="AF1268" s="155"/>
      <c r="AG1268" s="155"/>
      <c r="AH1268" s="158"/>
      <c r="AI1268" s="158"/>
      <c r="AJ1268" s="158"/>
      <c r="AK1268" s="158"/>
      <c r="AL1268" s="44"/>
      <c r="AM1268" s="44"/>
      <c r="AN1268" s="44"/>
      <c r="AO1268" s="44"/>
      <c r="AP1268" s="44"/>
    </row>
    <row r="1269" spans="1:44" s="120" customFormat="1" hidden="1" x14ac:dyDescent="0.25">
      <c r="A1269" s="119" t="s">
        <v>253</v>
      </c>
      <c r="C1269" s="121">
        <f>C1270</f>
        <v>1731861.333333333</v>
      </c>
      <c r="D1269" s="128"/>
      <c r="E1269" s="122"/>
      <c r="F1269" s="123"/>
      <c r="G1269" s="124">
        <v>0</v>
      </c>
      <c r="H1269" s="256" t="s">
        <v>89</v>
      </c>
      <c r="I1269" s="256">
        <f>ROUND(G1269*$C1269/100,0)</f>
        <v>0</v>
      </c>
      <c r="J1269" s="256"/>
      <c r="K1269" s="124" t="s">
        <v>0</v>
      </c>
      <c r="L1269" s="125" t="s">
        <v>0</v>
      </c>
      <c r="M1269" s="111">
        <v>0</v>
      </c>
      <c r="N1269" s="123"/>
      <c r="O1269" s="124" t="s">
        <v>0</v>
      </c>
      <c r="P1269" s="125" t="s">
        <v>0</v>
      </c>
      <c r="Q1269" s="111">
        <v>0</v>
      </c>
      <c r="R1269" s="123"/>
      <c r="S1269" s="124">
        <v>0</v>
      </c>
      <c r="T1269" s="125" t="s">
        <v>89</v>
      </c>
      <c r="U1269" s="111">
        <v>0</v>
      </c>
      <c r="V1269" s="126">
        <v>39917.12454488509</v>
      </c>
      <c r="W1269" s="112" t="s">
        <v>205</v>
      </c>
      <c r="Z1269" s="127"/>
      <c r="AA1269" s="127"/>
      <c r="AF1269" s="122"/>
      <c r="AG1269" s="122"/>
      <c r="AH1269" s="122"/>
      <c r="AI1269" s="122"/>
      <c r="AJ1269" s="122"/>
      <c r="AK1269" s="122"/>
      <c r="AL1269" s="122"/>
      <c r="AM1269" s="122"/>
      <c r="AN1269" s="122"/>
      <c r="AO1269" s="122"/>
      <c r="AP1269" s="122"/>
      <c r="AR1269" s="126"/>
    </row>
    <row r="1270" spans="1:44" x14ac:dyDescent="0.25">
      <c r="A1270" s="92" t="s">
        <v>114</v>
      </c>
      <c r="C1270" s="109">
        <v>1731861.333333333</v>
      </c>
      <c r="D1270" s="128"/>
      <c r="E1270" s="44"/>
      <c r="F1270" s="131">
        <f>SUM(F1240:F1267)</f>
        <v>220001</v>
      </c>
      <c r="G1270" s="128"/>
      <c r="H1270" s="44"/>
      <c r="I1270" s="131">
        <f>SUM(I1240:I1269)</f>
        <v>225212</v>
      </c>
      <c r="J1270" s="131"/>
      <c r="K1270" s="128"/>
      <c r="L1270" s="44"/>
      <c r="M1270" s="131" t="e">
        <f>SUM(M1240:M1269)</f>
        <v>#DIV/0!</v>
      </c>
      <c r="N1270" s="131"/>
      <c r="O1270" s="128"/>
      <c r="P1270" s="44"/>
      <c r="Q1270" s="131" t="e">
        <f>SUM(Q1240:Q1269)</f>
        <v>#DIV/0!</v>
      </c>
      <c r="R1270" s="131"/>
      <c r="S1270" s="128"/>
      <c r="T1270" s="44"/>
      <c r="U1270" s="131" t="e">
        <f>SUM(U1240:U1269)</f>
        <v>#DIV/0!</v>
      </c>
      <c r="V1270" s="44"/>
      <c r="W1270" s="158"/>
      <c r="X1270" s="380"/>
      <c r="Y1270" s="380"/>
      <c r="Z1270" s="44"/>
      <c r="AA1270" s="44"/>
      <c r="AB1270" s="163"/>
      <c r="AC1270" s="163"/>
      <c r="AD1270" s="163"/>
      <c r="AE1270" s="163"/>
      <c r="AF1270" s="155"/>
      <c r="AG1270" s="155"/>
      <c r="AH1270" s="164"/>
      <c r="AI1270" s="155"/>
      <c r="AJ1270" s="155"/>
      <c r="AK1270" s="155"/>
      <c r="AL1270" s="44"/>
      <c r="AM1270" s="44"/>
      <c r="AN1270" s="44"/>
      <c r="AO1270" s="44"/>
      <c r="AP1270" s="44"/>
    </row>
    <row r="1271" spans="1:44" x14ac:dyDescent="0.25">
      <c r="A1271" s="92" t="s">
        <v>92</v>
      </c>
      <c r="C1271" s="109">
        <v>21931.845042180139</v>
      </c>
      <c r="D1271" s="128"/>
      <c r="E1271" s="44"/>
      <c r="F1271" s="131">
        <v>3415.4619210236751</v>
      </c>
      <c r="G1271" s="128"/>
      <c r="H1271" s="44"/>
      <c r="I1271" s="131">
        <f>F1271</f>
        <v>3415.4619210236751</v>
      </c>
      <c r="J1271" s="131"/>
      <c r="K1271" s="128"/>
      <c r="L1271" s="44"/>
      <c r="M1271" s="131" t="e">
        <f>$I$1271*V1275/($V$1275+$W$1275+$X$1275)</f>
        <v>#DIV/0!</v>
      </c>
      <c r="N1271" s="133"/>
      <c r="O1271" s="134"/>
      <c r="P1271" s="134"/>
      <c r="Q1271" s="131" t="e">
        <f>$I$1271*W1275/($V$1275+$W$1275+$X$1275)</f>
        <v>#DIV/0!</v>
      </c>
      <c r="R1271" s="133"/>
      <c r="S1271" s="134"/>
      <c r="T1271" s="134"/>
      <c r="U1271" s="131" t="e">
        <f>$I$1271*X1275/($V$1275+$W$1275+$X$1275)</f>
        <v>#DIV/0!</v>
      </c>
      <c r="V1271" s="165"/>
      <c r="W1271" s="163"/>
      <c r="X1271" s="155"/>
      <c r="Y1271" s="155"/>
      <c r="Z1271" s="155"/>
      <c r="AA1271" s="155"/>
      <c r="AB1271" s="160"/>
      <c r="AC1271" s="160"/>
      <c r="AD1271" s="160"/>
      <c r="AE1271" s="160"/>
      <c r="AF1271" s="158"/>
      <c r="AG1271" s="155"/>
      <c r="AH1271" s="44"/>
      <c r="AI1271" s="44"/>
      <c r="AJ1271" s="44"/>
      <c r="AK1271" s="44"/>
      <c r="AL1271" s="44"/>
      <c r="AM1271" s="44"/>
      <c r="AN1271" s="44"/>
      <c r="AO1271" s="44"/>
      <c r="AP1271" s="44"/>
    </row>
    <row r="1272" spans="1:44" ht="16.5" thickBot="1" x14ac:dyDescent="0.3">
      <c r="A1272" s="92" t="s">
        <v>93</v>
      </c>
      <c r="C1272" s="136">
        <f>C1270+C1271</f>
        <v>1753793.1783755131</v>
      </c>
      <c r="D1272" s="137"/>
      <c r="E1272" s="137"/>
      <c r="F1272" s="138">
        <f>F1270+F1271</f>
        <v>223416.46192102367</v>
      </c>
      <c r="G1272" s="137"/>
      <c r="H1272" s="137"/>
      <c r="I1272" s="138">
        <f>I1270+I1271</f>
        <v>228627.46192102367</v>
      </c>
      <c r="J1272" s="137"/>
      <c r="K1272" s="137"/>
      <c r="L1272" s="137"/>
      <c r="M1272" s="138" t="e">
        <f>M1270+M1271</f>
        <v>#DIV/0!</v>
      </c>
      <c r="N1272" s="137"/>
      <c r="O1272" s="137"/>
      <c r="P1272" s="137"/>
      <c r="Q1272" s="138" t="e">
        <f>Q1270+Q1271</f>
        <v>#DIV/0!</v>
      </c>
      <c r="R1272" s="137"/>
      <c r="S1272" s="137"/>
      <c r="T1272" s="137"/>
      <c r="U1272" s="138" t="e">
        <f>U1270+U1271</f>
        <v>#DIV/0!</v>
      </c>
      <c r="V1272" s="350" t="s">
        <v>146</v>
      </c>
      <c r="W1272" s="140">
        <v>228667.99996226982</v>
      </c>
      <c r="X1272" s="141">
        <f>(I1272-F1272)/F1272</f>
        <v>2.3324154161218684E-2</v>
      </c>
      <c r="Y1272" s="342"/>
      <c r="Z1272" s="155"/>
      <c r="AA1272" s="155"/>
      <c r="AB1272" s="155"/>
      <c r="AC1272" s="155"/>
      <c r="AD1272" s="155"/>
      <c r="AE1272" s="155"/>
      <c r="AF1272" s="155"/>
      <c r="AG1272" s="155"/>
      <c r="AH1272" s="44"/>
      <c r="AI1272" s="44"/>
      <c r="AJ1272" s="44"/>
      <c r="AK1272" s="44"/>
      <c r="AL1272" s="44"/>
      <c r="AM1272" s="44"/>
      <c r="AN1272" s="44"/>
      <c r="AO1272" s="44"/>
      <c r="AP1272" s="44"/>
    </row>
    <row r="1273" spans="1:44" ht="16.5" thickTop="1" x14ac:dyDescent="0.25">
      <c r="A1273" s="143" t="s">
        <v>95</v>
      </c>
      <c r="C1273" s="381" t="s">
        <v>0</v>
      </c>
      <c r="D1273" s="148" t="s">
        <v>0</v>
      </c>
      <c r="E1273" s="148"/>
      <c r="F1273" s="108"/>
      <c r="G1273" s="148" t="s">
        <v>0</v>
      </c>
      <c r="H1273" s="148"/>
      <c r="I1273" s="111" t="s">
        <v>0</v>
      </c>
      <c r="J1273" s="111"/>
      <c r="K1273" s="148" t="s">
        <v>0</v>
      </c>
      <c r="L1273" s="148"/>
      <c r="M1273" s="111" t="s">
        <v>0</v>
      </c>
      <c r="N1273" s="111"/>
      <c r="O1273" s="148" t="s">
        <v>0</v>
      </c>
      <c r="P1273" s="148"/>
      <c r="Q1273" s="111" t="s">
        <v>0</v>
      </c>
      <c r="R1273" s="111"/>
      <c r="S1273" s="148" t="s">
        <v>0</v>
      </c>
      <c r="T1273" s="148"/>
      <c r="U1273" s="111" t="s">
        <v>0</v>
      </c>
      <c r="V1273" s="354" t="s">
        <v>96</v>
      </c>
      <c r="W1273" s="151">
        <f>W1272-I1272</f>
        <v>40.538041246152716</v>
      </c>
      <c r="X1273" s="355">
        <v>-0.14423</v>
      </c>
      <c r="Y1273" s="228"/>
      <c r="Z1273" s="155"/>
      <c r="AA1273" s="155"/>
      <c r="AB1273" s="155"/>
      <c r="AC1273" s="155"/>
      <c r="AD1273" s="155"/>
      <c r="AE1273" s="155"/>
      <c r="AF1273" s="155"/>
      <c r="AG1273" s="155"/>
      <c r="AH1273" s="44"/>
      <c r="AI1273" s="44"/>
      <c r="AJ1273" s="44"/>
      <c r="AK1273" s="44"/>
      <c r="AL1273" s="44"/>
      <c r="AM1273" s="44"/>
      <c r="AN1273" s="44"/>
      <c r="AO1273" s="44"/>
      <c r="AP1273" s="44"/>
    </row>
    <row r="1274" spans="1:44" x14ac:dyDescent="0.25">
      <c r="C1274" s="280"/>
      <c r="D1274" s="148"/>
      <c r="E1274" s="148"/>
      <c r="F1274" s="108"/>
      <c r="G1274" s="148"/>
      <c r="H1274" s="148"/>
      <c r="I1274" s="111"/>
      <c r="J1274" s="111"/>
      <c r="K1274" s="148"/>
      <c r="L1274" s="148"/>
      <c r="M1274" s="111"/>
      <c r="N1274" s="111"/>
      <c r="O1274" s="148"/>
      <c r="P1274" s="148"/>
      <c r="Q1274" s="111"/>
      <c r="R1274" s="111"/>
      <c r="S1274" s="148"/>
      <c r="T1274" s="148"/>
      <c r="U1274" s="111"/>
      <c r="V1274" s="153"/>
      <c r="W1274" s="153"/>
      <c r="X1274" s="153"/>
      <c r="Y1274" s="228"/>
      <c r="Z1274" s="155"/>
      <c r="AA1274" s="155"/>
      <c r="AB1274" s="155"/>
      <c r="AC1274" s="155"/>
      <c r="AD1274" s="155"/>
      <c r="AE1274" s="155"/>
      <c r="AF1274" s="155"/>
      <c r="AG1274" s="155"/>
      <c r="AH1274" s="44"/>
      <c r="AI1274" s="44"/>
      <c r="AJ1274" s="44"/>
      <c r="AK1274" s="44"/>
      <c r="AL1274" s="44"/>
      <c r="AM1274" s="44"/>
      <c r="AN1274" s="44"/>
      <c r="AO1274" s="44"/>
      <c r="AP1274" s="44"/>
    </row>
    <row r="1275" spans="1:44" x14ac:dyDescent="0.25">
      <c r="C1275" s="280"/>
      <c r="D1275" s="148"/>
      <c r="E1275" s="148"/>
      <c r="F1275" s="108"/>
      <c r="G1275" s="148"/>
      <c r="H1275" s="148"/>
      <c r="I1275" s="111"/>
      <c r="J1275" s="111"/>
      <c r="K1275" s="148"/>
      <c r="L1275" s="148"/>
      <c r="M1275" s="111"/>
      <c r="N1275" s="111"/>
      <c r="O1275" s="148"/>
      <c r="P1275" s="148"/>
      <c r="Q1275" s="111"/>
      <c r="R1275" s="111"/>
      <c r="S1275" s="148"/>
      <c r="T1275" s="148"/>
      <c r="U1275" s="111"/>
      <c r="V1275" s="146"/>
      <c r="W1275" s="146"/>
      <c r="X1275" s="146"/>
      <c r="Y1275" s="228"/>
      <c r="Z1275" s="155"/>
      <c r="AA1275" s="155"/>
      <c r="AB1275" s="155"/>
      <c r="AC1275" s="155"/>
      <c r="AD1275" s="155"/>
      <c r="AE1275" s="155"/>
      <c r="AF1275" s="155"/>
      <c r="AG1275" s="155"/>
      <c r="AH1275" s="44"/>
      <c r="AI1275" s="44"/>
      <c r="AJ1275" s="44"/>
      <c r="AK1275" s="44"/>
      <c r="AL1275" s="44"/>
      <c r="AM1275" s="44"/>
      <c r="AN1275" s="44"/>
      <c r="AO1275" s="44"/>
      <c r="AP1275" s="44"/>
    </row>
    <row r="1276" spans="1:44" x14ac:dyDescent="0.25">
      <c r="A1276" s="179"/>
      <c r="B1276" s="195"/>
      <c r="C1276" s="306"/>
      <c r="D1276" s="382"/>
      <c r="E1276" s="179"/>
      <c r="F1276" s="111"/>
      <c r="G1276" s="382"/>
      <c r="H1276" s="179"/>
      <c r="I1276" s="111"/>
      <c r="J1276" s="111"/>
      <c r="K1276" s="382"/>
      <c r="L1276" s="179"/>
      <c r="M1276" s="111"/>
      <c r="N1276" s="111"/>
      <c r="O1276" s="382"/>
      <c r="P1276" s="179"/>
      <c r="Q1276" s="111"/>
      <c r="R1276" s="111"/>
      <c r="S1276" s="382"/>
      <c r="T1276" s="179"/>
      <c r="U1276" s="111"/>
      <c r="V1276" s="44"/>
      <c r="W1276" s="91"/>
      <c r="X1276" s="91"/>
      <c r="Y1276" s="91"/>
      <c r="Z1276" s="44"/>
      <c r="AA1276" s="44"/>
      <c r="AB1276" s="44"/>
      <c r="AC1276" s="44"/>
      <c r="AD1276" s="44"/>
      <c r="AE1276" s="44"/>
      <c r="AF1276" s="44"/>
      <c r="AG1276" s="44"/>
      <c r="AH1276" s="44"/>
      <c r="AI1276" s="44"/>
      <c r="AJ1276" s="44"/>
      <c r="AK1276" s="44"/>
    </row>
    <row r="1277" spans="1:44" s="118" customFormat="1" ht="19.899999999999999" customHeight="1" thickBot="1" x14ac:dyDescent="0.3">
      <c r="A1277" s="238" t="s">
        <v>299</v>
      </c>
      <c r="B1277" s="195"/>
      <c r="C1277" s="383">
        <f>C27+C101+C205+C597+C637+C769+C897+C915+C1141+C1158+C1172+C1232+C1272</f>
        <v>4085100148.9150887</v>
      </c>
      <c r="D1277" s="384"/>
      <c r="E1277" s="385"/>
      <c r="F1277" s="385">
        <f>F27+F101+F205+F597+F637+F769+F897+F915+F1141+F1158+F1172+F1232+F1272</f>
        <v>340754727.06462985</v>
      </c>
      <c r="G1277" s="384"/>
      <c r="H1277" s="385"/>
      <c r="I1277" s="385">
        <f>I27+I101+I205+I597+I637+I769+I897+I953+I1010+I1104+I1141+I1158+I1172+I1232+I1272</f>
        <v>348753292.76729316</v>
      </c>
      <c r="J1277" s="385"/>
      <c r="K1277" s="384"/>
      <c r="L1277" s="385"/>
      <c r="M1277" s="385" t="e">
        <f>M27+M101+M205+M597+M637+M769+M897+M953+M1010+M1104+M1141+M1158+M1172+M1232+M1272</f>
        <v>#DIV/0!</v>
      </c>
      <c r="N1277" s="385"/>
      <c r="O1277" s="384"/>
      <c r="P1277" s="385"/>
      <c r="Q1277" s="385" t="e">
        <f>Q27+Q101+Q205+Q597+Q637+Q769+Q897+Q953+Q1010+Q1104+Q1141+Q1158+Q1172+Q1232+Q1272</f>
        <v>#DIV/0!</v>
      </c>
      <c r="R1277" s="385"/>
      <c r="S1277" s="384"/>
      <c r="T1277" s="385"/>
      <c r="U1277" s="385" t="e">
        <f>U27+U101+U205+U597+U637+U769+U897+U953+U1010+U1104+U1141+U1158+U1172+U1232+U1272</f>
        <v>#DIV/0!</v>
      </c>
      <c r="V1277" s="386" t="s">
        <v>146</v>
      </c>
      <c r="W1277" s="387">
        <f>W27+W101+W205+W637+W769+W934+W1104+W1141+W1158+W1172+W1232+W1272</f>
        <v>348753038.55906409</v>
      </c>
      <c r="X1277" s="91"/>
      <c r="Y1277" s="91"/>
      <c r="Z1277" s="199"/>
      <c r="AA1277" s="199"/>
      <c r="AB1277" s="199"/>
      <c r="AC1277" s="199"/>
      <c r="AD1277" s="199"/>
      <c r="AE1277" s="199"/>
      <c r="AF1277" s="199"/>
      <c r="AG1277" s="199"/>
      <c r="AH1277" s="199"/>
      <c r="AI1277" s="199"/>
      <c r="AJ1277" s="199"/>
      <c r="AK1277" s="199"/>
    </row>
    <row r="1278" spans="1:44" ht="16.5" thickTop="1" x14ac:dyDescent="0.25">
      <c r="A1278" s="149"/>
      <c r="B1278" s="195"/>
      <c r="C1278" s="226"/>
      <c r="D1278" s="226" t="s">
        <v>0</v>
      </c>
      <c r="E1278" s="149"/>
      <c r="F1278" s="111"/>
      <c r="G1278" s="250" t="s">
        <v>0</v>
      </c>
      <c r="H1278" s="149"/>
      <c r="I1278" s="111" t="s">
        <v>0</v>
      </c>
      <c r="J1278" s="388"/>
      <c r="K1278" s="250" t="s">
        <v>0</v>
      </c>
      <c r="L1278" s="149"/>
      <c r="M1278" s="111" t="s">
        <v>0</v>
      </c>
      <c r="N1278" s="111"/>
      <c r="O1278" s="250" t="s">
        <v>0</v>
      </c>
      <c r="P1278" s="149"/>
      <c r="Q1278" s="111" t="s">
        <v>0</v>
      </c>
      <c r="R1278" s="111"/>
      <c r="S1278" s="250" t="s">
        <v>0</v>
      </c>
      <c r="T1278" s="149"/>
      <c r="U1278" s="111" t="s">
        <v>0</v>
      </c>
      <c r="V1278" s="150" t="s">
        <v>96</v>
      </c>
      <c r="W1278" s="389">
        <f>W1277-I1277</f>
        <v>-254.20822906494141</v>
      </c>
      <c r="X1278" s="390" t="s">
        <v>0</v>
      </c>
      <c r="Y1278" s="390"/>
      <c r="Z1278" s="44"/>
      <c r="AA1278" s="44"/>
      <c r="AB1278" s="44"/>
      <c r="AC1278" s="44"/>
      <c r="AD1278" s="44"/>
      <c r="AE1278" s="44"/>
      <c r="AF1278" s="44"/>
      <c r="AG1278" s="44"/>
      <c r="AH1278" s="44"/>
      <c r="AI1278" s="44"/>
      <c r="AJ1278" s="44"/>
      <c r="AK1278" s="44"/>
    </row>
    <row r="1279" spans="1:44" x14ac:dyDescent="0.25">
      <c r="A1279" s="149" t="s">
        <v>300</v>
      </c>
      <c r="B1279" s="195"/>
      <c r="C1279" s="391"/>
      <c r="D1279" s="392"/>
      <c r="E1279" s="393"/>
      <c r="F1279" s="394">
        <v>594939.23</v>
      </c>
      <c r="G1279" s="395"/>
      <c r="H1279" s="393"/>
      <c r="I1279" s="394">
        <f>F1279</f>
        <v>594939.23</v>
      </c>
      <c r="J1279" s="133"/>
      <c r="K1279" s="395"/>
      <c r="L1279" s="393"/>
      <c r="M1279" s="394">
        <f>I1279</f>
        <v>594939.23</v>
      </c>
      <c r="N1279" s="396"/>
      <c r="O1279" s="395"/>
      <c r="P1279" s="393"/>
      <c r="Q1279" s="394" t="s">
        <v>0</v>
      </c>
      <c r="R1279" s="396"/>
      <c r="S1279" s="395"/>
      <c r="T1279" s="393"/>
      <c r="U1279" s="394" t="str">
        <f>Q1279</f>
        <v xml:space="preserve"> </v>
      </c>
      <c r="Z1279" s="44"/>
      <c r="AA1279" s="44"/>
      <c r="AB1279" s="44"/>
      <c r="AC1279" s="44"/>
      <c r="AD1279" s="44"/>
      <c r="AE1279" s="44"/>
      <c r="AF1279" s="44"/>
      <c r="AG1279" s="44"/>
      <c r="AH1279" s="44"/>
      <c r="AI1279" s="44"/>
      <c r="AJ1279" s="44"/>
      <c r="AK1279" s="44"/>
    </row>
    <row r="1280" spans="1:44" s="118" customFormat="1" ht="19.899999999999999" customHeight="1" thickBot="1" x14ac:dyDescent="0.3">
      <c r="A1280" s="397" t="s">
        <v>301</v>
      </c>
      <c r="B1280" s="398"/>
      <c r="C1280" s="399">
        <f>C1277+C1279</f>
        <v>4085100148.9150887</v>
      </c>
      <c r="D1280" s="400"/>
      <c r="E1280" s="401"/>
      <c r="F1280" s="402">
        <f>F1277+F1279</f>
        <v>341349666.29462987</v>
      </c>
      <c r="G1280" s="403"/>
      <c r="H1280" s="401"/>
      <c r="I1280" s="402">
        <f>I1277+I1279</f>
        <v>349348231.99729317</v>
      </c>
      <c r="J1280" s="404"/>
      <c r="K1280" s="403"/>
      <c r="L1280" s="401"/>
      <c r="M1280" s="402" t="e">
        <f>M1277+M1279</f>
        <v>#DIV/0!</v>
      </c>
      <c r="N1280" s="402"/>
      <c r="O1280" s="403"/>
      <c r="P1280" s="401"/>
      <c r="Q1280" s="402" t="e">
        <f>Q1277+Q1279</f>
        <v>#DIV/0!</v>
      </c>
      <c r="R1280" s="402"/>
      <c r="S1280" s="403"/>
      <c r="T1280" s="401"/>
      <c r="U1280" s="402" t="e">
        <f>U1277+U1279</f>
        <v>#DIV/0!</v>
      </c>
      <c r="Z1280" s="199"/>
      <c r="AA1280" s="199"/>
      <c r="AB1280" s="199"/>
      <c r="AC1280" s="199"/>
      <c r="AD1280" s="199"/>
      <c r="AE1280" s="199"/>
      <c r="AF1280" s="199"/>
      <c r="AG1280" s="199"/>
      <c r="AH1280" s="199"/>
      <c r="AI1280" s="199"/>
      <c r="AJ1280" s="199"/>
      <c r="AK1280" s="199"/>
    </row>
    <row r="1281" spans="1:37" ht="16.5" thickTop="1" x14ac:dyDescent="0.25">
      <c r="A1281" s="149"/>
      <c r="B1281" s="195"/>
      <c r="C1281" s="169"/>
      <c r="D1281" s="226"/>
      <c r="E1281" s="405"/>
      <c r="F1281" s="111" t="s">
        <v>0</v>
      </c>
      <c r="G1281" s="226"/>
      <c r="H1281" s="149"/>
      <c r="I1281" s="111"/>
      <c r="J1281" s="111"/>
      <c r="K1281" s="226"/>
      <c r="L1281" s="149"/>
      <c r="M1281" s="111"/>
      <c r="N1281" s="111"/>
      <c r="O1281" s="226"/>
      <c r="P1281" s="149"/>
      <c r="Q1281" s="111"/>
      <c r="R1281" s="111"/>
      <c r="S1281" s="226"/>
      <c r="T1281" s="149"/>
      <c r="U1281" s="111"/>
      <c r="V1281" s="44"/>
      <c r="W1281" s="91"/>
      <c r="X1281" s="91"/>
      <c r="Y1281" s="91"/>
      <c r="Z1281" s="44"/>
      <c r="AA1281" s="44"/>
      <c r="AB1281" s="44"/>
      <c r="AC1281" s="44"/>
      <c r="AD1281" s="44"/>
      <c r="AE1281" s="44"/>
      <c r="AF1281" s="44"/>
      <c r="AG1281" s="44"/>
      <c r="AH1281" s="44"/>
      <c r="AI1281" s="44"/>
      <c r="AJ1281" s="44"/>
      <c r="AK1281" s="44"/>
    </row>
    <row r="1282" spans="1:37" x14ac:dyDescent="0.25">
      <c r="C1282" s="280"/>
      <c r="D1282" s="129"/>
      <c r="E1282" s="129"/>
      <c r="F1282" s="406"/>
      <c r="I1282" s="109"/>
      <c r="J1282" s="109"/>
      <c r="M1282" s="109"/>
      <c r="N1282" s="109"/>
      <c r="Q1282" s="109"/>
      <c r="R1282" s="109"/>
      <c r="U1282" s="109"/>
      <c r="V1282" s="44"/>
      <c r="W1282" s="91"/>
      <c r="X1282" s="91"/>
      <c r="Y1282" s="91"/>
      <c r="Z1282" s="44"/>
      <c r="AA1282" s="44"/>
      <c r="AB1282" s="44"/>
      <c r="AC1282" s="44"/>
      <c r="AD1282" s="44"/>
      <c r="AE1282" s="44"/>
      <c r="AF1282" s="44"/>
      <c r="AG1282" s="44"/>
      <c r="AH1282" s="44"/>
      <c r="AI1282" s="44"/>
      <c r="AJ1282" s="44"/>
      <c r="AK1282" s="44"/>
    </row>
    <row r="1283" spans="1:37" x14ac:dyDescent="0.25">
      <c r="A1283" s="407"/>
      <c r="V1283" s="44"/>
      <c r="W1283" s="91"/>
      <c r="X1283" s="91"/>
      <c r="Y1283" s="91"/>
      <c r="Z1283" s="44"/>
      <c r="AA1283" s="44"/>
      <c r="AB1283" s="44"/>
      <c r="AC1283" s="44"/>
      <c r="AD1283" s="44"/>
      <c r="AE1283" s="44"/>
      <c r="AF1283" s="44"/>
      <c r="AG1283" s="44"/>
      <c r="AH1283" s="44"/>
      <c r="AI1283" s="44"/>
      <c r="AJ1283" s="44"/>
      <c r="AK1283" s="44"/>
    </row>
    <row r="1284" spans="1:37" x14ac:dyDescent="0.25">
      <c r="A1284" s="149"/>
      <c r="C1284" s="109"/>
      <c r="F1284" s="211"/>
      <c r="I1284" s="365" t="s">
        <v>0</v>
      </c>
      <c r="J1284" s="115"/>
      <c r="M1284" s="115">
        <f>M23+M95+M96+M183+M184+M185+M616+M617+M743+M894+M949+M1006+M1100+M1138+M1169+M1228+M1269</f>
        <v>0</v>
      </c>
      <c r="N1284" s="115"/>
      <c r="Q1284" s="115" t="e">
        <f>Q23+Q95+Q96+Q183+Q184+Q185+Q616+Q617+Q743+Q894+Q949+Q1006+Q1100+Q1138+Q1169+Q1228+Q1269</f>
        <v>#REF!</v>
      </c>
      <c r="R1284" s="115"/>
      <c r="U1284" s="115">
        <f>U23+U95+U96+U183+U184+U185+U616+U617+U743+U894+U949+U1006+U1100+U1138+U1169+U1228+U1269</f>
        <v>8572</v>
      </c>
      <c r="V1284" s="146" t="s">
        <v>0</v>
      </c>
      <c r="W1284" s="91"/>
      <c r="X1284" s="91"/>
      <c r="Y1284" s="91"/>
      <c r="Z1284" s="44"/>
      <c r="AA1284" s="44"/>
      <c r="AB1284" s="44"/>
      <c r="AC1284" s="44"/>
      <c r="AD1284" s="44"/>
      <c r="AE1284" s="44"/>
      <c r="AF1284" s="44"/>
      <c r="AG1284" s="44"/>
      <c r="AH1284" s="44"/>
      <c r="AI1284" s="44"/>
      <c r="AJ1284" s="44"/>
      <c r="AK1284" s="44"/>
    </row>
    <row r="1285" spans="1:37" x14ac:dyDescent="0.25">
      <c r="C1285" s="109"/>
      <c r="F1285" s="146"/>
      <c r="V1285" s="44"/>
      <c r="W1285" s="91"/>
      <c r="X1285" s="91"/>
      <c r="Y1285" s="91"/>
      <c r="Z1285" s="44"/>
      <c r="AA1285" s="44"/>
      <c r="AB1285" s="44"/>
      <c r="AC1285" s="44"/>
      <c r="AD1285" s="44"/>
      <c r="AE1285" s="44"/>
      <c r="AF1285" s="44"/>
      <c r="AG1285" s="44"/>
      <c r="AH1285" s="44"/>
      <c r="AI1285" s="44"/>
      <c r="AJ1285" s="44"/>
      <c r="AK1285" s="44"/>
    </row>
    <row r="1286" spans="1:37" x14ac:dyDescent="0.25">
      <c r="V1286" s="44"/>
      <c r="W1286" s="91"/>
      <c r="X1286" s="91"/>
      <c r="Y1286" s="91"/>
      <c r="Z1286" s="44"/>
      <c r="AA1286" s="44"/>
      <c r="AB1286" s="44"/>
      <c r="AC1286" s="44"/>
      <c r="AD1286" s="44"/>
      <c r="AE1286" s="44"/>
      <c r="AF1286" s="44"/>
      <c r="AG1286" s="44"/>
      <c r="AH1286" s="44"/>
      <c r="AI1286" s="44"/>
      <c r="AJ1286" s="44"/>
      <c r="AK1286" s="44"/>
    </row>
    <row r="1287" spans="1:37" x14ac:dyDescent="0.25">
      <c r="C1287" s="109"/>
      <c r="F1287" s="109"/>
      <c r="V1287" s="44"/>
      <c r="W1287" s="91"/>
      <c r="X1287" s="91"/>
      <c r="Y1287" s="91"/>
      <c r="Z1287" s="44"/>
      <c r="AA1287" s="44"/>
      <c r="AB1287" s="44"/>
      <c r="AC1287" s="44"/>
      <c r="AD1287" s="44"/>
      <c r="AE1287" s="44"/>
      <c r="AF1287" s="44"/>
      <c r="AG1287" s="44"/>
      <c r="AH1287" s="44"/>
      <c r="AI1287" s="44"/>
      <c r="AJ1287" s="44"/>
      <c r="AK1287" s="44"/>
    </row>
    <row r="1288" spans="1:37" x14ac:dyDescent="0.25">
      <c r="V1288" s="44"/>
      <c r="W1288" s="91"/>
      <c r="X1288" s="91"/>
      <c r="Y1288" s="91"/>
      <c r="Z1288" s="44"/>
      <c r="AA1288" s="44"/>
      <c r="AB1288" s="44"/>
      <c r="AC1288" s="44"/>
      <c r="AD1288" s="44"/>
      <c r="AE1288" s="44"/>
      <c r="AF1288" s="44"/>
      <c r="AG1288" s="44"/>
      <c r="AH1288" s="44"/>
      <c r="AI1288" s="44"/>
      <c r="AJ1288" s="44"/>
      <c r="AK1288" s="44"/>
    </row>
    <row r="1290" spans="1:37" x14ac:dyDescent="0.25">
      <c r="C1290" s="109"/>
    </row>
    <row r="1291" spans="1:37" x14ac:dyDescent="0.25">
      <c r="C1291" s="109"/>
    </row>
    <row r="1292" spans="1:37" x14ac:dyDescent="0.25">
      <c r="B1292" s="348"/>
      <c r="C1292" s="109"/>
      <c r="W1292" s="92"/>
      <c r="X1292" s="92"/>
      <c r="Y1292" s="92"/>
    </row>
    <row r="1293" spans="1:37" x14ac:dyDescent="0.25">
      <c r="C1293" s="109"/>
      <c r="W1293" s="92"/>
      <c r="X1293" s="92"/>
      <c r="Y1293" s="92"/>
    </row>
  </sheetData>
  <mergeCells count="6">
    <mergeCell ref="A1:I1"/>
    <mergeCell ref="A2:I2"/>
    <mergeCell ref="A3:I3"/>
    <mergeCell ref="A4:I4"/>
    <mergeCell ref="D9:F9"/>
    <mergeCell ref="G9:I9"/>
  </mergeCells>
  <printOptions horizontalCentered="1"/>
  <pageMargins left="0" right="0" top="0.25" bottom="0.05" header="0.5" footer="0.25"/>
  <pageSetup scale="63" fitToHeight="8" orientation="portrait" r:id="rId1"/>
  <headerFooter alignWithMargins="0"/>
  <rowBreaks count="6" manualBreakCount="6">
    <brk id="133" max="23" man="1"/>
    <brk id="206" max="23" man="1"/>
    <brk id="716" max="23" man="1"/>
    <brk id="1011" max="23" man="1"/>
    <brk id="1159" max="23" man="1"/>
    <brk id="1235" max="2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7"/>
  <sheetViews>
    <sheetView view="pageBreakPreview" zoomScale="75" zoomScaleNormal="100" workbookViewId="0">
      <selection sqref="A1:F1"/>
    </sheetView>
  </sheetViews>
  <sheetFormatPr defaultColWidth="8.5" defaultRowHeight="15" x14ac:dyDescent="0.25"/>
  <cols>
    <col min="1" max="1" width="4.625" style="408" customWidth="1"/>
    <col min="2" max="2" width="8.5" style="408"/>
    <col min="3" max="3" width="2.75" style="408" customWidth="1"/>
    <col min="4" max="4" width="9.125" style="408" bestFit="1" customWidth="1"/>
    <col min="5" max="5" width="2.875" style="408" customWidth="1"/>
    <col min="6" max="6" width="9.125" style="408" bestFit="1" customWidth="1"/>
    <col min="7" max="7" width="2.875" style="408" customWidth="1"/>
    <col min="8" max="8" width="6.75" style="408" bestFit="1" customWidth="1"/>
    <col min="9" max="9" width="2.875" style="408" customWidth="1"/>
    <col min="10" max="10" width="9.125" style="408" bestFit="1" customWidth="1"/>
    <col min="11" max="11" width="2.625" style="408" customWidth="1"/>
    <col min="12" max="12" width="9.125" style="408" bestFit="1" customWidth="1"/>
    <col min="13" max="13" width="2.625" style="408" customWidth="1"/>
    <col min="14" max="14" width="9" style="408" bestFit="1" customWidth="1"/>
    <col min="15" max="15" width="2.875" style="408" customWidth="1"/>
    <col min="16" max="16" width="7.75" style="408" bestFit="1" customWidth="1"/>
    <col min="17" max="17" width="2.875" style="408" customWidth="1"/>
    <col min="18" max="18" width="7.75" style="408" customWidth="1"/>
    <col min="19" max="19" width="3.125" style="408" customWidth="1"/>
    <col min="20" max="20" width="7.25" style="408" customWidth="1"/>
    <col min="21" max="21" width="2.25" style="408" customWidth="1"/>
    <col min="22" max="22" width="15.125" style="408" customWidth="1"/>
    <col min="23" max="23" width="15.25" style="408" customWidth="1"/>
    <col min="24" max="24" width="9.125" style="408" customWidth="1"/>
    <col min="25" max="25" width="8.25" style="408" customWidth="1"/>
    <col min="26" max="26" width="1.625" style="408" customWidth="1"/>
    <col min="27" max="16384" width="8.5" style="408"/>
  </cols>
  <sheetData>
    <row r="1" spans="1:29" ht="18.75" x14ac:dyDescent="0.3">
      <c r="B1" s="578" t="s">
        <v>302</v>
      </c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8"/>
      <c r="S1" s="578"/>
      <c r="T1" s="578"/>
    </row>
    <row r="2" spans="1:29" ht="18.75" x14ac:dyDescent="0.3">
      <c r="A2" s="409"/>
      <c r="B2" s="578" t="s">
        <v>303</v>
      </c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  <c r="P2" s="578"/>
      <c r="Q2" s="578"/>
      <c r="R2" s="578"/>
      <c r="S2" s="578"/>
      <c r="T2" s="578"/>
    </row>
    <row r="3" spans="1:29" ht="18.75" x14ac:dyDescent="0.3">
      <c r="A3" s="409"/>
      <c r="B3" s="578" t="s">
        <v>304</v>
      </c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  <c r="P3" s="578"/>
      <c r="Q3" s="578"/>
      <c r="R3" s="578"/>
      <c r="S3" s="578"/>
      <c r="T3" s="578"/>
    </row>
    <row r="4" spans="1:29" ht="18.75" x14ac:dyDescent="0.3">
      <c r="B4" s="410" t="s">
        <v>305</v>
      </c>
      <c r="C4" s="410"/>
      <c r="D4" s="410"/>
      <c r="E4" s="410"/>
      <c r="F4" s="410"/>
      <c r="G4" s="410"/>
      <c r="H4" s="410"/>
      <c r="I4" s="410"/>
      <c r="J4" s="410"/>
      <c r="K4" s="410"/>
      <c r="L4" s="410"/>
      <c r="M4" s="410"/>
      <c r="N4" s="410"/>
      <c r="O4" s="410"/>
      <c r="P4" s="410"/>
      <c r="Q4" s="410"/>
      <c r="R4" s="410"/>
      <c r="S4" s="410"/>
      <c r="T4" s="410"/>
    </row>
    <row r="6" spans="1:29" ht="18.75" thickBot="1" x14ac:dyDescent="0.3">
      <c r="J6" s="579" t="s">
        <v>306</v>
      </c>
      <c r="K6" s="579"/>
      <c r="L6" s="579"/>
      <c r="M6" s="579"/>
      <c r="N6" s="579"/>
      <c r="O6" s="579"/>
      <c r="P6" s="579"/>
      <c r="Q6" s="411"/>
      <c r="R6" s="411"/>
      <c r="S6" s="411"/>
      <c r="T6" s="412"/>
      <c r="U6" s="409"/>
      <c r="V6" s="412"/>
    </row>
    <row r="7" spans="1:29" ht="15.75" customHeight="1" x14ac:dyDescent="0.25">
      <c r="D7" s="579" t="s">
        <v>307</v>
      </c>
      <c r="E7" s="579"/>
      <c r="F7" s="579"/>
      <c r="G7" s="579"/>
      <c r="H7" s="579"/>
      <c r="I7" s="411"/>
      <c r="J7" s="411" t="s">
        <v>0</v>
      </c>
      <c r="K7" s="413"/>
      <c r="L7" s="413" t="s">
        <v>0</v>
      </c>
      <c r="N7" s="579" t="s">
        <v>14</v>
      </c>
      <c r="O7" s="579"/>
      <c r="P7" s="579"/>
      <c r="Q7" s="411"/>
      <c r="R7" s="579" t="s">
        <v>308</v>
      </c>
      <c r="S7" s="579"/>
      <c r="T7" s="579"/>
      <c r="U7" s="413"/>
      <c r="V7" s="576" t="s">
        <v>13</v>
      </c>
      <c r="W7" s="577"/>
      <c r="X7" s="576" t="s">
        <v>10</v>
      </c>
      <c r="Y7" s="577"/>
    </row>
    <row r="8" spans="1:29" ht="18" x14ac:dyDescent="0.25">
      <c r="B8" s="414" t="s">
        <v>309</v>
      </c>
      <c r="D8" s="415" t="s">
        <v>13</v>
      </c>
      <c r="E8" s="416" t="s">
        <v>0</v>
      </c>
      <c r="F8" s="415" t="s">
        <v>10</v>
      </c>
      <c r="G8" s="416" t="s">
        <v>0</v>
      </c>
      <c r="H8" s="414" t="s">
        <v>14</v>
      </c>
      <c r="I8" s="411"/>
      <c r="J8" s="415" t="s">
        <v>13</v>
      </c>
      <c r="K8" s="416" t="s">
        <v>0</v>
      </c>
      <c r="L8" s="415" t="s">
        <v>10</v>
      </c>
      <c r="M8" s="416" t="s">
        <v>0</v>
      </c>
      <c r="N8" s="414" t="s">
        <v>310</v>
      </c>
      <c r="P8" s="417" t="s">
        <v>26</v>
      </c>
      <c r="Q8" s="413"/>
      <c r="R8" s="418" t="s">
        <v>310</v>
      </c>
      <c r="S8" s="413"/>
      <c r="T8" s="414" t="s">
        <v>26</v>
      </c>
      <c r="V8" s="419" t="s">
        <v>311</v>
      </c>
      <c r="W8" s="420">
        <v>7.75</v>
      </c>
      <c r="X8" s="419"/>
      <c r="Y8" s="420">
        <f>'Billing Determinants'!G89</f>
        <v>7.75</v>
      </c>
    </row>
    <row r="9" spans="1:29" x14ac:dyDescent="0.25">
      <c r="B9" s="421"/>
      <c r="D9" s="421"/>
      <c r="E9" s="421"/>
      <c r="F9" s="421"/>
      <c r="J9" s="421"/>
      <c r="K9" s="421"/>
      <c r="L9" s="421"/>
      <c r="V9" s="419" t="s">
        <v>312</v>
      </c>
      <c r="W9" s="422">
        <v>6.93</v>
      </c>
      <c r="X9" s="419"/>
      <c r="Y9" s="423">
        <f>'Billing Determinants'!G90+'Billing Determinants'!G95+Y12+Y19</f>
        <v>7.0990000000000002</v>
      </c>
      <c r="Z9" s="424"/>
      <c r="AA9" s="425">
        <f>(Y9-W9)/W9</f>
        <v>2.4386724386724457E-2</v>
      </c>
    </row>
    <row r="10" spans="1:29" ht="15.75" thickBot="1" x14ac:dyDescent="0.3">
      <c r="B10" s="426">
        <v>50</v>
      </c>
      <c r="D10" s="427">
        <f>$W$8</f>
        <v>7.75</v>
      </c>
      <c r="F10" s="427">
        <f>$Y$8</f>
        <v>7.75</v>
      </c>
      <c r="H10" s="427">
        <f>F10-D10</f>
        <v>0</v>
      </c>
      <c r="I10" s="427"/>
      <c r="J10" s="427">
        <f>ROUND((($B10*W$9/100))+((B10*$Y$14)/100),2)+Y16</f>
        <v>3.83</v>
      </c>
      <c r="L10" s="427">
        <f>ROUND((($B10*Y$9/100))+((B10*$Y$15)/100),2)+Y17</f>
        <v>3.92</v>
      </c>
      <c r="N10" s="428">
        <f>L10-J10</f>
        <v>8.9999999999999858E-2</v>
      </c>
      <c r="P10" s="429">
        <f>(L10-J10)/J10</f>
        <v>2.3498694516971241E-2</v>
      </c>
      <c r="Q10" s="429"/>
      <c r="R10" s="430">
        <f>F10+L10-D10-J10</f>
        <v>8.9999999999999858E-2</v>
      </c>
      <c r="S10" s="429"/>
      <c r="T10" s="429">
        <f>(F10+L10-D10-J10)/(D10+J10)</f>
        <v>7.7720207253885887E-3</v>
      </c>
      <c r="V10" s="431" t="s">
        <v>313</v>
      </c>
      <c r="W10" s="432">
        <v>10.731999999999999</v>
      </c>
      <c r="X10" s="431"/>
      <c r="Y10" s="432">
        <f>'Billing Determinants'!G91+'Billing Determinants'!G96+Y12+Y19</f>
        <v>10.994999999999999</v>
      </c>
      <c r="AA10" s="425">
        <f>(Y10-W10)/W10</f>
        <v>2.4506149832277294E-2</v>
      </c>
    </row>
    <row r="11" spans="1:29" x14ac:dyDescent="0.25">
      <c r="B11" s="426">
        <v>100</v>
      </c>
      <c r="D11" s="427">
        <f>$W$8</f>
        <v>7.75</v>
      </c>
      <c r="F11" s="427">
        <f>$Y$8</f>
        <v>7.75</v>
      </c>
      <c r="H11" s="427">
        <f t="shared" ref="H11:H33" si="0">F11-D11</f>
        <v>0</v>
      </c>
      <c r="I11" s="427"/>
      <c r="J11" s="427">
        <f>ROUND((($B11*W$9/100))+((B11*$Y$14)/100),2)+Y16</f>
        <v>6.92</v>
      </c>
      <c r="L11" s="427">
        <f>ROUND((($B11*Y$9/100))+((B11*$Y$15)/100),2)+Y17</f>
        <v>7.09</v>
      </c>
      <c r="N11" s="428">
        <f>L11-J11</f>
        <v>0.16999999999999993</v>
      </c>
      <c r="P11" s="429">
        <f>(L11-J11)/J11</f>
        <v>2.4566473988439298E-2</v>
      </c>
      <c r="Q11" s="429"/>
      <c r="R11" s="430">
        <f t="shared" ref="R11:R33" si="1">F11+L11-D11-J11</f>
        <v>0.16999999999999993</v>
      </c>
      <c r="S11" s="429"/>
      <c r="T11" s="429">
        <f t="shared" ref="T11:T33" si="2">(F11+L11-D11-J11)/(D11+J11)</f>
        <v>1.1588275391956369E-2</v>
      </c>
      <c r="V11" s="433"/>
      <c r="W11" s="433" t="s">
        <v>314</v>
      </c>
      <c r="X11" s="433"/>
      <c r="Y11" s="434">
        <v>0.378</v>
      </c>
      <c r="AC11" s="428"/>
    </row>
    <row r="12" spans="1:29" x14ac:dyDescent="0.25">
      <c r="B12" s="426">
        <v>150</v>
      </c>
      <c r="D12" s="427">
        <f>$W$8</f>
        <v>7.75</v>
      </c>
      <c r="F12" s="427">
        <f>$Y$8</f>
        <v>7.75</v>
      </c>
      <c r="H12" s="427">
        <f t="shared" si="0"/>
        <v>0</v>
      </c>
      <c r="I12" s="427"/>
      <c r="J12" s="427">
        <f>ROUND((($B12*W$9/100))+((B12*$Y$14)/100),2)+Y16</f>
        <v>10.01</v>
      </c>
      <c r="L12" s="427">
        <f>ROUND((($B12*Y$9/100))+((B12*$Y$15)/100),2)+Y17</f>
        <v>10.27</v>
      </c>
      <c r="N12" s="428">
        <f>L12-J12</f>
        <v>0.25999999999999979</v>
      </c>
      <c r="P12" s="429">
        <f>(L12-J12)/J12</f>
        <v>2.5974025974025955E-2</v>
      </c>
      <c r="Q12" s="429"/>
      <c r="R12" s="430">
        <f t="shared" si="1"/>
        <v>0.25999999999999979</v>
      </c>
      <c r="S12" s="429"/>
      <c r="T12" s="429">
        <f t="shared" si="2"/>
        <v>1.4639639639639629E-2</v>
      </c>
      <c r="V12" s="433"/>
      <c r="W12" s="433"/>
      <c r="X12" s="433"/>
      <c r="Y12" s="434">
        <v>0.378</v>
      </c>
      <c r="Z12" s="435"/>
      <c r="AC12" s="428"/>
    </row>
    <row r="13" spans="1:29" x14ac:dyDescent="0.25">
      <c r="D13" s="430"/>
      <c r="F13" s="430"/>
      <c r="J13" s="430"/>
      <c r="L13" s="430"/>
      <c r="V13" s="433"/>
      <c r="W13" s="433"/>
      <c r="X13" s="433"/>
      <c r="Y13" s="436"/>
      <c r="AC13" s="428"/>
    </row>
    <row r="14" spans="1:29" x14ac:dyDescent="0.25">
      <c r="B14" s="426">
        <v>200</v>
      </c>
      <c r="D14" s="427">
        <f>$W$8</f>
        <v>7.75</v>
      </c>
      <c r="F14" s="427">
        <f>$Y$8</f>
        <v>7.75</v>
      </c>
      <c r="H14" s="427">
        <f t="shared" si="0"/>
        <v>0</v>
      </c>
      <c r="I14" s="427"/>
      <c r="J14" s="427">
        <f>ROUND((($B14*W$9/100))+((B14*$Y$14)/100),2)+Y16</f>
        <v>13.11</v>
      </c>
      <c r="L14" s="427">
        <f>ROUND((($B14*Y$9/100))+((B14*$Y$15)/100),2)+Y17</f>
        <v>13.44</v>
      </c>
      <c r="N14" s="428">
        <f>L14-J14</f>
        <v>0.33000000000000007</v>
      </c>
      <c r="P14" s="429">
        <f>(L14-J14)/J14</f>
        <v>2.5171624713958816E-2</v>
      </c>
      <c r="Q14" s="429"/>
      <c r="R14" s="430">
        <f t="shared" si="1"/>
        <v>0.32999999999999829</v>
      </c>
      <c r="S14" s="429"/>
      <c r="T14" s="429">
        <f t="shared" si="2"/>
        <v>1.5819750719079498E-2</v>
      </c>
      <c r="V14" s="433"/>
      <c r="W14" s="433" t="s">
        <v>315</v>
      </c>
      <c r="X14" s="433"/>
      <c r="Y14" s="434">
        <v>-0.747</v>
      </c>
      <c r="AA14" s="408" t="s">
        <v>0</v>
      </c>
      <c r="AC14" s="428"/>
    </row>
    <row r="15" spans="1:29" x14ac:dyDescent="0.25">
      <c r="B15" s="426">
        <v>300</v>
      </c>
      <c r="D15" s="427">
        <f>$W$8</f>
        <v>7.75</v>
      </c>
      <c r="F15" s="427">
        <f>$Y$8</f>
        <v>7.75</v>
      </c>
      <c r="H15" s="427">
        <f t="shared" si="0"/>
        <v>0</v>
      </c>
      <c r="I15" s="427"/>
      <c r="J15" s="427">
        <f>ROUND((($B15*W$9/100))+((B15*$Y$14)/100),2)+Y16</f>
        <v>19.29</v>
      </c>
      <c r="L15" s="427">
        <f>ROUND((($B15*Y$9/100))+((B15*$Y$15)/100),2)+Y17</f>
        <v>19.799999999999997</v>
      </c>
      <c r="N15" s="428">
        <f>L15-J15</f>
        <v>0.50999999999999801</v>
      </c>
      <c r="P15" s="429">
        <f>(L15-J15)/J15</f>
        <v>2.6438569206842823E-2</v>
      </c>
      <c r="Q15" s="429"/>
      <c r="R15" s="430">
        <f t="shared" si="1"/>
        <v>0.50999999999999801</v>
      </c>
      <c r="S15" s="429"/>
      <c r="T15" s="429">
        <f t="shared" si="2"/>
        <v>1.8860946745562056E-2</v>
      </c>
      <c r="V15" s="433"/>
      <c r="W15" s="408" t="s">
        <v>0</v>
      </c>
      <c r="X15" s="408" t="s">
        <v>0</v>
      </c>
      <c r="Y15" s="434">
        <v>-0.747</v>
      </c>
      <c r="AC15" s="428"/>
    </row>
    <row r="16" spans="1:29" x14ac:dyDescent="0.25">
      <c r="B16" s="426">
        <v>400</v>
      </c>
      <c r="D16" s="427">
        <f>$W$8</f>
        <v>7.75</v>
      </c>
      <c r="F16" s="427">
        <f>$Y$8</f>
        <v>7.75</v>
      </c>
      <c r="H16" s="427">
        <f t="shared" si="0"/>
        <v>0</v>
      </c>
      <c r="I16" s="427"/>
      <c r="J16" s="427">
        <f>ROUND((($B16*W$9/100))+((B16*$Y$14)/100),2)+Y16</f>
        <v>25.47</v>
      </c>
      <c r="L16" s="427">
        <f>ROUND((($B16*Y$9/100))+((B16*$Y$15)/100),2)+Y17</f>
        <v>26.15</v>
      </c>
      <c r="N16" s="428">
        <f>L16-J16</f>
        <v>0.67999999999999972</v>
      </c>
      <c r="P16" s="429">
        <f>(L16-J16)/J16</f>
        <v>2.6698076168040822E-2</v>
      </c>
      <c r="Q16" s="429"/>
      <c r="R16" s="430">
        <f t="shared" si="1"/>
        <v>0.67999999999999972</v>
      </c>
      <c r="S16" s="429"/>
      <c r="T16" s="429">
        <f t="shared" si="2"/>
        <v>2.0469596628537017E-2</v>
      </c>
      <c r="W16" s="408" t="s">
        <v>316</v>
      </c>
      <c r="Y16" s="428">
        <v>0.74</v>
      </c>
      <c r="Z16" s="408" t="s">
        <v>0</v>
      </c>
      <c r="AC16" s="428"/>
    </row>
    <row r="17" spans="2:29" x14ac:dyDescent="0.25">
      <c r="B17" s="426">
        <v>500</v>
      </c>
      <c r="D17" s="427">
        <f>$W$8</f>
        <v>7.75</v>
      </c>
      <c r="F17" s="427">
        <f>$Y$8</f>
        <v>7.75</v>
      </c>
      <c r="H17" s="427">
        <f t="shared" si="0"/>
        <v>0</v>
      </c>
      <c r="I17" s="427"/>
      <c r="J17" s="427">
        <f>ROUND((($B17*W$9/100))+((B17*$Y$14)/100),2)+Y16</f>
        <v>31.66</v>
      </c>
      <c r="L17" s="427">
        <f>ROUND((($B17*Y$9/100))+((B17*$Y$15)/100),2)+Y17</f>
        <v>32.5</v>
      </c>
      <c r="N17" s="428">
        <f>L17-J17</f>
        <v>0.83999999999999986</v>
      </c>
      <c r="P17" s="429">
        <f>(L17-J17)/J17</f>
        <v>2.6531901452937455E-2</v>
      </c>
      <c r="Q17" s="429"/>
      <c r="R17" s="430">
        <f t="shared" si="1"/>
        <v>0.83999999999999986</v>
      </c>
      <c r="S17" s="429"/>
      <c r="T17" s="429">
        <f t="shared" si="2"/>
        <v>2.1314387211367671E-2</v>
      </c>
      <c r="W17" s="408" t="s">
        <v>317</v>
      </c>
      <c r="Y17" s="428">
        <f>Y16</f>
        <v>0.74</v>
      </c>
      <c r="AC17" s="428"/>
    </row>
    <row r="18" spans="2:29" x14ac:dyDescent="0.25">
      <c r="D18" s="430"/>
      <c r="F18" s="430"/>
      <c r="J18" s="430"/>
      <c r="L18" s="430"/>
      <c r="AC18" s="428"/>
    </row>
    <row r="19" spans="2:29" x14ac:dyDescent="0.25">
      <c r="B19" s="426">
        <v>600</v>
      </c>
      <c r="D19" s="427">
        <f>$W$8</f>
        <v>7.75</v>
      </c>
      <c r="F19" s="427">
        <f>$Y$8</f>
        <v>7.75</v>
      </c>
      <c r="H19" s="427">
        <f t="shared" si="0"/>
        <v>0</v>
      </c>
      <c r="I19" s="427"/>
      <c r="J19" s="427">
        <f>ROUND((($B19*W$9/100))+((B19*$Y$14)/100),2)+Y16</f>
        <v>37.840000000000003</v>
      </c>
      <c r="L19" s="427">
        <f>ROUND((($B19*Y$9/100))+((B19*$Y$15)/100),2)+Y17</f>
        <v>38.85</v>
      </c>
      <c r="N19" s="428">
        <f>L19-J19</f>
        <v>1.009999999999998</v>
      </c>
      <c r="P19" s="429">
        <f>(L19-J19)/J19</f>
        <v>2.6691331923890008E-2</v>
      </c>
      <c r="Q19" s="429"/>
      <c r="R19" s="430">
        <f t="shared" si="1"/>
        <v>1.009999999999998</v>
      </c>
      <c r="S19" s="429"/>
      <c r="T19" s="429">
        <f t="shared" si="2"/>
        <v>2.2153981136214036E-2</v>
      </c>
      <c r="W19" s="408" t="s">
        <v>318</v>
      </c>
      <c r="Y19" s="437">
        <v>4.0000000000000001E-3</v>
      </c>
      <c r="AC19" s="428"/>
    </row>
    <row r="20" spans="2:29" x14ac:dyDescent="0.25">
      <c r="B20" s="426">
        <v>700</v>
      </c>
      <c r="D20" s="427">
        <f>$W$8</f>
        <v>7.75</v>
      </c>
      <c r="F20" s="427">
        <f>$Y$8</f>
        <v>7.75</v>
      </c>
      <c r="H20" s="427">
        <f t="shared" si="0"/>
        <v>0</v>
      </c>
      <c r="I20" s="427"/>
      <c r="J20" s="427">
        <f>ROUND((((600*W$9/100)+(($B20-600)*W$10/100)))+((B20*$Y$14)/100),2)+Y16</f>
        <v>47.82</v>
      </c>
      <c r="L20" s="427">
        <f>ROUND((((600*Y$9/100)+(($B20-600)*Y$10/100)))+((B20*$Y$15)/100),2)+Y17</f>
        <v>49.1</v>
      </c>
      <c r="N20" s="428">
        <f>L20-J20</f>
        <v>1.2800000000000011</v>
      </c>
      <c r="P20" s="429">
        <f>(L20-J20)/J20</f>
        <v>2.6767043078209977E-2</v>
      </c>
      <c r="Q20" s="429"/>
      <c r="R20" s="430">
        <f t="shared" si="1"/>
        <v>1.2800000000000011</v>
      </c>
      <c r="S20" s="429"/>
      <c r="T20" s="429">
        <f t="shared" si="2"/>
        <v>2.3034011157099174E-2</v>
      </c>
      <c r="AC20" s="428"/>
    </row>
    <row r="21" spans="2:29" x14ac:dyDescent="0.25">
      <c r="B21" s="426">
        <v>800</v>
      </c>
      <c r="D21" s="427">
        <f>$W$8</f>
        <v>7.75</v>
      </c>
      <c r="F21" s="427">
        <f>$Y$8</f>
        <v>7.75</v>
      </c>
      <c r="H21" s="427">
        <f t="shared" si="0"/>
        <v>0</v>
      </c>
      <c r="I21" s="427"/>
      <c r="J21" s="427">
        <f>ROUND((((600*W$9/100)+(($B21-600)*W$10/100)))+((B21*$Y$14)/100),2)+Y16</f>
        <v>57.81</v>
      </c>
      <c r="L21" s="427">
        <f>ROUND((((600*Y$9/100)+(($B21-600)*Y$10/100)))+((B21*$Y$15)/100),2)+Y17</f>
        <v>59.35</v>
      </c>
      <c r="N21" s="428">
        <f>L21-J21</f>
        <v>1.5399999999999991</v>
      </c>
      <c r="P21" s="429">
        <f>(L21-J21)/J21</f>
        <v>2.6638989794153245E-2</v>
      </c>
      <c r="Q21" s="429"/>
      <c r="R21" s="430">
        <f t="shared" si="1"/>
        <v>1.539999999999992</v>
      </c>
      <c r="S21" s="429"/>
      <c r="T21" s="429">
        <f t="shared" si="2"/>
        <v>2.348993288590592E-2</v>
      </c>
      <c r="AC21" s="428"/>
    </row>
    <row r="22" spans="2:29" x14ac:dyDescent="0.25">
      <c r="B22" s="426">
        <v>900</v>
      </c>
      <c r="D22" s="427">
        <f>$W$8</f>
        <v>7.75</v>
      </c>
      <c r="F22" s="427">
        <f>$Y$8</f>
        <v>7.75</v>
      </c>
      <c r="H22" s="427">
        <f t="shared" si="0"/>
        <v>0</v>
      </c>
      <c r="I22" s="427"/>
      <c r="J22" s="427">
        <f>ROUND((((600*W$9/100)+(($B22-600)*W$10/100)))+((B22*$Y$14)/100),2)+Y16</f>
        <v>67.789999999999992</v>
      </c>
      <c r="L22" s="427">
        <f>ROUND((((600*Y$9/100)+(($B22-600)*Y$10/100)))+((B22*$Y$15)/100),2)+Y17</f>
        <v>69.599999999999994</v>
      </c>
      <c r="N22" s="428">
        <f>L22-J22</f>
        <v>1.8100000000000023</v>
      </c>
      <c r="P22" s="429">
        <f>(L22-J22)/J22</f>
        <v>2.6700103260067894E-2</v>
      </c>
      <c r="Q22" s="429"/>
      <c r="R22" s="430">
        <f t="shared" si="1"/>
        <v>1.8100000000000023</v>
      </c>
      <c r="S22" s="429"/>
      <c r="T22" s="429">
        <f t="shared" si="2"/>
        <v>2.3960815462006915E-2</v>
      </c>
      <c r="V22" s="438" t="s">
        <v>319</v>
      </c>
      <c r="W22" s="439">
        <f>'Est Effect of Base Rate Inc'!V17</f>
        <v>2.3478878361945933E-2</v>
      </c>
      <c r="AC22" s="428"/>
    </row>
    <row r="23" spans="2:29" x14ac:dyDescent="0.25">
      <c r="B23" s="426">
        <v>1000</v>
      </c>
      <c r="D23" s="427">
        <f>$W$8</f>
        <v>7.75</v>
      </c>
      <c r="F23" s="427">
        <f>$Y$8</f>
        <v>7.75</v>
      </c>
      <c r="H23" s="427">
        <f t="shared" si="0"/>
        <v>0</v>
      </c>
      <c r="I23" s="427"/>
      <c r="J23" s="427">
        <f>ROUND((((600*W$9/100)+(($B23-600)*W$10/100)))+((B23*$Y$14)/100),2)+Y16</f>
        <v>77.78</v>
      </c>
      <c r="L23" s="427">
        <f>ROUND((((600*Y$9/100)+(($B23-600)*Y$10/100)))+((B23*$Y$15)/100),2)+Y17</f>
        <v>79.839999999999989</v>
      </c>
      <c r="N23" s="428">
        <f>L23-J23</f>
        <v>2.0599999999999881</v>
      </c>
      <c r="P23" s="429">
        <f>(L23-J23)/J23</f>
        <v>2.6484957572640629E-2</v>
      </c>
      <c r="Q23" s="429"/>
      <c r="R23" s="430">
        <f t="shared" si="1"/>
        <v>2.0599999999999881</v>
      </c>
      <c r="S23" s="429"/>
      <c r="T23" s="429">
        <f t="shared" si="2"/>
        <v>2.4085116333450111E-2</v>
      </c>
      <c r="W23" s="440" t="s">
        <v>0</v>
      </c>
      <c r="AC23" s="428"/>
    </row>
    <row r="24" spans="2:29" x14ac:dyDescent="0.25">
      <c r="D24" s="430"/>
      <c r="F24" s="430"/>
      <c r="J24" s="430"/>
      <c r="L24" s="430"/>
      <c r="P24" s="441"/>
      <c r="Q24" s="441"/>
      <c r="R24" s="441"/>
      <c r="S24" s="441"/>
      <c r="T24" s="441"/>
      <c r="AC24" s="428"/>
    </row>
    <row r="25" spans="2:29" x14ac:dyDescent="0.25">
      <c r="B25" s="426">
        <v>1100</v>
      </c>
      <c r="D25" s="427">
        <f t="shared" ref="D25:D29" si="3">$W$8</f>
        <v>7.75</v>
      </c>
      <c r="F25" s="427">
        <f t="shared" ref="F25:F29" si="4">$Y$8</f>
        <v>7.75</v>
      </c>
      <c r="H25" s="427">
        <f t="shared" si="0"/>
        <v>0</v>
      </c>
      <c r="I25" s="427"/>
      <c r="J25" s="427">
        <f>ROUND((((600*W$9/100)+(($B25-600)*W$10/100)))+((B25*$Y$14)/100),2)+Y16</f>
        <v>87.759999999999991</v>
      </c>
      <c r="L25" s="427">
        <f>ROUND((((600*Y$9/100)+(($B25-600)*Y$10/100)))+((B25*$Y$15)/100),2)+Y17</f>
        <v>90.089999999999989</v>
      </c>
      <c r="N25" s="428">
        <f t="shared" ref="N25:N29" si="5">L25-J25</f>
        <v>2.3299999999999983</v>
      </c>
      <c r="P25" s="429">
        <f t="shared" ref="P25:P29" si="6">(L25-J25)/J25</f>
        <v>2.6549680948040093E-2</v>
      </c>
      <c r="Q25" s="429"/>
      <c r="R25" s="430">
        <f t="shared" si="1"/>
        <v>2.3299999999999983</v>
      </c>
      <c r="S25" s="429"/>
      <c r="T25" s="429">
        <f t="shared" si="2"/>
        <v>2.4395351272118088E-2</v>
      </c>
      <c r="AC25" s="428"/>
    </row>
    <row r="26" spans="2:29" x14ac:dyDescent="0.25">
      <c r="B26" s="426">
        <v>1200</v>
      </c>
      <c r="C26" s="408" t="s">
        <v>320</v>
      </c>
      <c r="D26" s="427">
        <f t="shared" si="3"/>
        <v>7.75</v>
      </c>
      <c r="F26" s="427">
        <f t="shared" si="4"/>
        <v>7.75</v>
      </c>
      <c r="H26" s="427">
        <f t="shared" si="0"/>
        <v>0</v>
      </c>
      <c r="I26" s="427"/>
      <c r="J26" s="427">
        <f>ROUND((((600*W$9/100)+(($B26-600)*W$10/100)))+((B26*$Y$14)/100),2)+Y16</f>
        <v>97.75</v>
      </c>
      <c r="L26" s="427">
        <f>ROUND((((600*Y$9/100)+(($B26-600)*Y$10/100)))+((B26*$Y$15)/100),2)+Y17</f>
        <v>100.33999999999999</v>
      </c>
      <c r="N26" s="428">
        <f t="shared" si="5"/>
        <v>2.5899999999999892</v>
      </c>
      <c r="P26" s="429">
        <f t="shared" si="6"/>
        <v>2.6496163682864341E-2</v>
      </c>
      <c r="Q26" s="429"/>
      <c r="R26" s="430">
        <f t="shared" si="1"/>
        <v>2.5899999999999892</v>
      </c>
      <c r="S26" s="429"/>
      <c r="T26" s="429">
        <f t="shared" si="2"/>
        <v>2.4549763033175253E-2</v>
      </c>
      <c r="AC26" s="428"/>
    </row>
    <row r="27" spans="2:29" x14ac:dyDescent="0.25">
      <c r="B27" s="426">
        <v>1300</v>
      </c>
      <c r="C27" s="408" t="s">
        <v>0</v>
      </c>
      <c r="D27" s="427">
        <f t="shared" si="3"/>
        <v>7.75</v>
      </c>
      <c r="F27" s="427">
        <f t="shared" si="4"/>
        <v>7.75</v>
      </c>
      <c r="H27" s="427">
        <f t="shared" si="0"/>
        <v>0</v>
      </c>
      <c r="I27" s="427"/>
      <c r="J27" s="427">
        <f>ROUND((((600*W$9/100)+(($B27-600)*W$10/100)))+((B27*$Y$14)/100),2)+Y16</f>
        <v>107.72999999999999</v>
      </c>
      <c r="L27" s="427">
        <f>ROUND((((600*Y$9/100)+(($B27-600)*Y$10/100)))+((B27*$Y$15)/100),2)+Y17</f>
        <v>110.58999999999999</v>
      </c>
      <c r="N27" s="428">
        <f t="shared" si="5"/>
        <v>2.8599999999999994</v>
      </c>
      <c r="P27" s="429">
        <f t="shared" si="6"/>
        <v>2.6547851109254617E-2</v>
      </c>
      <c r="Q27" s="429"/>
      <c r="R27" s="430">
        <f t="shared" si="1"/>
        <v>2.8599999999999994</v>
      </c>
      <c r="S27" s="429"/>
      <c r="T27" s="429">
        <f t="shared" si="2"/>
        <v>2.4766193280221682E-2</v>
      </c>
      <c r="V27" s="428"/>
      <c r="AC27" s="428"/>
    </row>
    <row r="28" spans="2:29" x14ac:dyDescent="0.25">
      <c r="B28" s="426">
        <v>1400</v>
      </c>
      <c r="D28" s="427">
        <f t="shared" si="3"/>
        <v>7.75</v>
      </c>
      <c r="F28" s="427">
        <f t="shared" si="4"/>
        <v>7.75</v>
      </c>
      <c r="H28" s="427">
        <f t="shared" si="0"/>
        <v>0</v>
      </c>
      <c r="I28" s="427"/>
      <c r="J28" s="427">
        <f>ROUND((((600*W$9/100)+(($B28-600)*W$10/100)))+((B28*$Y$14)/100),2)+Y16</f>
        <v>117.72</v>
      </c>
      <c r="L28" s="427">
        <f>ROUND((((600*Y$9/100)+(($B28-600)*Y$10/100)))+((B28*$Y$15)/100),2)+Y17</f>
        <v>120.83999999999999</v>
      </c>
      <c r="N28" s="428">
        <f t="shared" si="5"/>
        <v>3.1199999999999903</v>
      </c>
      <c r="P28" s="429">
        <f t="shared" si="6"/>
        <v>2.6503567787971374E-2</v>
      </c>
      <c r="Q28" s="429"/>
      <c r="R28" s="430">
        <f t="shared" si="1"/>
        <v>3.1199999999999761</v>
      </c>
      <c r="S28" s="429"/>
      <c r="T28" s="429">
        <f t="shared" si="2"/>
        <v>2.4866501952657816E-2</v>
      </c>
      <c r="AC28" s="428"/>
    </row>
    <row r="29" spans="2:29" x14ac:dyDescent="0.25">
      <c r="B29" s="426">
        <v>1500</v>
      </c>
      <c r="D29" s="427">
        <f t="shared" si="3"/>
        <v>7.75</v>
      </c>
      <c r="F29" s="427">
        <f t="shared" si="4"/>
        <v>7.75</v>
      </c>
      <c r="H29" s="427">
        <f t="shared" si="0"/>
        <v>0</v>
      </c>
      <c r="I29" s="427"/>
      <c r="J29" s="427">
        <f>ROUND((((600*W$9/100)+(($B29-600)*W$10/100)))+((B29*$Y$14)/100),2)+Y16</f>
        <v>127.69999999999999</v>
      </c>
      <c r="L29" s="427">
        <f>ROUND((((600*Y$9/100)+(($B29-600)*Y$10/100)))+((B29*$Y$15)/100),2)+Y17</f>
        <v>131.08000000000001</v>
      </c>
      <c r="N29" s="428">
        <f t="shared" si="5"/>
        <v>3.3800000000000239</v>
      </c>
      <c r="P29" s="429">
        <f t="shared" si="6"/>
        <v>2.6468285043069886E-2</v>
      </c>
      <c r="Q29" s="429"/>
      <c r="R29" s="430">
        <f t="shared" si="1"/>
        <v>3.3800000000000239</v>
      </c>
      <c r="S29" s="429"/>
      <c r="T29" s="429">
        <f t="shared" si="2"/>
        <v>2.4953857511997225E-2</v>
      </c>
      <c r="AC29" s="428"/>
    </row>
    <row r="30" spans="2:29" x14ac:dyDescent="0.25">
      <c r="D30" s="430"/>
      <c r="F30" s="430"/>
      <c r="J30" s="430"/>
      <c r="L30" s="430"/>
      <c r="AC30" s="428"/>
    </row>
    <row r="31" spans="2:29" x14ac:dyDescent="0.25">
      <c r="B31" s="426">
        <v>1600</v>
      </c>
      <c r="D31" s="427">
        <f>$W$8</f>
        <v>7.75</v>
      </c>
      <c r="F31" s="427">
        <f>$Y$8</f>
        <v>7.75</v>
      </c>
      <c r="H31" s="427">
        <f t="shared" si="0"/>
        <v>0</v>
      </c>
      <c r="I31" s="427"/>
      <c r="J31" s="427">
        <f>ROUND((((600*W$9/100)+(($B31-600)*W$10/100)))+((B31*$Y$14)/100),2)+Y16</f>
        <v>137.69</v>
      </c>
      <c r="L31" s="427">
        <f>ROUND((((600*Y$9/100)+(($B31-600)*Y$10/100)))+((B31*$Y$15)/100),2)+Y17</f>
        <v>141.33000000000001</v>
      </c>
      <c r="N31" s="428">
        <f>L31-J31</f>
        <v>3.6400000000000148</v>
      </c>
      <c r="P31" s="429">
        <f>(L31-J31)/J31</f>
        <v>2.6436197254702701E-2</v>
      </c>
      <c r="Q31" s="429"/>
      <c r="R31" s="430">
        <f t="shared" si="1"/>
        <v>3.6400000000000148</v>
      </c>
      <c r="S31" s="429"/>
      <c r="T31" s="429">
        <f t="shared" si="2"/>
        <v>2.502750275027513E-2</v>
      </c>
      <c r="AC31" s="428"/>
    </row>
    <row r="32" spans="2:29" x14ac:dyDescent="0.25">
      <c r="B32" s="426">
        <v>2000</v>
      </c>
      <c r="D32" s="427">
        <f>$W$8</f>
        <v>7.75</v>
      </c>
      <c r="F32" s="427">
        <f>$Y$8</f>
        <v>7.75</v>
      </c>
      <c r="H32" s="427">
        <f t="shared" si="0"/>
        <v>0</v>
      </c>
      <c r="I32" s="427"/>
      <c r="J32" s="427">
        <f>ROUND((((600*W$9/100)+(($B32-600)*W$10/100)))+((B32*$Y$14)/100),2)+Y16</f>
        <v>177.63</v>
      </c>
      <c r="L32" s="427">
        <f>ROUND((((600*Y$9/100)+(($B32-600)*Y$10/100)))+((B32*$Y$15)/100),2)+Y17</f>
        <v>182.32000000000002</v>
      </c>
      <c r="N32" s="428">
        <f>L32-J32</f>
        <v>4.6900000000000261</v>
      </c>
      <c r="P32" s="429">
        <f>(L32-J32)/J32</f>
        <v>2.6403197658053403E-2</v>
      </c>
      <c r="Q32" s="429"/>
      <c r="R32" s="430">
        <f t="shared" si="1"/>
        <v>4.6900000000000261</v>
      </c>
      <c r="S32" s="429"/>
      <c r="T32" s="429">
        <f t="shared" si="2"/>
        <v>2.5299385046930769E-2</v>
      </c>
      <c r="AC32" s="428"/>
    </row>
    <row r="33" spans="2:29" x14ac:dyDescent="0.25">
      <c r="B33" s="426">
        <v>2600</v>
      </c>
      <c r="D33" s="427">
        <f>$W$8</f>
        <v>7.75</v>
      </c>
      <c r="F33" s="427">
        <f>$Y$8</f>
        <v>7.75</v>
      </c>
      <c r="H33" s="427">
        <f t="shared" si="0"/>
        <v>0</v>
      </c>
      <c r="I33" s="427"/>
      <c r="J33" s="427">
        <f>ROUND((((600*W$9/100)+(($B33-600)*W$10/100)))+((B33*$Y$14)/100),2)+Y16</f>
        <v>237.54000000000002</v>
      </c>
      <c r="L33" s="427">
        <f>ROUND((((600*Y$9/100)+(($B33-600)*Y$10/100)))+((B33*$Y$15)/100),2)+Y17</f>
        <v>243.81</v>
      </c>
      <c r="N33" s="428">
        <f>L33-J33</f>
        <v>6.2699999999999818</v>
      </c>
      <c r="P33" s="429">
        <f>(L33-J33)/J33</f>
        <v>2.6395554432937531E-2</v>
      </c>
      <c r="Q33" s="429"/>
      <c r="R33" s="430">
        <f t="shared" si="1"/>
        <v>6.2699999999999818</v>
      </c>
      <c r="S33" s="429"/>
      <c r="T33" s="429">
        <f t="shared" si="2"/>
        <v>2.5561580170410457E-2</v>
      </c>
      <c r="AC33" s="428"/>
    </row>
    <row r="34" spans="2:29" x14ac:dyDescent="0.25">
      <c r="B34" s="442"/>
      <c r="C34" s="443"/>
      <c r="D34" s="444"/>
      <c r="E34" s="443"/>
      <c r="F34" s="444"/>
      <c r="G34" s="443"/>
      <c r="H34" s="443"/>
      <c r="I34" s="443"/>
      <c r="J34" s="444"/>
      <c r="K34" s="443"/>
      <c r="L34" s="444"/>
      <c r="M34" s="443"/>
      <c r="N34" s="443"/>
      <c r="O34" s="443"/>
      <c r="P34" s="445"/>
      <c r="Q34" s="445"/>
      <c r="R34" s="445"/>
      <c r="S34" s="445"/>
      <c r="T34" s="443"/>
      <c r="AC34" s="428"/>
    </row>
    <row r="35" spans="2:29" x14ac:dyDescent="0.25">
      <c r="B35" s="446"/>
      <c r="T35" s="435"/>
    </row>
    <row r="36" spans="2:29" x14ac:dyDescent="0.25">
      <c r="B36" s="408" t="s">
        <v>321</v>
      </c>
    </row>
    <row r="37" spans="2:29" x14ac:dyDescent="0.25">
      <c r="B37" s="408" t="s">
        <v>322</v>
      </c>
    </row>
    <row r="38" spans="2:29" ht="16.5" x14ac:dyDescent="0.25">
      <c r="B38" s="447" t="s">
        <v>323</v>
      </c>
    </row>
    <row r="39" spans="2:29" x14ac:dyDescent="0.25">
      <c r="B39" s="447" t="s">
        <v>0</v>
      </c>
    </row>
    <row r="47" spans="2:29" x14ac:dyDescent="0.25">
      <c r="Y47" s="440"/>
    </row>
  </sheetData>
  <mergeCells count="9">
    <mergeCell ref="V7:W7"/>
    <mergeCell ref="X7:Y7"/>
    <mergeCell ref="B1:T1"/>
    <mergeCell ref="B2:T2"/>
    <mergeCell ref="B3:T3"/>
    <mergeCell ref="J6:P6"/>
    <mergeCell ref="D7:H7"/>
    <mergeCell ref="N7:P7"/>
    <mergeCell ref="R7:T7"/>
  </mergeCells>
  <printOptions horizontalCentered="1"/>
  <pageMargins left="0.75" right="0.75" top="1" bottom="1" header="0.5" footer="0.5"/>
  <pageSetup scale="7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8"/>
  <sheetViews>
    <sheetView view="pageBreakPreview" zoomScale="75" zoomScaleNormal="85" workbookViewId="0">
      <selection sqref="A1:F1"/>
    </sheetView>
  </sheetViews>
  <sheetFormatPr defaultColWidth="8.5" defaultRowHeight="15" x14ac:dyDescent="0.25"/>
  <cols>
    <col min="1" max="1" width="1.5" style="408" customWidth="1"/>
    <col min="2" max="2" width="9.75" style="408" customWidth="1"/>
    <col min="3" max="3" width="2.875" style="408" customWidth="1"/>
    <col min="4" max="4" width="11.25" style="408" hidden="1" customWidth="1"/>
    <col min="5" max="5" width="7.625" style="408" bestFit="1" customWidth="1"/>
    <col min="6" max="6" width="3.375" style="408" customWidth="1"/>
    <col min="7" max="7" width="11" style="408" bestFit="1" customWidth="1"/>
    <col min="8" max="8" width="1.75" style="408" customWidth="1"/>
    <col min="9" max="9" width="11" style="408" bestFit="1" customWidth="1"/>
    <col min="10" max="10" width="6.125" style="408" bestFit="1" customWidth="1"/>
    <col min="11" max="11" width="11" style="408" bestFit="1" customWidth="1"/>
    <col min="12" max="12" width="2" style="408" customWidth="1"/>
    <col min="13" max="13" width="11" style="408" bestFit="1" customWidth="1"/>
    <col min="14" max="14" width="2.875" style="408" customWidth="1"/>
    <col min="15" max="15" width="10.25" style="408" hidden="1" customWidth="1"/>
    <col min="16" max="16" width="2" style="408" hidden="1" customWidth="1"/>
    <col min="17" max="17" width="10.25" style="408" hidden="1" customWidth="1"/>
    <col min="18" max="18" width="4.625" style="408" hidden="1" customWidth="1"/>
    <col min="19" max="19" width="11" style="408" bestFit="1" customWidth="1"/>
    <col min="20" max="20" width="2" style="408" customWidth="1"/>
    <col min="21" max="21" width="11" style="408" bestFit="1" customWidth="1"/>
    <col min="22" max="22" width="3.125" style="408" customWidth="1"/>
    <col min="23" max="23" width="12.5" style="408" customWidth="1"/>
    <col min="24" max="24" width="10.875" style="408" bestFit="1" customWidth="1"/>
    <col min="25" max="25" width="8.5" style="408"/>
    <col min="26" max="26" width="13.875" style="408" customWidth="1"/>
    <col min="27" max="27" width="12.75" style="408" bestFit="1" customWidth="1"/>
    <col min="28" max="28" width="8.5" style="408" customWidth="1"/>
    <col min="29" max="29" width="2.625" style="449" customWidth="1"/>
    <col min="30" max="16384" width="8.5" style="408"/>
  </cols>
  <sheetData>
    <row r="1" spans="1:30" x14ac:dyDescent="0.25">
      <c r="A1" s="448"/>
      <c r="B1" s="448"/>
    </row>
    <row r="2" spans="1:30" x14ac:dyDescent="0.25">
      <c r="A2" s="448"/>
      <c r="B2" s="448"/>
      <c r="C2" s="450"/>
      <c r="D2" s="450"/>
      <c r="E2" s="450"/>
      <c r="F2" s="450"/>
      <c r="G2" s="450"/>
      <c r="H2" s="450"/>
      <c r="I2" s="450"/>
      <c r="J2" s="450"/>
      <c r="K2" s="450"/>
      <c r="L2" s="450"/>
    </row>
    <row r="3" spans="1:30" ht="18.75" x14ac:dyDescent="0.3">
      <c r="A3" s="448"/>
      <c r="B3" s="451"/>
      <c r="C3" s="452"/>
      <c r="D3" s="452"/>
      <c r="E3" s="452"/>
      <c r="F3" s="452"/>
      <c r="G3" s="452"/>
      <c r="H3" s="452"/>
      <c r="I3" s="452"/>
      <c r="J3" s="452"/>
      <c r="K3" s="452"/>
      <c r="L3" s="452"/>
      <c r="M3" s="453"/>
      <c r="N3" s="453"/>
      <c r="O3" s="453"/>
      <c r="P3" s="453"/>
      <c r="Q3" s="454"/>
      <c r="S3" s="453"/>
      <c r="T3" s="455" t="s">
        <v>0</v>
      </c>
      <c r="U3" s="454"/>
    </row>
    <row r="4" spans="1:30" ht="20.25" x14ac:dyDescent="0.3">
      <c r="B4" s="456" t="s">
        <v>302</v>
      </c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  <c r="P4" s="456"/>
      <c r="Q4" s="456"/>
      <c r="R4" s="456"/>
      <c r="S4" s="456"/>
      <c r="T4" s="456"/>
      <c r="U4" s="456"/>
    </row>
    <row r="5" spans="1:30" ht="20.25" x14ac:dyDescent="0.3">
      <c r="B5" s="456" t="s">
        <v>303</v>
      </c>
      <c r="C5" s="456"/>
      <c r="D5" s="456"/>
      <c r="E5" s="456"/>
      <c r="F5" s="456"/>
      <c r="G5" s="456"/>
      <c r="H5" s="456"/>
      <c r="I5" s="456"/>
      <c r="J5" s="456"/>
      <c r="K5" s="456"/>
      <c r="L5" s="456"/>
      <c r="M5" s="456"/>
      <c r="N5" s="456"/>
      <c r="O5" s="456"/>
      <c r="P5" s="456"/>
      <c r="Q5" s="456"/>
      <c r="R5" s="456"/>
      <c r="S5" s="456"/>
      <c r="T5" s="456"/>
      <c r="U5" s="456"/>
    </row>
    <row r="6" spans="1:30" ht="20.25" x14ac:dyDescent="0.3">
      <c r="B6" s="456" t="s">
        <v>324</v>
      </c>
      <c r="C6" s="456"/>
      <c r="D6" s="456"/>
      <c r="E6" s="456"/>
      <c r="F6" s="456"/>
      <c r="G6" s="456"/>
      <c r="H6" s="456"/>
      <c r="I6" s="456"/>
      <c r="J6" s="456"/>
      <c r="K6" s="456"/>
      <c r="L6" s="456"/>
      <c r="M6" s="456"/>
      <c r="N6" s="456"/>
      <c r="O6" s="456"/>
      <c r="P6" s="456"/>
      <c r="Q6" s="456"/>
      <c r="R6" s="456"/>
      <c r="S6" s="456"/>
      <c r="T6" s="456"/>
      <c r="U6" s="456"/>
    </row>
    <row r="7" spans="1:30" ht="20.25" x14ac:dyDescent="0.3">
      <c r="B7" s="457" t="s">
        <v>305</v>
      </c>
      <c r="C7" s="457"/>
      <c r="D7" s="457"/>
      <c r="E7" s="457"/>
      <c r="F7" s="457"/>
      <c r="G7" s="457"/>
      <c r="H7" s="457"/>
      <c r="I7" s="457"/>
      <c r="J7" s="457"/>
      <c r="K7" s="457"/>
      <c r="L7" s="457"/>
      <c r="M7" s="457"/>
      <c r="N7" s="457"/>
      <c r="O7" s="457"/>
      <c r="P7" s="457"/>
      <c r="Q7" s="457"/>
      <c r="R7" s="457"/>
      <c r="S7" s="457"/>
      <c r="T7" s="457"/>
      <c r="U7" s="457"/>
    </row>
    <row r="8" spans="1:30" ht="18.75" x14ac:dyDescent="0.3">
      <c r="B8" s="458"/>
      <c r="C8" s="459"/>
      <c r="D8" s="459"/>
      <c r="E8" s="459"/>
      <c r="F8" s="459"/>
      <c r="G8" s="459"/>
      <c r="H8" s="459"/>
      <c r="I8" s="459"/>
      <c r="J8" s="459"/>
      <c r="K8" s="459"/>
      <c r="L8" s="459"/>
      <c r="M8" s="459"/>
      <c r="N8" s="459"/>
      <c r="O8" s="459"/>
      <c r="P8" s="459"/>
      <c r="Q8" s="460"/>
      <c r="S8" s="459"/>
      <c r="T8" s="459"/>
      <c r="U8" s="460"/>
    </row>
    <row r="9" spans="1:30" x14ac:dyDescent="0.25">
      <c r="A9" s="450"/>
      <c r="B9" s="448"/>
    </row>
    <row r="10" spans="1:30" ht="15.75" x14ac:dyDescent="0.25">
      <c r="A10" s="450"/>
      <c r="B10" s="461" t="s">
        <v>325</v>
      </c>
      <c r="C10" s="462"/>
      <c r="D10" s="462"/>
      <c r="E10" s="462"/>
      <c r="F10" s="462"/>
      <c r="G10" s="463" t="s">
        <v>326</v>
      </c>
      <c r="H10" s="463"/>
      <c r="I10" s="463"/>
      <c r="J10" s="463"/>
      <c r="K10" s="463"/>
      <c r="L10" s="463"/>
      <c r="M10" s="463"/>
      <c r="N10" s="462"/>
      <c r="O10" s="464" t="s">
        <v>327</v>
      </c>
      <c r="P10" s="464"/>
      <c r="Q10" s="464"/>
      <c r="R10" s="465"/>
      <c r="S10" s="464" t="s">
        <v>328</v>
      </c>
      <c r="T10" s="464"/>
      <c r="U10" s="464"/>
    </row>
    <row r="11" spans="1:30" ht="16.5" thickBot="1" x14ac:dyDescent="0.3">
      <c r="A11" s="450"/>
      <c r="B11" s="466" t="s">
        <v>329</v>
      </c>
      <c r="C11" s="464"/>
      <c r="D11" s="461" t="s">
        <v>330</v>
      </c>
      <c r="E11" s="462"/>
      <c r="F11" s="462"/>
      <c r="G11" s="467" t="s">
        <v>13</v>
      </c>
      <c r="H11" s="467"/>
      <c r="I11" s="467"/>
      <c r="J11" s="468"/>
      <c r="K11" s="467" t="s">
        <v>10</v>
      </c>
      <c r="L11" s="467"/>
      <c r="M11" s="467"/>
      <c r="N11" s="462"/>
      <c r="O11" s="467" t="s">
        <v>96</v>
      </c>
      <c r="P11" s="467"/>
      <c r="Q11" s="467"/>
      <c r="R11" s="465"/>
      <c r="S11" s="467" t="s">
        <v>96</v>
      </c>
      <c r="T11" s="467"/>
      <c r="U11" s="467"/>
    </row>
    <row r="12" spans="1:30" ht="15.75" x14ac:dyDescent="0.25">
      <c r="A12" s="450"/>
      <c r="B12" s="469" t="s">
        <v>331</v>
      </c>
      <c r="C12" s="470"/>
      <c r="D12" s="471" t="s">
        <v>332</v>
      </c>
      <c r="E12" s="469" t="s">
        <v>309</v>
      </c>
      <c r="F12" s="462"/>
      <c r="G12" s="472" t="s">
        <v>333</v>
      </c>
      <c r="H12" s="473"/>
      <c r="I12" s="472" t="s">
        <v>334</v>
      </c>
      <c r="J12" s="462"/>
      <c r="K12" s="472" t="s">
        <v>333</v>
      </c>
      <c r="L12" s="473"/>
      <c r="M12" s="472" t="s">
        <v>334</v>
      </c>
      <c r="N12" s="462"/>
      <c r="O12" s="472" t="s">
        <v>333</v>
      </c>
      <c r="P12" s="462"/>
      <c r="Q12" s="472" t="s">
        <v>334</v>
      </c>
      <c r="R12" s="465"/>
      <c r="S12" s="472" t="s">
        <v>333</v>
      </c>
      <c r="T12" s="462"/>
      <c r="U12" s="472" t="s">
        <v>334</v>
      </c>
      <c r="W12" s="474"/>
      <c r="X12" s="475" t="s">
        <v>13</v>
      </c>
      <c r="Y12" s="476"/>
      <c r="Z12" s="475"/>
      <c r="AA12" s="475" t="s">
        <v>10</v>
      </c>
      <c r="AB12" s="476"/>
    </row>
    <row r="13" spans="1:30" ht="15.75" x14ac:dyDescent="0.25">
      <c r="A13" s="450"/>
      <c r="B13" s="462"/>
      <c r="C13" s="462"/>
      <c r="D13" s="462"/>
      <c r="E13" s="462"/>
      <c r="F13" s="462"/>
      <c r="G13" s="470"/>
      <c r="H13" s="470"/>
      <c r="I13" s="470"/>
      <c r="J13" s="470"/>
      <c r="K13" s="470"/>
      <c r="L13" s="470"/>
      <c r="M13" s="470"/>
      <c r="N13" s="465"/>
      <c r="O13" s="465"/>
      <c r="P13" s="465"/>
      <c r="Q13" s="465"/>
      <c r="R13" s="465"/>
      <c r="S13" s="465"/>
      <c r="T13" s="465"/>
      <c r="U13" s="465"/>
      <c r="W13" s="477" t="s">
        <v>335</v>
      </c>
      <c r="X13" s="435" t="s">
        <v>336</v>
      </c>
      <c r="Y13" s="478" t="s">
        <v>337</v>
      </c>
      <c r="Z13" s="435"/>
      <c r="AA13" s="435" t="s">
        <v>336</v>
      </c>
      <c r="AB13" s="478" t="s">
        <v>337</v>
      </c>
    </row>
    <row r="14" spans="1:30" ht="15.75" x14ac:dyDescent="0.25">
      <c r="A14" s="450"/>
      <c r="B14" s="462">
        <v>15</v>
      </c>
      <c r="C14" s="462"/>
      <c r="D14" s="462">
        <v>100</v>
      </c>
      <c r="E14" s="479">
        <v>5000</v>
      </c>
      <c r="F14" s="480"/>
      <c r="G14" s="481">
        <f>ROUND($X$15+IF($E14&gt;1000,IF($E14&gt;9000,(1000*X$21/100)+(8000*X$22/100)+(($E14-(9000))*X$23/100),(1000*X$21/100)+(($E14-1000)*X$22/100)),($E14*$X$21)/100)+IF(B$14&gt;W$18,$X$18*($B$14-W$18),0)+IF(B$14&gt;W$20,$X$20*($B$14-W$20),0),2)+AA$29</f>
        <v>430.24</v>
      </c>
      <c r="H14" s="481"/>
      <c r="I14" s="481">
        <f>ROUND($Y$15+IF($E14&gt;1000,IF($E14&gt;9000,(1000*Y$21/100)+(8000*Y$22/100)+(($E14-(9000))*Y$23/100),(1000*Y$21/100)+(($E14-1000)*Y$22/100)),($E14*$Y$21)/100)+IF(B$14&gt;W$18,$Y$18*($B$14-W$18),0)+IF(B$14&gt;W$20,$Y$20*($B$14-W$20),0),2)+AA$29</f>
        <v>435.02</v>
      </c>
      <c r="J14" s="481"/>
      <c r="K14" s="481">
        <f>ROUND($AA$15+IF($E14&gt;1000,IF($E14&gt;9000,(1000*AA$21/100)+(8000*AA$22/100)+(($E14-9000)*AA$23/100),(1000*AA$21/100)+(($E14-1000)*AA$22/100)),($E14*$AA$21)/100)+IF(B$14&gt;Z$18,$AA$18*($B$14-Z$18),0)+IF(B$14&gt;Z$20,$AA$20*($B$14-Z$20),0),2)+AA30</f>
        <v>439.89</v>
      </c>
      <c r="L14" s="481"/>
      <c r="M14" s="481">
        <f>ROUND($AB$15+IF($E14&gt;1000,IF($E14&gt;9000,(1000*AB$21/100)+(8000*AB$22/100)+(($E14-9000)*AB$23/100),(1000*AB$21/100)+(($E14-1000)*AB$22/100)),($E14*$AB$21)/100)+IF(B$14&gt;Z$18,$AB$18*($B$14-Z$18),0)+IF(B$14&gt;Z$20,$AB$20*($B$14-Z$20),0),2)+AA30</f>
        <v>444.79</v>
      </c>
      <c r="N14" s="462"/>
      <c r="O14" s="481">
        <f>K14-G14</f>
        <v>9.6499999999999773</v>
      </c>
      <c r="P14" s="481"/>
      <c r="Q14" s="481">
        <f>M14-I14</f>
        <v>9.7700000000000387</v>
      </c>
      <c r="R14" s="465"/>
      <c r="S14" s="482">
        <f>ROUND(K14/G14-1,4)</f>
        <v>2.24E-2</v>
      </c>
      <c r="T14" s="462"/>
      <c r="U14" s="482">
        <f>ROUND(M14/I14-1,4)</f>
        <v>2.2499999999999999E-2</v>
      </c>
      <c r="W14" s="477" t="s">
        <v>338</v>
      </c>
      <c r="X14" s="483">
        <v>9.76</v>
      </c>
      <c r="Y14" s="420">
        <v>14.54</v>
      </c>
      <c r="Z14" s="484"/>
      <c r="AA14" s="483">
        <f>'Billing Determinants'!G214</f>
        <v>9.99</v>
      </c>
      <c r="AB14" s="420">
        <f>'Billing Determinants'!G215</f>
        <v>14.89</v>
      </c>
      <c r="AC14" s="485"/>
      <c r="AD14" s="428"/>
    </row>
    <row r="15" spans="1:30" ht="15.75" x14ac:dyDescent="0.25">
      <c r="A15" s="450"/>
      <c r="B15" s="462"/>
      <c r="C15" s="462"/>
      <c r="D15" s="462">
        <v>200</v>
      </c>
      <c r="E15" s="479">
        <v>7500</v>
      </c>
      <c r="F15" s="480"/>
      <c r="G15" s="481">
        <f>ROUND($X$15+IF($E15&gt;1000,IF($E15&gt;9000,(1000*X$21/100)+(8000*X$22/100)+(($E15-(9000))*X$23/100),(1000*X$21/100)+(($E15-1000)*X$22/100)),($E15*$X$21)/100)+IF(B$14&gt;W$18,$X$18*($B$14-W$18),0)+IF(B$14&gt;W$20,$X$20*($B$14-W$20),0),2)+AA$29</f>
        <v>623.27</v>
      </c>
      <c r="H15" s="481"/>
      <c r="I15" s="481">
        <f>ROUND($Y$15+IF($E15&gt;1000,IF($E15&gt;9000,(1000*Y$21/100)+(8000*Y$22/100)+(($E15-(9000))*Y$23/100),(1000*Y$21/100)+(($E15-1000)*Y$22/100)),($E15*$Y$21)/100)+IF(B$14&gt;W$18,$Y$18*($B$14-W$18),0)+IF(B$14&gt;W$20,$Y$20*($B$14-W$20),0),2)+AA$29</f>
        <v>628.04999999999995</v>
      </c>
      <c r="J15" s="481"/>
      <c r="K15" s="481">
        <f>ROUND($AA$15+IF($E15&gt;1000,IF($E15&gt;9000,(1000*AA$21/100)+(8000*AA$22/100)+(($E15-9000)*AA$23/100),(1000*AA$21/100)+(($E15-1000)*AA$22/100)),($E15*$AA$21)/100)+IF(B$14&gt;Z$18,$AA$18*($B$14-Z$18),0)+IF(B$14&gt;Z$20,$AA$20*($B$14-Z$20),0),2)+AA30</f>
        <v>637.2399999999999</v>
      </c>
      <c r="L15" s="481"/>
      <c r="M15" s="481">
        <f>ROUND($AB$15+IF($E15&gt;1000,IF($E15&gt;9000,(1000*AB$21/100)+(8000*AB$22/100)+(($E15-9000)*AB$23/100),(1000*AB$21/100)+(($E15-1000)*AB$22/100)),($E15*$AB$21)/100)+IF(B$14&gt;Z$18,$AB$18*($B$14-Z$18),0)+IF(B$14&gt;Z$20,$AB$20*($B$14-Z$20),0),2)+AA30</f>
        <v>642.14</v>
      </c>
      <c r="N15" s="462"/>
      <c r="O15" s="481">
        <f>K15-G15</f>
        <v>13.969999999999914</v>
      </c>
      <c r="P15" s="481"/>
      <c r="Q15" s="481">
        <f>M15-I15</f>
        <v>14.090000000000032</v>
      </c>
      <c r="R15" s="465"/>
      <c r="S15" s="482">
        <f>ROUND(K15/G15-1,4)</f>
        <v>2.24E-2</v>
      </c>
      <c r="T15" s="462"/>
      <c r="U15" s="482">
        <f>ROUND(M15/I15-1,4)</f>
        <v>2.24E-2</v>
      </c>
      <c r="W15" s="477" t="s">
        <v>339</v>
      </c>
      <c r="X15" s="483">
        <f>X14</f>
        <v>9.76</v>
      </c>
      <c r="Y15" s="420">
        <f>Y14</f>
        <v>14.54</v>
      </c>
      <c r="Z15" s="484"/>
      <c r="AA15" s="483">
        <f>AA14</f>
        <v>9.99</v>
      </c>
      <c r="AB15" s="420">
        <f>AB14</f>
        <v>14.89</v>
      </c>
    </row>
    <row r="16" spans="1:30" ht="15.75" x14ac:dyDescent="0.25">
      <c r="A16" s="450"/>
      <c r="B16" s="462"/>
      <c r="C16" s="462"/>
      <c r="D16" s="462">
        <v>300</v>
      </c>
      <c r="E16" s="479">
        <v>10000</v>
      </c>
      <c r="F16" s="480"/>
      <c r="G16" s="481">
        <f>ROUND($X$15+IF($E16&gt;1000,IF($E16&gt;9000,(1000*X$21/100)+(8000*X$22/100)+(($E16-(9000))*X$23/100),(1000*X$21/100)+(($E16-1000)*X$22/100)),($E16*$X$21)/100)+IF(B$14&gt;W$18,$X$18*($B$14-W$18),0)+IF(B$14&gt;W$20,$X$20*($B$14-W$20),0),2)+AA$29</f>
        <v>806.11999999999989</v>
      </c>
      <c r="H16" s="481"/>
      <c r="I16" s="481">
        <f>ROUND($Y$15+IF($E16&gt;1000,IF($E16&gt;9000,(1000*Y$21/100)+(8000*Y$22/100)+(($E16-(9000))*Y$23/100),(1000*Y$21/100)+(($E16-1000)*Y$22/100)),($E16*$Y$21)/100)+IF(B$14&gt;W$18,$Y$18*($B$14-W$18),0)+IF(B$14&gt;W$20,$Y$20*($B$14-W$20),0),2)+AA$29</f>
        <v>810.9</v>
      </c>
      <c r="J16" s="481"/>
      <c r="K16" s="481">
        <f>ROUND($AA$15+IF($E16&gt;1000,IF($E16&gt;9000,(1000*AA$21/100)+(8000*AA$22/100)+(($E16-9000)*AA$23/100),(1000*AA$21/100)+(($E16-1000)*AA$22/100)),($E16*$AA$21)/100)+IF(B$14&gt;Z$18,$AA$18*($B$14-Z$18),0)+IF(B$14&gt;Z$20,$AA$20*($B$14-Z$20),0),2)+AA30</f>
        <v>824.17</v>
      </c>
      <c r="L16" s="481"/>
      <c r="M16" s="481">
        <f>ROUND($AB$15+IF($E16&gt;1000,IF($E16&gt;9000,(1000*AB$21/100)+(8000*AB$22/100)+(($E16-9000)*AB$23/100),(1000*AB$21/100)+(($E16-1000)*AB$22/100)),($E16*$AB$21)/100)+IF(B$14&gt;Z$18,$AB$18*($B$14-Z$18),0)+IF(B$14&gt;Z$20,$AB$20*($B$14-Z$20),0),2)+AA30</f>
        <v>829.06999999999994</v>
      </c>
      <c r="N16" s="462"/>
      <c r="O16" s="481">
        <f>K16-G16</f>
        <v>18.050000000000068</v>
      </c>
      <c r="P16" s="481"/>
      <c r="Q16" s="481">
        <f>M16-I16</f>
        <v>18.169999999999959</v>
      </c>
      <c r="R16" s="465"/>
      <c r="S16" s="482">
        <f>ROUND(K16/G16-1,4)</f>
        <v>2.24E-2</v>
      </c>
      <c r="T16" s="462"/>
      <c r="U16" s="482">
        <f>ROUND(M16/I16-1,4)</f>
        <v>2.24E-2</v>
      </c>
      <c r="W16" s="477"/>
      <c r="X16" s="435"/>
      <c r="Y16" s="478"/>
      <c r="Z16" s="435"/>
      <c r="AA16" s="483"/>
      <c r="AB16" s="420"/>
    </row>
    <row r="17" spans="1:30" ht="15.75" x14ac:dyDescent="0.25">
      <c r="A17" s="450"/>
      <c r="B17" s="465"/>
      <c r="C17" s="465"/>
      <c r="D17" s="465"/>
      <c r="E17" s="465"/>
      <c r="F17" s="465"/>
      <c r="G17" s="465"/>
      <c r="H17" s="465"/>
      <c r="I17" s="465"/>
      <c r="J17" s="465"/>
      <c r="K17" s="465"/>
      <c r="L17" s="465"/>
      <c r="M17" s="465"/>
      <c r="N17" s="465"/>
      <c r="O17" s="465"/>
      <c r="P17" s="465"/>
      <c r="Q17" s="465"/>
      <c r="R17" s="465"/>
      <c r="S17" s="465"/>
      <c r="T17" s="465"/>
      <c r="U17" s="465"/>
      <c r="W17" s="477" t="s">
        <v>335</v>
      </c>
      <c r="X17" s="483"/>
      <c r="Y17" s="420"/>
      <c r="Z17" s="486" t="s">
        <v>335</v>
      </c>
      <c r="AA17" s="483"/>
      <c r="AB17" s="420"/>
    </row>
    <row r="18" spans="1:30" ht="15.75" x14ac:dyDescent="0.25">
      <c r="A18" s="450"/>
      <c r="B18" s="462">
        <v>25</v>
      </c>
      <c r="C18" s="462"/>
      <c r="D18" s="462">
        <v>150</v>
      </c>
      <c r="E18" s="479">
        <f>ROUND((B$18*D18),0)</f>
        <v>3750</v>
      </c>
      <c r="F18" s="480"/>
      <c r="G18" s="481">
        <f>ROUND($X$15+IF($E18&gt;1000,IF($E18&gt;9000,(1000*X$21/100)+(8000*X$22/100)+(($E18-9000)*X$23/100),(1000*X$21/100)+(($E18-1000)*X$22/100)),($E18*$X$21)/100)+IF(B$18&gt;W$18,$X$18*($B$18-W$18),0)+IF(B$18&gt;W$20,$X$20*($B$18-W$20),0),2)+AA29</f>
        <v>380.93</v>
      </c>
      <c r="H18" s="481"/>
      <c r="I18" s="481">
        <f>ROUND($Y$15+IF($E18&gt;1000,IF($E18&gt;9000,(1000*Y$21/100)+(8000*Y$22/100)+(($E18-9000)*Y$23/100),(1000*Y$21/100)+(($E18-1000)*Y$22/100)),($E18*$Y$21)/100)+IF(B$18&gt;W$18,$Y$18*($B$18-W$18),0)+IF(B$18&gt;W$20,$Y$20*($B$18-W$20),0),2)+AA29</f>
        <v>385.71</v>
      </c>
      <c r="J18" s="481"/>
      <c r="K18" s="481">
        <f>ROUND($AA$15+IF($E18&gt;1000,IF($E18&gt;9000,(1000*AA$21/100)+(8000*AA$22/100)+(($E18-9000)*AA$23/100),(1000*AA$21/100)+(($E18-1000)*AA$22/100)),($E18*$AA$21)/100)+IF(B$18&gt;Z$18,$AA$18*($B$18-Z$18),0)+IF(B$18&gt;Z$20,$AA$20*($B$18-Z$20),0),2)+AA30</f>
        <v>389.62</v>
      </c>
      <c r="L18" s="481"/>
      <c r="M18" s="481">
        <f>ROUND($AB$15+IF($E18&gt;1000,IF($E18&gt;9000,(1000*AB$21/100)+(8000*AB$22/100)+(($E18-9000)*AB$23/100),(1000*AB$21/100)+(($E18-1000)*AB$22/100)),($E18*$AB$21)/100)+IF(B$18&gt;Z$18,$AB$18*($B$18-Z$18),0)+IF(B$18&gt;Z$20,$AB$20*($B$18-Z$20),0),2)+AA30</f>
        <v>394.52</v>
      </c>
      <c r="N18" s="462"/>
      <c r="O18" s="481">
        <f>K18-G18</f>
        <v>8.6899999999999977</v>
      </c>
      <c r="P18" s="481"/>
      <c r="Q18" s="481">
        <f>M18-I18</f>
        <v>8.8100000000000023</v>
      </c>
      <c r="R18" s="465"/>
      <c r="S18" s="482">
        <f>ROUND(K18/G18-1,4)</f>
        <v>2.2800000000000001E-2</v>
      </c>
      <c r="T18" s="462"/>
      <c r="U18" s="482">
        <f>ROUND(M18/I18-1,4)</f>
        <v>2.2800000000000001E-2</v>
      </c>
      <c r="W18" s="487">
        <v>15</v>
      </c>
      <c r="X18" s="483">
        <v>1.02</v>
      </c>
      <c r="Y18" s="420">
        <f>X18</f>
        <v>1.02</v>
      </c>
      <c r="Z18" s="488">
        <v>15</v>
      </c>
      <c r="AA18" s="483">
        <f>'Billing Determinants'!G216</f>
        <v>1.04</v>
      </c>
      <c r="AB18" s="420">
        <f>AA18</f>
        <v>1.04</v>
      </c>
      <c r="AD18" s="428"/>
    </row>
    <row r="19" spans="1:30" ht="15.75" x14ac:dyDescent="0.25">
      <c r="A19" s="450"/>
      <c r="B19" s="462"/>
      <c r="C19" s="462"/>
      <c r="D19" s="462">
        <v>200</v>
      </c>
      <c r="E19" s="479">
        <f>ROUND((B$18*D19),0)</f>
        <v>5000</v>
      </c>
      <c r="F19" s="480"/>
      <c r="G19" s="481">
        <f>ROUND($X$15+IF($E19&gt;1000,IF($E19&gt;9000,(1000*X$21/100)+(8000*X$22/100)+(($E19-9000)*X$23/100),(1000*X$21/100)+(($E19-1000)*X$22/100)),($E19*$X$21)/100)+IF(B$18&gt;W$18,$X$18*($B$18-W$18),0)+IF(B$18&gt;W$20,$X$20*($B$18-W$20),0),2)+AA29</f>
        <v>477.44</v>
      </c>
      <c r="H19" s="481"/>
      <c r="I19" s="481">
        <f>ROUND($Y$15+IF($E19&gt;1000,IF($E19&gt;9000,(1000*Y$21/100)+(8000*Y$22/100)+(($E19-9000)*Y$23/100),(1000*Y$21/100)+(($E19-1000)*Y$22/100)),($E19*$Y$21)/100)+IF(B$18&gt;W$18,$Y$18*($B$18-W$18),0)+IF(B$18&gt;W$20,$Y$20*($B$18-W$20),0),2)+AA29</f>
        <v>482.22</v>
      </c>
      <c r="J19" s="481"/>
      <c r="K19" s="481">
        <f>ROUND($AA$15+IF($E19&gt;1000,IF($E19&gt;9000,(1000*AA$21/100)+(8000*AA$22/100)+(($E19-9000)*AA$23/100),(1000*AA$21/100)+(($E19-1000)*AA$22/100)),($E19*$AA$21)/100)+IF(B$18&gt;Z$18,$AA$18*($B$18-Z$18),0)+IF(B$18&gt;Z$20,$AA$20*($B$18-Z$20),0),2)+AA30</f>
        <v>488.29</v>
      </c>
      <c r="L19" s="481"/>
      <c r="M19" s="481">
        <f>ROUND($AB$15+IF($E19&gt;1000,IF($E19&gt;9000,(1000*AB$21/100)+(8000*AB$22/100)+(($E19-9000)*AB$23/100),(1000*AB$21/100)+(($E19-1000)*AB$22/100)),($E19*$AB$21)/100)+IF(B$18&gt;Z$18,$AB$18*($B$18-Z$18),0)+IF(B$18&gt;Z$20,$AB$20*($B$18-Z$20),0),2)+AA30</f>
        <v>493.19</v>
      </c>
      <c r="N19" s="462"/>
      <c r="O19" s="481">
        <f>K19-G19</f>
        <v>10.850000000000023</v>
      </c>
      <c r="P19" s="481"/>
      <c r="Q19" s="481">
        <f>M19-I19</f>
        <v>10.96999999999997</v>
      </c>
      <c r="R19" s="465"/>
      <c r="S19" s="482">
        <f>ROUND(K19/G19-1,4)</f>
        <v>2.2700000000000001E-2</v>
      </c>
      <c r="T19" s="462"/>
      <c r="U19" s="482">
        <f>ROUND(M19/I19-1,4)</f>
        <v>2.2700000000000001E-2</v>
      </c>
      <c r="W19" s="477" t="s">
        <v>331</v>
      </c>
      <c r="X19" s="435"/>
      <c r="Y19" s="489"/>
      <c r="Z19" s="435" t="s">
        <v>331</v>
      </c>
      <c r="AA19" s="483"/>
      <c r="AB19" s="420"/>
    </row>
    <row r="20" spans="1:30" ht="15.75" x14ac:dyDescent="0.25">
      <c r="A20" s="450"/>
      <c r="B20" s="462"/>
      <c r="C20" s="462"/>
      <c r="D20" s="462">
        <v>400</v>
      </c>
      <c r="E20" s="479">
        <f>ROUND((B$18*D20),0)</f>
        <v>10000</v>
      </c>
      <c r="F20" s="480"/>
      <c r="G20" s="481">
        <f>ROUND($X$15+IF($E20&gt;1000,IF($E20&gt;9000,(1000*X$21/100)+(8000*X$22/100)+(($E20-9000)*X$23/100),(1000*X$21/100)+(($E20-1000)*X$22/100)),($E20*$X$21)/100)+IF(B$18&gt;W$18,$X$18*($B$18-W$18),0)+IF(B$18&gt;W$20,$X$20*($B$18-W$20),0),2)+AA29</f>
        <v>853.31999999999994</v>
      </c>
      <c r="H20" s="481"/>
      <c r="I20" s="481">
        <f>ROUND($Y$15+IF($E20&gt;1000,IF($E20&gt;9000,(1000*Y$21/100)+(8000*Y$22/100)+(($E20-9000)*Y$23/100),(1000*Y$21/100)+(($E20-1000)*Y$22/100)),($E20*$Y$21)/100)+IF(B$18&gt;W$18,$Y$18*($B$18-W$18),0)+IF(B$18&gt;W$20,$Y$20*($B$18-W$20),0),2)+AA29</f>
        <v>858.09999999999991</v>
      </c>
      <c r="J20" s="481"/>
      <c r="K20" s="481">
        <f>ROUND($AA$15+IF($E20&gt;1000,IF($E20&gt;9000,(1000*AA$21/100)+(8000*AA$22/100)+(($E20-9000)*AA$23/100),(1000*AA$21/100)+(($E20-1000)*AA$22/100)),($E20*$AA$21)/100)+IF(B$18&gt;Z$18,$AA$18*($B$18-Z$18),0)+IF(B$18&gt;Z$20,$AA$20*($B$18-Z$20),0),2)+AA30</f>
        <v>872.56999999999994</v>
      </c>
      <c r="L20" s="481"/>
      <c r="M20" s="481">
        <f>ROUND($AB$15+IF($E20&gt;1000,IF($E20&gt;9000,(1000*AB$21/100)+(8000*AB$22/100)+(($E20-9000)*AB$23/100),(1000*AB$21/100)+(($E20-1000)*AB$22/100)),($E20*$AB$21)/100)+IF(B$18&gt;Z$18,$AB$18*($B$18-Z$18),0)+IF(B$18&gt;Z$20,$AB$20*($B$18-Z$20),0),2)+AA30</f>
        <v>877.46999999999991</v>
      </c>
      <c r="N20" s="462"/>
      <c r="O20" s="481">
        <f>K20-G20</f>
        <v>19.25</v>
      </c>
      <c r="P20" s="481"/>
      <c r="Q20" s="481">
        <f>M20-I20</f>
        <v>19.370000000000005</v>
      </c>
      <c r="R20" s="465"/>
      <c r="S20" s="482">
        <f>ROUND(K20/G20-1,4)</f>
        <v>2.2599999999999999E-2</v>
      </c>
      <c r="T20" s="462"/>
      <c r="U20" s="482">
        <f>ROUND(M20/I20-1,4)</f>
        <v>2.2599999999999999E-2</v>
      </c>
      <c r="W20" s="487">
        <v>15</v>
      </c>
      <c r="X20" s="483">
        <v>3.7</v>
      </c>
      <c r="Y20" s="420">
        <f>X20</f>
        <v>3.7</v>
      </c>
      <c r="Z20" s="490">
        <v>15</v>
      </c>
      <c r="AA20" s="483">
        <f>'Billing Determinants'!G218</f>
        <v>3.8</v>
      </c>
      <c r="AB20" s="420">
        <f>AA20</f>
        <v>3.8</v>
      </c>
      <c r="AD20" s="428"/>
    </row>
    <row r="21" spans="1:30" ht="15.75" x14ac:dyDescent="0.25">
      <c r="A21" s="450"/>
      <c r="B21" s="465"/>
      <c r="C21" s="465"/>
      <c r="D21" s="465"/>
      <c r="E21" s="465"/>
      <c r="F21" s="480"/>
      <c r="G21" s="491"/>
      <c r="H21" s="491"/>
      <c r="I21" s="491"/>
      <c r="J21" s="491"/>
      <c r="K21" s="491"/>
      <c r="L21" s="491"/>
      <c r="M21" s="491"/>
      <c r="N21" s="465"/>
      <c r="O21" s="481"/>
      <c r="P21" s="481"/>
      <c r="Q21" s="481"/>
      <c r="R21" s="465"/>
      <c r="S21" s="482"/>
      <c r="T21" s="465"/>
      <c r="U21" s="465"/>
      <c r="W21" s="477" t="s">
        <v>340</v>
      </c>
      <c r="X21" s="492">
        <v>11.007999999999999</v>
      </c>
      <c r="Y21" s="422">
        <f>X21</f>
        <v>11.007999999999999</v>
      </c>
      <c r="Z21" s="435" t="s">
        <v>340</v>
      </c>
      <c r="AA21" s="492">
        <f>'Billing Determinants'!G219+'Billing Determinants'!G223+AA26+AA32</f>
        <v>11.257999999999999</v>
      </c>
      <c r="AB21" s="493">
        <f>AA21</f>
        <v>11.257999999999999</v>
      </c>
      <c r="AD21" s="424"/>
    </row>
    <row r="22" spans="1:30" ht="15.75" x14ac:dyDescent="0.25">
      <c r="A22" s="450"/>
      <c r="B22" s="462">
        <v>50</v>
      </c>
      <c r="C22" s="462"/>
      <c r="D22" s="462">
        <f>D18</f>
        <v>150</v>
      </c>
      <c r="E22" s="479">
        <f>ROUND((B$22*D22),0)</f>
        <v>7500</v>
      </c>
      <c r="F22" s="480"/>
      <c r="G22" s="481">
        <f>ROUND($X$15+IF($E22&gt;1000,IF($E22&gt;9000,(1000*X$21/100)+(8000*X$22/100)+(($E22-9000)*X$23/100),(1000*X$21/100)+(($E22-1000)*X$22/100)),($E22*$X$21)/100)+IF(B$22&gt;W$18,$X$18*($B$22-W$18),0)+IF(B$22&gt;W$20,$X$20*($B$22-W$20),0),2)+AA29</f>
        <v>788.46999999999991</v>
      </c>
      <c r="H22" s="481"/>
      <c r="I22" s="481">
        <f>ROUND($Y$15+IF($E22&gt;1000,IF($E22&gt;9000,(1000*Y$21/100)+(8000*Y$22/100)+(($E22-9000)*Y$23/100),(1000*Y$21/100)+(($E22-1000)*Y$22/100)),($E22*$Y$21)/100)+IF(B$22&gt;W$18,$Y$18*($B$22-W$18),0)+IF(B$22&gt;W$20,$Y$20*($B$22-W$20),0),2)+AA29</f>
        <v>793.25</v>
      </c>
      <c r="J22" s="481"/>
      <c r="K22" s="481">
        <f>ROUND($AA$15+IF($E22&gt;1000,IF($E22&gt;9000,(1000*AA$21/100)+(8000*AA$22/100)+(($E22-9000)*AA$23/100),(1000*AA$21/100)+(($E22-1000)*AA$22/100)),($E22*$AA$21)/100)+IF(B$22&gt;Z$18,$AA$18*($B$22-Z$18),0)+IF(B$22&gt;Z$20,$AA$20*($B$22-Z$20),0),2)+AA30</f>
        <v>806.64</v>
      </c>
      <c r="L22" s="481"/>
      <c r="M22" s="481">
        <f>ROUND($AB$15+IF($E22&gt;1000,IF($E22&gt;9000,(1000*AB$21/100)+(8000*AB$22/100)+(($E22-9000)*AB$23/100),(1000*AB$21/100)+(($E22-1000)*AB$22/100)),($E22*$AB$21)/100)+IF(B$22&gt;Z$18,$AB$18*($B$22-Z$18),0)+IF(B$22&gt;Z$20,$AB$20*($B$22-Z$20),0),2)+AA30</f>
        <v>811.54</v>
      </c>
      <c r="N22" s="462"/>
      <c r="O22" s="481">
        <f>K22-G22</f>
        <v>18.170000000000073</v>
      </c>
      <c r="P22" s="481"/>
      <c r="Q22" s="481">
        <f>M22-I22</f>
        <v>18.289999999999964</v>
      </c>
      <c r="R22" s="465"/>
      <c r="S22" s="482">
        <f>ROUND(K22/G22-1,4)</f>
        <v>2.3E-2</v>
      </c>
      <c r="T22" s="462"/>
      <c r="U22" s="482">
        <f>ROUND(M22/I22-1,4)</f>
        <v>2.3099999999999999E-2</v>
      </c>
      <c r="W22" s="477" t="s">
        <v>341</v>
      </c>
      <c r="X22" s="492">
        <v>7.7210000000000001</v>
      </c>
      <c r="Y22" s="422">
        <f>X22</f>
        <v>7.7210000000000001</v>
      </c>
      <c r="Z22" s="477" t="s">
        <v>341</v>
      </c>
      <c r="AA22" s="492">
        <f>'Billing Determinants'!G220+'Billing Determinants'!G224+AA26+AA32</f>
        <v>7.8940000000000001</v>
      </c>
      <c r="AB22" s="493">
        <f>AA22</f>
        <v>7.8940000000000001</v>
      </c>
      <c r="AD22" s="424"/>
    </row>
    <row r="23" spans="1:30" ht="15.75" x14ac:dyDescent="0.25">
      <c r="B23" s="462"/>
      <c r="C23" s="462"/>
      <c r="D23" s="462">
        <f>D19</f>
        <v>200</v>
      </c>
      <c r="E23" s="479">
        <f>ROUND((B$22*D23),0)</f>
        <v>10000</v>
      </c>
      <c r="F23" s="480"/>
      <c r="G23" s="481">
        <f>ROUND($X$15+IF($E23&gt;1000,IF($E23&gt;9000,(1000*X$21/100)+(8000*X$22/100)+(($E23-9000)*X$23/100),(1000*X$21/100)+(($E23-1000)*X$22/100)),($E23*$X$21)/100)+IF(B$22&gt;W$18,$X$18*($B$22-W$18),0)+IF(B$22&gt;W$20,$X$20*($B$22-W$20),0),2)+AA29</f>
        <v>971.31999999999994</v>
      </c>
      <c r="H23" s="481"/>
      <c r="I23" s="481">
        <f>ROUND($Y$15+IF($E23&gt;1000,IF($E23&gt;9000,(1000*Y$21/100)+(8000*Y$22/100)+(($E23-9000)*Y$23/100),(1000*Y$21/100)+(($E23-1000)*Y$22/100)),($E23*$Y$21)/100)+IF(B$22&gt;W$18,$Y$18*($B$22-W$18),0)+IF(B$22&gt;W$20,$Y$20*($B$22-W$20),0),2)+AA29</f>
        <v>976.09999999999991</v>
      </c>
      <c r="J23" s="481"/>
      <c r="K23" s="481">
        <f>ROUND($AA$15+IF($E23&gt;1000,IF($E23&gt;9000,(1000*AA$21/100)+(8000*AA$22/100)+(($E23-9000)*AA$23/100),(1000*AA$21/100)+(($E23-1000)*AA$22/100)),($E23*$AA$21)/100)+IF(B$22&gt;Z$18,$AA$18*($B$22-Z$18),0)+IF(B$22&gt;Z$20,$AA$20*($B$22-Z$20),0),2)+AA30</f>
        <v>993.56999999999994</v>
      </c>
      <c r="L23" s="481"/>
      <c r="M23" s="481">
        <f>ROUND($AB$15+IF($E23&gt;1000,IF($E23&gt;9000,(1000*AB$21/100)+(8000*AB$22/100)+(($E23-9000)*AB$23/100),(1000*AB$21/100)+(($E23-1000)*AB$22/100)),($E23*$AB$21)/100)+IF(B$22&gt;Z$18,$AB$18*($B$22-Z$18),0)+IF(B$22&gt;Z$20,$AB$20*($B$22-Z$20),0),2)+AA30</f>
        <v>998.46999999999991</v>
      </c>
      <c r="N23" s="462"/>
      <c r="O23" s="481">
        <f>K23-G23</f>
        <v>22.25</v>
      </c>
      <c r="P23" s="481"/>
      <c r="Q23" s="481">
        <f>M23-I23</f>
        <v>22.370000000000005</v>
      </c>
      <c r="R23" s="465"/>
      <c r="S23" s="482">
        <f>ROUND(K23/G23-1,4)</f>
        <v>2.29E-2</v>
      </c>
      <c r="T23" s="462"/>
      <c r="U23" s="482">
        <f>ROUND(M23/I23-1,4)</f>
        <v>2.29E-2</v>
      </c>
      <c r="W23" s="477" t="s">
        <v>342</v>
      </c>
      <c r="X23" s="492">
        <v>6.7040000000000006</v>
      </c>
      <c r="Y23" s="422">
        <f>X23</f>
        <v>6.7040000000000006</v>
      </c>
      <c r="Z23" s="477" t="s">
        <v>342</v>
      </c>
      <c r="AA23" s="492">
        <f>'Billing Determinants'!G221+'Billing Determinants'!G225+AA26+AA32</f>
        <v>6.8520000000000003</v>
      </c>
      <c r="AB23" s="493">
        <f>AA23</f>
        <v>6.8520000000000003</v>
      </c>
      <c r="AC23" s="485"/>
      <c r="AD23" s="428"/>
    </row>
    <row r="24" spans="1:30" ht="16.5" thickBot="1" x14ac:dyDescent="0.3">
      <c r="A24" s="450"/>
      <c r="B24" s="462"/>
      <c r="C24" s="462"/>
      <c r="D24" s="462">
        <f>D20</f>
        <v>400</v>
      </c>
      <c r="E24" s="479">
        <f>ROUND((B$22*D24),0)</f>
        <v>20000</v>
      </c>
      <c r="F24" s="480"/>
      <c r="G24" s="481">
        <f>ROUND($X$15+IF($E24&gt;1000,IF($E24&gt;9000,(1000*X$21/100)+(8000*X$22/100)+(($E24-9000)*X$23/100),(1000*X$21/100)+(($E24-1000)*X$22/100)),($E24*$X$21)/100)+IF(B$22&gt;W$18,$X$18*($B$22-W$18),0)+IF(B$22&gt;W$20,$X$20*($B$22-W$20),0),2)+AA29</f>
        <v>1641.72</v>
      </c>
      <c r="H24" s="481"/>
      <c r="I24" s="481">
        <f>ROUND($Y$15+IF($E24&gt;1000,IF($E24&gt;9000,(1000*Y$21/100)+(8000*Y$22/100)+(($E24-9000)*Y$23/100),(1000*Y$21/100)+(($E24-1000)*Y$22/100)),($E24*$Y$21)/100)+IF(B$22&gt;W$18,$Y$18*($B$22-W$18),0)+IF(B$22&gt;W$20,$Y$20*($B$22-W$20),0),2)+AA29</f>
        <v>1646.5</v>
      </c>
      <c r="J24" s="481"/>
      <c r="K24" s="481">
        <f>ROUND($AA$15+IF($E24&gt;1000,IF($E24&gt;9000,(1000*AA$21/100)+(8000*AA$22/100)+(($E24-9000)*AA$23/100),(1000*AA$21/100)+(($E24-1000)*AA$22/100)),($E24*$AA$21)/100)+IF(B$22&gt;Z$18,$AA$18*($B$22-Z$18),0)+IF(B$22&gt;Z$20,$AA$20*($B$22-Z$20),0),2)+AA30</f>
        <v>1678.77</v>
      </c>
      <c r="L24" s="481"/>
      <c r="M24" s="481">
        <f>ROUND($AB$15+IF($E24&gt;1000,IF($E24&gt;9000,(1000*AB$21/100)+(8000*AB$22/100)+(($E24-9000)*AB$23/100),(1000*AB$21/100)+(($E24-1000)*AB$22/100)),($E24*$AB$21)/100)+IF(B$22&gt;Z$18,$AB$18*($B$22-Z$18),0)+IF(B$22&gt;Z$20,$AB$20*($B$22-Z$20),0),2)+AA30</f>
        <v>1683.6699999999998</v>
      </c>
      <c r="N24" s="462"/>
      <c r="O24" s="481">
        <f>K24-G24</f>
        <v>37.049999999999955</v>
      </c>
      <c r="P24" s="481"/>
      <c r="Q24" s="481">
        <f>M24-I24</f>
        <v>37.169999999999845</v>
      </c>
      <c r="R24" s="465"/>
      <c r="S24" s="482">
        <f>ROUND(K24/G24-1,4)</f>
        <v>2.2599999999999999E-2</v>
      </c>
      <c r="T24" s="462"/>
      <c r="U24" s="482">
        <f>ROUND(M24/I24-1,4)</f>
        <v>2.2599999999999999E-2</v>
      </c>
      <c r="W24" s="431" t="s">
        <v>0</v>
      </c>
      <c r="X24" s="494" t="s">
        <v>0</v>
      </c>
      <c r="Y24" s="495" t="s">
        <v>0</v>
      </c>
      <c r="Z24" s="431" t="s">
        <v>0</v>
      </c>
      <c r="AA24" s="494" t="s">
        <v>0</v>
      </c>
      <c r="AB24" s="495" t="s">
        <v>0</v>
      </c>
    </row>
    <row r="25" spans="1:30" ht="15.75" x14ac:dyDescent="0.25">
      <c r="A25" s="450"/>
      <c r="B25" s="465"/>
      <c r="C25" s="465"/>
      <c r="D25" s="465"/>
      <c r="E25" s="465"/>
      <c r="F25" s="480"/>
      <c r="G25" s="491"/>
      <c r="H25" s="491"/>
      <c r="I25" s="491"/>
      <c r="J25" s="491"/>
      <c r="K25" s="491"/>
      <c r="L25" s="491"/>
      <c r="M25" s="491"/>
      <c r="N25" s="465"/>
      <c r="O25" s="481"/>
      <c r="P25" s="481"/>
      <c r="Q25" s="481"/>
      <c r="R25" s="465"/>
      <c r="S25" s="482"/>
      <c r="T25" s="465"/>
      <c r="U25" s="465"/>
      <c r="Y25" s="433" t="s">
        <v>314</v>
      </c>
      <c r="Z25" s="433"/>
      <c r="AA25" s="434">
        <v>0.376</v>
      </c>
      <c r="AB25" s="437" t="s">
        <v>0</v>
      </c>
    </row>
    <row r="26" spans="1:30" ht="15.75" x14ac:dyDescent="0.25">
      <c r="A26" s="450"/>
      <c r="B26" s="462">
        <v>75</v>
      </c>
      <c r="C26" s="462"/>
      <c r="D26" s="462">
        <v>333.33300000000003</v>
      </c>
      <c r="E26" s="479">
        <f>ROUND((B$26*D26),0)</f>
        <v>25000</v>
      </c>
      <c r="F26" s="496"/>
      <c r="G26" s="481">
        <f>ROUND($X$15+IF($E26&gt;1000,IF($E26&gt;9000,(1000*X$21/100)+(8000*X$22/100)+(($E26-9000)*X$23/100),(1000*X$21/100)+(($E26-1000)*X$22/100)),($E26*$X$21)/100)+IF(B$26&gt;W$18,$X$18*($B$26-W$18),0)+IF(B$26&gt;W$20,$X$20*($B$26-W$20),0),2)+AA29</f>
        <v>2094.92</v>
      </c>
      <c r="H26" s="481"/>
      <c r="I26" s="481">
        <f>ROUND($Y$15+IF($E26&gt;1000,IF($E26&gt;9000,(1000*Y$21/100)+(8000*Y$22/100)+(($E26-9000)*Y$23/100),(1000*Y$21/100)+(($E26-1000)*Y$22/100)),($E26*$Y$21)/100)+IF(B$26&gt;W$18,$Y$18*($B$26-W$18),0)+IF(B$26&gt;W$20,$Y$20*($B$26-W$20),0),2)+AA29</f>
        <v>2099.6999999999998</v>
      </c>
      <c r="J26" s="497"/>
      <c r="K26" s="481">
        <f>ROUND($AA$15+IF($E26&gt;1000,IF($E26&gt;9000,(1000*AA$21/100)+(8000*AA$22/100)+(($E26-9000)*AA$23/100),(1000*AA$21/100)+(($E26-1000)*AA$22/100)),($E26*$AA$21)/100)+IF(B$26&gt;Z$18,$AA$18*($B$26-Z$18),0)+IF(B$26&gt;Z$20,$AA$20*($B$26-Z$20),0),2)+AA30</f>
        <v>2142.37</v>
      </c>
      <c r="L26" s="481"/>
      <c r="M26" s="481">
        <f>ROUND($AB$15+IF($E26&gt;1000,IF($E26&gt;9000,(1000*AB$21/100)+(8000*AB$22/100)+(($E26-9000)*AB$23/100),(1000*AB$21/100)+(($E26-1000)*AB$22/100)),($E26*$AB$21)/100)+IF(B$26&gt;Z$18,$AB$18*($B$26-Z$18),0)+IF(B$26&gt;Z$20,$AB$20*($B$26-Z$20),0),2)+AA30</f>
        <v>2147.27</v>
      </c>
      <c r="N26" s="462"/>
      <c r="O26" s="481">
        <f>K26-G26</f>
        <v>47.449999999999818</v>
      </c>
      <c r="P26" s="481"/>
      <c r="Q26" s="481">
        <f>M26-I26</f>
        <v>47.570000000000164</v>
      </c>
      <c r="R26" s="465"/>
      <c r="S26" s="482">
        <f>ROUND(K26/G26-1,4)</f>
        <v>2.2700000000000001E-2</v>
      </c>
      <c r="T26" s="462"/>
      <c r="U26" s="482">
        <f>ROUND(M26/I26-1,4)</f>
        <v>2.2700000000000001E-2</v>
      </c>
      <c r="Y26" s="433"/>
      <c r="Z26" s="433"/>
      <c r="AA26" s="434">
        <v>0.376</v>
      </c>
      <c r="AB26" s="437" t="s">
        <v>0</v>
      </c>
    </row>
    <row r="27" spans="1:30" ht="15.75" x14ac:dyDescent="0.25">
      <c r="B27" s="462"/>
      <c r="C27" s="462"/>
      <c r="D27" s="462">
        <v>500</v>
      </c>
      <c r="E27" s="479">
        <f>ROUND((B$26*D27),0)</f>
        <v>37500</v>
      </c>
      <c r="F27" s="496"/>
      <c r="G27" s="481">
        <f>ROUND($X$15+IF($E27&gt;1000,IF($E27&gt;9000,(1000*X$21/100)+(8000*X$22/100)+(($E27-9000)*X$23/100),(1000*X$21/100)+(($E27-1000)*X$22/100)),($E27*$X$21)/100)+IF(B$26&gt;W$18,$X$18*($B$26-W$18),0)+IF(B$26&gt;W$20,$X$20*($B$26-W$20),0),2)+AA29</f>
        <v>2932.92</v>
      </c>
      <c r="H27" s="481"/>
      <c r="I27" s="481">
        <f>ROUND($Y$15+IF($E27&gt;1000,IF($E27&gt;9000,(1000*Y$21/100)+(8000*Y$22/100)+(($E27-9000)*Y$23/100),(1000*Y$21/100)+(($E27-1000)*Y$22/100)),($E27*$Y$21)/100)+IF(B$26&gt;W$18,$Y$18*($B$26-W$18),0)+IF(B$26&gt;W$20,$Y$20*($B$26-W$20),0),2)+AA29</f>
        <v>2937.7</v>
      </c>
      <c r="J27" s="497"/>
      <c r="K27" s="481">
        <f>ROUND($AA$15+IF($E27&gt;1000,IF($E27&gt;9000,(1000*AA$21/100)+(8000*AA$22/100)+(($E27-9000)*AA$23/100),(1000*AA$21/100)+(($E27-1000)*AA$22/100)),($E27*$AA$21)/100)+IF(B$26&gt;Z$18,$AA$18*($B$26-Z$18),0)+IF(B$26&gt;Z$20,$AA$20*($B$26-Z$20),0),2)+AA30</f>
        <v>2998.87</v>
      </c>
      <c r="L27" s="481"/>
      <c r="M27" s="481">
        <f>ROUND($AB$15+IF($E27&gt;1000,IF($E27&gt;9000,(1000*AB$21/100)+(8000*AB$22/100)+(($E27-9000)*AB$23/100),(1000*AB$21/100)+(($E27-1000)*AB$22/100)),($E27*$AB$21)/100)+IF(B$26&gt;Z$18,$AB$18*($B$26-Z$18),0)+IF(B$26&gt;Z$20,$AB$20*($B$26-Z$20),0),2)+AA30</f>
        <v>3003.77</v>
      </c>
      <c r="N27" s="462"/>
      <c r="O27" s="481">
        <f>K27-G27</f>
        <v>65.949999999999818</v>
      </c>
      <c r="P27" s="481"/>
      <c r="Q27" s="481">
        <f>M27-I27</f>
        <v>66.070000000000164</v>
      </c>
      <c r="R27" s="465"/>
      <c r="S27" s="482">
        <f>ROUND(K27/G27-1,4)</f>
        <v>2.2499999999999999E-2</v>
      </c>
      <c r="T27" s="462"/>
      <c r="U27" s="482">
        <f>ROUND(M27/I27-1,4)</f>
        <v>2.2499999999999999E-2</v>
      </c>
      <c r="Y27" s="433"/>
      <c r="Z27" s="433"/>
      <c r="AA27" s="436"/>
    </row>
    <row r="28" spans="1:30" ht="15.75" x14ac:dyDescent="0.25">
      <c r="A28" s="450"/>
      <c r="B28" s="462"/>
      <c r="C28" s="462"/>
      <c r="D28" s="462">
        <v>666.66600000000005</v>
      </c>
      <c r="E28" s="479">
        <f>ROUND((B$26*D28),0)</f>
        <v>50000</v>
      </c>
      <c r="F28" s="496"/>
      <c r="G28" s="481">
        <f>ROUND($X$15+IF($E28&gt;1000,IF($E28&gt;9000,(1000*X$21/100)+(8000*X$22/100)+(($E28-9000)*X$23/100),(1000*X$21/100)+(($E28-1000)*X$22/100)),($E28*$X$21)/100)+IF(B$26&gt;W$18,$X$18*($B$26-W$18),0)+IF(B$26&gt;W$20,$X$20*($B$26-W$20),0),2)+AA29</f>
        <v>3770.92</v>
      </c>
      <c r="H28" s="481"/>
      <c r="I28" s="481">
        <f>ROUND($Y$15+IF($E28&gt;1000,IF($E28&gt;9000,(1000*Y$21/100)+(8000*Y$22/100)+(($E28-9000)*Y$23/100),(1000*Y$21/100)+(($E28-1000)*Y$22/100)),($E28*$Y$21)/100)+IF(B$26&gt;W$18,$Y$18*($B$26-W$18),0)+IF(B$26&gt;W$20,$Y$20*($B$26-W$20),0),2)+AA29</f>
        <v>3775.7</v>
      </c>
      <c r="J28" s="497"/>
      <c r="K28" s="481">
        <f>ROUND($AA$15+IF($E28&gt;1000,IF($E28&gt;9000,(1000*AA$21/100)+(8000*AA$22/100)+(($E28-9000)*AA$23/100),(1000*AA$21/100)+(($E28-1000)*AA$22/100)),($E28*$AA$21)/100)+IF(B$26&gt;Z$18,$AA$18*($B$26-Z$18),0)+IF(B$26&gt;Z$20,$AA$20*($B$26-Z$20),0),2)+AA30</f>
        <v>3855.37</v>
      </c>
      <c r="L28" s="481"/>
      <c r="M28" s="481">
        <f>ROUND($AB$15+IF($E28&gt;1000,IF($E28&gt;9000,(1000*AB$21/100)+(8000*AB$22/100)+(($E28-9000)*AB$23/100),(1000*AB$21/100)+(($E28-1000)*AB$22/100)),($E28*$AB$21)/100)+IF(B$26&gt;Z$18,$AB$18*($B$26-Z$18),0)+IF(B$26&gt;Z$20,$AB$20*($B$26-Z$20),0),2)+AA30</f>
        <v>3860.27</v>
      </c>
      <c r="N28" s="462"/>
      <c r="O28" s="481">
        <f>K28-G28</f>
        <v>84.449999999999818</v>
      </c>
      <c r="P28" s="481"/>
      <c r="Q28" s="481">
        <f>M28-I28</f>
        <v>84.570000000000164</v>
      </c>
      <c r="R28" s="465"/>
      <c r="S28" s="482">
        <f>ROUND(K28/G28-1,4)</f>
        <v>2.24E-2</v>
      </c>
      <c r="T28" s="462"/>
      <c r="U28" s="482">
        <f>ROUND(M28/I28-1,4)</f>
        <v>2.24E-2</v>
      </c>
      <c r="Y28" s="408" t="s">
        <v>0</v>
      </c>
      <c r="AA28" s="408" t="s">
        <v>0</v>
      </c>
    </row>
    <row r="29" spans="1:30" ht="15.75" x14ac:dyDescent="0.25">
      <c r="A29" s="450"/>
      <c r="B29" s="498"/>
      <c r="C29" s="498"/>
      <c r="D29" s="498"/>
      <c r="E29" s="498"/>
      <c r="F29" s="499"/>
      <c r="G29" s="498"/>
      <c r="H29" s="498"/>
      <c r="I29" s="498"/>
      <c r="J29" s="498"/>
      <c r="K29" s="498"/>
      <c r="L29" s="498"/>
      <c r="M29" s="498"/>
      <c r="N29" s="498"/>
      <c r="O29" s="498"/>
      <c r="P29" s="498"/>
      <c r="Q29" s="498"/>
      <c r="R29" s="498"/>
      <c r="S29" s="498"/>
      <c r="T29" s="498"/>
      <c r="U29" s="498"/>
      <c r="Y29" s="408" t="s">
        <v>316</v>
      </c>
      <c r="AA29" s="428">
        <v>1.56</v>
      </c>
      <c r="AB29" s="408" t="s">
        <v>0</v>
      </c>
    </row>
    <row r="30" spans="1:30" ht="15.75" x14ac:dyDescent="0.25">
      <c r="A30" s="450"/>
      <c r="B30" s="462">
        <v>100</v>
      </c>
      <c r="C30" s="462"/>
      <c r="D30" s="462">
        <v>333.33300000000003</v>
      </c>
      <c r="E30" s="479">
        <f>ROUND((B$26*D30),0)</f>
        <v>25000</v>
      </c>
      <c r="F30" s="496"/>
      <c r="G30" s="481">
        <f>ROUND($X$15+IF($E30&gt;1000,IF($E30&gt;9000,(1000*X$21/100)+(8000*X$22/100)+(($E30-9000)*X$23/100),(1000*X$21/100)+(($E30-1000)*X$22/100)),($E30*$X$21)/100)+IF(B$30&gt;W$18,$X$18*($B$30-W$18),0)+IF(B$30&gt;W$20,$X$20*($B$30-W$20),0),2)+AA29</f>
        <v>2212.92</v>
      </c>
      <c r="H30" s="481"/>
      <c r="I30" s="481">
        <f>ROUND($Y$15+IF($E30&gt;1000,IF($E30&gt;9000,(1000*Y$21/100)+(8000*Y$22/100)+(($E30-9000)*Y$23/100),(1000*Y$21/100)+(($E30-1000)*Y$22/100)),($E30*$Y$21)/100)+IF(B$30&gt;W$18,$Y$18*($B$30-W$18),0)+IF(B$30&gt;W$20,$Y$20*($B$30-W$20),0),2)+AA29</f>
        <v>2217.6999999999998</v>
      </c>
      <c r="J30" s="497"/>
      <c r="K30" s="481">
        <f>ROUND($AA$15+IF($E30&gt;1000,IF($E30&gt;9000,(1000*AA$21/100)+(8000*AA$22/100)+(($E30-9000)*AA$23/100),(1000*AA$21/100)+(($E30-1000)*AA$22/100)),($E30*$AA$21)/100)+IF(B$30&gt;Z$18,$AA$18*($B$30-Z$18),0)+IF(B$30&gt;Z$20,$AA$20*($B$30-Z$20),0),2)+AA30</f>
        <v>2263.37</v>
      </c>
      <c r="L30" s="481"/>
      <c r="M30" s="481">
        <f>ROUND($AB$15+IF($E30&gt;1000,IF($E30&gt;9000,(1000*AB$21/100)+(8000*AB$22/100)+(($E30-9000)*AB$23/100),(1000*AB$21/100)+(($E30-1000)*AB$22/100)),($E30*$AB$21)/100)+IF(B$30&gt;Z$18,$AB$18*($B$30-Z$18),0)+IF(B$30&gt;Z$20,$AB$20*($B$30-Z$20),0),2)+AA30</f>
        <v>2268.27</v>
      </c>
      <c r="N30" s="462"/>
      <c r="O30" s="481">
        <f>K30-G30</f>
        <v>50.449999999999818</v>
      </c>
      <c r="P30" s="481"/>
      <c r="Q30" s="481">
        <f>M30-I30</f>
        <v>50.570000000000164</v>
      </c>
      <c r="R30" s="465"/>
      <c r="S30" s="482">
        <f>ROUND(K30/G30-1,4)</f>
        <v>2.2800000000000001E-2</v>
      </c>
      <c r="T30" s="462"/>
      <c r="U30" s="482">
        <f>ROUND(M30/I30-1,4)</f>
        <v>2.2800000000000001E-2</v>
      </c>
      <c r="Y30" s="408" t="s">
        <v>343</v>
      </c>
      <c r="Z30" s="424"/>
      <c r="AA30" s="428">
        <f>AA29</f>
        <v>1.56</v>
      </c>
    </row>
    <row r="31" spans="1:30" ht="15.75" x14ac:dyDescent="0.25">
      <c r="B31" s="462"/>
      <c r="C31" s="462"/>
      <c r="D31" s="462">
        <v>500</v>
      </c>
      <c r="E31" s="479">
        <f>ROUND((B$26*D31),0)</f>
        <v>37500</v>
      </c>
      <c r="F31" s="496"/>
      <c r="G31" s="481">
        <f>ROUND($X$15+IF($E31&gt;1000,IF($E31&gt;9000,(1000*X$21/100)+(8000*X$22/100)+(($E31-9000)*X$23/100),(1000*X$21/100)+(($E31-1000)*X$22/100)),($E31*$X$21)/100)+IF(B$30&gt;W$18,$X$18*($B$30-W$18),0)+IF(B$30&gt;W$20,$X$20*($B$30-W$20),0),2)+AA29</f>
        <v>3050.92</v>
      </c>
      <c r="H31" s="481"/>
      <c r="I31" s="481">
        <f>ROUND($Y$15+IF($E31&gt;1000,IF($E31&gt;9000,(1000*Y$21/100)+(8000*Y$22/100)+(($E31-9000)*Y$23/100),(1000*Y$21/100)+(($E31-1000)*Y$22/100)),($E31*$Y$21)/100)+IF(B$30&gt;W$18,$Y$18*($B$30-W$18),0)+IF(B$30&gt;W$20,$Y$20*($B$30-W$20),0),2)+AA29</f>
        <v>3055.7</v>
      </c>
      <c r="J31" s="497"/>
      <c r="K31" s="481">
        <f>ROUND($AA$15+IF($E31&gt;1000,IF($E31&gt;9000,(1000*AA$21/100)+(8000*AA$22/100)+(($E31-9000)*AA$23/100),(1000*AA$21/100)+(($E31-1000)*AA$22/100)),($E31*$AA$21)/100)+IF(B$30&gt;Z$18,$AA$18*($B$30-Z$18),0)+IF(B$30&gt;Z$20,$AA$20*($B$30-Z$20),0),2)+AA30</f>
        <v>3119.87</v>
      </c>
      <c r="L31" s="481"/>
      <c r="M31" s="481">
        <f>ROUND($AB$15+IF($E31&gt;1000,IF($E31&gt;9000,(1000*AB$21/100)+(8000*AB$22/100)+(($E31-9000)*AB$23/100),(1000*AB$21/100)+(($E31-1000)*AB$22/100)),($E31*$AB$21)/100)+IF(B$30&gt;Z$18,$AB$18*($B$30-Z$18),0)+IF(B$30&gt;Z$20,$AB$20*($B$30-Z$20),0),2)+AA30</f>
        <v>3124.77</v>
      </c>
      <c r="N31" s="462"/>
      <c r="O31" s="481">
        <f>K31-G31</f>
        <v>68.949999999999818</v>
      </c>
      <c r="P31" s="481"/>
      <c r="Q31" s="481">
        <f>M31-I31</f>
        <v>69.070000000000164</v>
      </c>
      <c r="R31" s="465"/>
      <c r="S31" s="482">
        <f>ROUND(K31/G31-1,4)</f>
        <v>2.2599999999999999E-2</v>
      </c>
      <c r="T31" s="462"/>
      <c r="U31" s="482">
        <f>ROUND(M31/I31-1,4)</f>
        <v>2.2599999999999999E-2</v>
      </c>
      <c r="Y31" s="428"/>
      <c r="Z31" s="428"/>
    </row>
    <row r="32" spans="1:30" ht="15.75" x14ac:dyDescent="0.25">
      <c r="A32" s="450"/>
      <c r="B32" s="462"/>
      <c r="C32" s="462"/>
      <c r="D32" s="462">
        <v>666.66600000000005</v>
      </c>
      <c r="E32" s="479">
        <f>ROUND((B$26*D32),0)</f>
        <v>50000</v>
      </c>
      <c r="F32" s="496"/>
      <c r="G32" s="481">
        <f>ROUND($X$15+IF($E32&gt;1000,IF($E32&gt;9000,(1000*X$21/100)+(8000*X$22/100)+(($E32-9000)*X$23/100),(1000*X$21/100)+(($E32-1000)*X$22/100)),($E32*$X$21)/100)+IF(B$30&gt;W$18,$X$18*($B$30-W$18),0)+IF(B$30&gt;W$20,$X$20*($B$30-W$20),0),2)+AA29</f>
        <v>3888.92</v>
      </c>
      <c r="H32" s="481"/>
      <c r="I32" s="481">
        <f>ROUND($Y$15+IF($E32&gt;1000,IF($E32&gt;9000,(1000*Y$21/100)+(8000*Y$22/100)+(($E32-9000)*Y$23/100),(1000*Y$21/100)+(($E32-1000)*Y$22/100)),($E32*$Y$21)/100)+IF(B$30&gt;W$18,$Y$18*($B$30-W$18),0)+IF(B$30&gt;W$20,$Y$20*($B$30-W$20),0),2)+AA29</f>
        <v>3893.7</v>
      </c>
      <c r="J32" s="497"/>
      <c r="K32" s="481">
        <f>ROUND($AA$15+IF($E32&gt;1000,IF($E32&gt;9000,(1000*AA$21/100)+(8000*AA$22/100)+(($E32-9000)*AA$23/100),(1000*AA$21/100)+(($E32-1000)*AA$22/100)),($E32*$AA$21)/100)+IF(B$30&gt;Z$18,$AA$18*($B$30-Z$18),0)+IF(B$30&gt;Z$20,$AA$20*($B$30-Z$20),0),2)+AA30</f>
        <v>3976.37</v>
      </c>
      <c r="L32" s="481"/>
      <c r="M32" s="481">
        <f>ROUND($AB$15+IF($E32&gt;1000,IF($E32&gt;9000,(1000*AB$21/100)+(8000*AB$22/100)+(($E32-9000)*AB$23/100),(1000*AB$21/100)+(($E32-1000)*AB$22/100)),($E32*$AB$21)/100)+IF(B$30&gt;Z$18,$AB$18*($B$30-Z$18),0)+IF(B$30&gt;Z$20,$AB$20*($B$30-Z$20),0),2)+AA30</f>
        <v>3981.27</v>
      </c>
      <c r="N32" s="462"/>
      <c r="O32" s="481">
        <f>K32-G32</f>
        <v>87.449999999999818</v>
      </c>
      <c r="P32" s="481"/>
      <c r="Q32" s="481">
        <f>M32-I32</f>
        <v>87.570000000000164</v>
      </c>
      <c r="R32" s="465"/>
      <c r="S32" s="482">
        <f>ROUND(K32/G32-1,4)</f>
        <v>2.2499999999999999E-2</v>
      </c>
      <c r="T32" s="462"/>
      <c r="U32" s="482">
        <f>ROUND(M32/I32-1,4)</f>
        <v>2.2499999999999999E-2</v>
      </c>
      <c r="Y32" s="408" t="s">
        <v>344</v>
      </c>
      <c r="AA32" s="437">
        <v>4.0000000000000001E-3</v>
      </c>
    </row>
    <row r="33" spans="1:24" ht="15.75" x14ac:dyDescent="0.25">
      <c r="A33" s="450"/>
      <c r="B33" s="465"/>
      <c r="C33" s="465"/>
      <c r="D33" s="465"/>
      <c r="E33" s="465"/>
      <c r="F33" s="480"/>
      <c r="G33" s="465"/>
      <c r="H33" s="465"/>
      <c r="I33" s="465"/>
      <c r="J33" s="465"/>
      <c r="K33" s="465"/>
      <c r="L33" s="465"/>
      <c r="M33" s="465"/>
      <c r="N33" s="465"/>
      <c r="O33" s="465"/>
      <c r="P33" s="465"/>
      <c r="Q33" s="465"/>
      <c r="R33" s="465"/>
      <c r="S33" s="465"/>
      <c r="T33" s="465"/>
      <c r="U33" s="465"/>
    </row>
    <row r="34" spans="1:24" ht="15.75" x14ac:dyDescent="0.25">
      <c r="A34" s="450"/>
      <c r="B34" s="465" t="s">
        <v>321</v>
      </c>
      <c r="C34" s="465"/>
      <c r="D34" s="465"/>
      <c r="E34" s="465"/>
      <c r="F34" s="480"/>
      <c r="G34" s="465"/>
      <c r="H34" s="465"/>
      <c r="I34" s="465"/>
      <c r="J34" s="465"/>
      <c r="K34" s="465"/>
      <c r="L34" s="465"/>
      <c r="M34" s="465"/>
      <c r="N34" s="465"/>
      <c r="O34" s="465"/>
      <c r="P34" s="465"/>
      <c r="Q34" s="465"/>
      <c r="R34" s="465"/>
      <c r="S34" s="465"/>
      <c r="T34" s="465"/>
      <c r="U34" s="465"/>
      <c r="W34" s="438" t="s">
        <v>345</v>
      </c>
      <c r="X34" s="439">
        <f>'Est Effect of Base Rate Inc'!V23</f>
        <v>2.3468123094442284E-2</v>
      </c>
    </row>
    <row r="35" spans="1:24" ht="15.75" x14ac:dyDescent="0.25">
      <c r="B35" s="500" t="s">
        <v>346</v>
      </c>
      <c r="C35" s="465"/>
      <c r="D35" s="465"/>
      <c r="E35" s="465"/>
      <c r="F35" s="465"/>
      <c r="G35" s="465"/>
      <c r="H35" s="465"/>
      <c r="I35" s="465"/>
      <c r="J35" s="465"/>
      <c r="K35" s="465"/>
      <c r="L35" s="465"/>
      <c r="M35" s="465"/>
      <c r="N35" s="465"/>
      <c r="O35" s="465"/>
      <c r="P35" s="465"/>
      <c r="Q35" s="465"/>
      <c r="R35" s="465"/>
      <c r="S35" s="465"/>
      <c r="T35" s="465"/>
      <c r="U35" s="465"/>
      <c r="X35" s="440" t="s">
        <v>0</v>
      </c>
    </row>
    <row r="36" spans="1:24" x14ac:dyDescent="0.25">
      <c r="A36" s="450"/>
    </row>
    <row r="37" spans="1:24" x14ac:dyDescent="0.25">
      <c r="A37" s="450"/>
    </row>
    <row r="38" spans="1:24" x14ac:dyDescent="0.25">
      <c r="A38" s="450"/>
    </row>
    <row r="40" spans="1:24" x14ac:dyDescent="0.25">
      <c r="A40" s="450"/>
    </row>
    <row r="41" spans="1:24" x14ac:dyDescent="0.25">
      <c r="A41" s="450"/>
    </row>
    <row r="42" spans="1:24" x14ac:dyDescent="0.25">
      <c r="A42" s="450"/>
    </row>
    <row r="43" spans="1:24" x14ac:dyDescent="0.25">
      <c r="A43" s="450"/>
    </row>
    <row r="44" spans="1:24" x14ac:dyDescent="0.25">
      <c r="A44" s="450"/>
    </row>
    <row r="45" spans="1:24" x14ac:dyDescent="0.25">
      <c r="A45" s="450"/>
    </row>
    <row r="46" spans="1:24" x14ac:dyDescent="0.25">
      <c r="A46" s="450"/>
    </row>
    <row r="47" spans="1:24" x14ac:dyDescent="0.25">
      <c r="A47" s="450"/>
    </row>
    <row r="48" spans="1:24" x14ac:dyDescent="0.25">
      <c r="P48" s="440"/>
    </row>
  </sheetData>
  <printOptions horizontalCentered="1"/>
  <pageMargins left="0.5" right="0.5" top="0.5" bottom="0.5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7"/>
  <sheetViews>
    <sheetView view="pageBreakPreview" zoomScale="75" zoomScaleNormal="100" zoomScaleSheetLayoutView="100" workbookViewId="0">
      <selection sqref="A1:F1"/>
    </sheetView>
  </sheetViews>
  <sheetFormatPr defaultColWidth="8.5" defaultRowHeight="15" x14ac:dyDescent="0.25"/>
  <cols>
    <col min="1" max="1" width="1.625" style="408" customWidth="1"/>
    <col min="2" max="2" width="10.375" style="408" customWidth="1"/>
    <col min="3" max="3" width="2.375" style="408" customWidth="1"/>
    <col min="4" max="4" width="10.875" style="408" hidden="1" customWidth="1"/>
    <col min="5" max="5" width="9.375" style="408" customWidth="1"/>
    <col min="6" max="6" width="3.5" style="408" customWidth="1"/>
    <col min="7" max="7" width="14" style="408" bestFit="1" customWidth="1"/>
    <col min="8" max="8" width="3.625" style="408" customWidth="1"/>
    <col min="9" max="9" width="14" style="408" bestFit="1" customWidth="1"/>
    <col min="10" max="10" width="4.5" style="408" customWidth="1"/>
    <col min="11" max="11" width="12.375" style="408" customWidth="1"/>
    <col min="12" max="12" width="2.375" style="408" customWidth="1"/>
    <col min="13" max="13" width="3" style="408" customWidth="1"/>
    <col min="14" max="14" width="9.5" style="408" customWidth="1"/>
    <col min="15" max="15" width="10.75" style="408" bestFit="1" customWidth="1"/>
    <col min="16" max="16" width="15.25" style="408" customWidth="1"/>
    <col min="17" max="17" width="5.75" style="408" customWidth="1"/>
    <col min="18" max="18" width="8.5" style="408"/>
    <col min="19" max="19" width="7.75" style="408" customWidth="1"/>
    <col min="20" max="20" width="2.25" style="408" customWidth="1"/>
    <col min="21" max="16384" width="8.5" style="408"/>
  </cols>
  <sheetData>
    <row r="1" spans="1:19" x14ac:dyDescent="0.25">
      <c r="A1" s="448"/>
      <c r="B1" s="448"/>
    </row>
    <row r="2" spans="1:19" x14ac:dyDescent="0.25">
      <c r="A2" s="448"/>
      <c r="B2" s="448"/>
      <c r="C2" s="450"/>
      <c r="D2" s="450"/>
      <c r="E2" s="450"/>
      <c r="F2" s="450"/>
      <c r="G2" s="450"/>
      <c r="H2" s="450"/>
      <c r="I2" s="450"/>
    </row>
    <row r="3" spans="1:19" ht="18.75" x14ac:dyDescent="0.3">
      <c r="A3" s="448"/>
      <c r="B3" s="451"/>
      <c r="C3" s="452"/>
      <c r="D3" s="452"/>
      <c r="E3" s="452"/>
      <c r="F3" s="452"/>
      <c r="G3" s="452"/>
      <c r="H3" s="452"/>
      <c r="I3" s="452"/>
      <c r="J3" s="455" t="s">
        <v>0</v>
      </c>
      <c r="K3" s="501"/>
    </row>
    <row r="4" spans="1:19" ht="20.25" x14ac:dyDescent="0.3">
      <c r="B4" s="456" t="s">
        <v>302</v>
      </c>
      <c r="C4" s="456"/>
      <c r="D4" s="456"/>
      <c r="E4" s="456"/>
      <c r="F4" s="456"/>
      <c r="G4" s="456"/>
      <c r="H4" s="456"/>
      <c r="I4" s="456"/>
      <c r="J4" s="456"/>
      <c r="K4" s="456"/>
      <c r="L4" s="460"/>
      <c r="M4" s="460"/>
    </row>
    <row r="5" spans="1:19" ht="20.25" x14ac:dyDescent="0.3">
      <c r="B5" s="456" t="s">
        <v>303</v>
      </c>
      <c r="C5" s="456"/>
      <c r="D5" s="456"/>
      <c r="E5" s="456"/>
      <c r="F5" s="456"/>
      <c r="G5" s="456"/>
      <c r="H5" s="456"/>
      <c r="I5" s="456"/>
      <c r="J5" s="456"/>
      <c r="K5" s="456"/>
      <c r="L5" s="460"/>
      <c r="M5" s="460"/>
    </row>
    <row r="6" spans="1:19" ht="20.25" x14ac:dyDescent="0.3">
      <c r="B6" s="456" t="s">
        <v>347</v>
      </c>
      <c r="C6" s="456"/>
      <c r="D6" s="456"/>
      <c r="E6" s="456"/>
      <c r="F6" s="456"/>
      <c r="G6" s="456"/>
      <c r="H6" s="456"/>
      <c r="I6" s="456"/>
      <c r="J6" s="456"/>
      <c r="K6" s="456"/>
      <c r="L6" s="460"/>
      <c r="M6" s="460"/>
    </row>
    <row r="7" spans="1:19" ht="20.25" x14ac:dyDescent="0.3">
      <c r="B7" s="456" t="s">
        <v>305</v>
      </c>
      <c r="C7" s="456"/>
      <c r="D7" s="456"/>
      <c r="E7" s="456"/>
      <c r="F7" s="456"/>
      <c r="G7" s="456"/>
      <c r="H7" s="456"/>
      <c r="I7" s="456"/>
      <c r="J7" s="456"/>
      <c r="K7" s="456"/>
      <c r="L7" s="460"/>
      <c r="M7" s="460"/>
    </row>
    <row r="8" spans="1:19" ht="18.75" x14ac:dyDescent="0.3">
      <c r="A8" s="458"/>
      <c r="B8" s="459"/>
      <c r="C8" s="459"/>
      <c r="D8" s="459"/>
      <c r="E8" s="459"/>
      <c r="F8" s="459"/>
      <c r="G8" s="459"/>
      <c r="H8" s="459"/>
      <c r="I8" s="459"/>
      <c r="J8" s="459"/>
      <c r="K8" s="460"/>
      <c r="L8" s="459"/>
      <c r="M8" s="459"/>
    </row>
    <row r="9" spans="1:19" x14ac:dyDescent="0.25">
      <c r="A9" s="450"/>
      <c r="B9" s="448"/>
    </row>
    <row r="10" spans="1:19" ht="15.75" x14ac:dyDescent="0.25">
      <c r="A10" s="450"/>
      <c r="B10" s="461" t="s">
        <v>325</v>
      </c>
      <c r="C10" s="462"/>
      <c r="D10" s="462"/>
      <c r="E10" s="462"/>
      <c r="F10" s="462"/>
      <c r="G10" s="463" t="s">
        <v>326</v>
      </c>
      <c r="H10" s="463"/>
      <c r="I10" s="463"/>
      <c r="J10" s="462"/>
      <c r="K10" s="465"/>
      <c r="L10" s="450"/>
      <c r="M10" s="450"/>
    </row>
    <row r="11" spans="1:19" ht="16.5" thickBot="1" x14ac:dyDescent="0.3">
      <c r="A11" s="450"/>
      <c r="B11" s="466" t="s">
        <v>329</v>
      </c>
      <c r="C11" s="464"/>
      <c r="D11" s="461" t="s">
        <v>330</v>
      </c>
      <c r="E11" s="462"/>
      <c r="F11" s="462"/>
      <c r="G11" s="502" t="s">
        <v>13</v>
      </c>
      <c r="H11" s="465"/>
      <c r="I11" s="502" t="s">
        <v>10</v>
      </c>
      <c r="J11" s="462"/>
      <c r="K11" s="464" t="s">
        <v>328</v>
      </c>
      <c r="L11" s="450"/>
      <c r="M11" s="450"/>
      <c r="O11" s="503"/>
    </row>
    <row r="12" spans="1:19" ht="15.75" x14ac:dyDescent="0.25">
      <c r="A12" s="450"/>
      <c r="B12" s="469" t="s">
        <v>331</v>
      </c>
      <c r="C12" s="470"/>
      <c r="D12" s="471" t="s">
        <v>332</v>
      </c>
      <c r="E12" s="469" t="s">
        <v>309</v>
      </c>
      <c r="F12" s="462"/>
      <c r="G12" s="469" t="s">
        <v>348</v>
      </c>
      <c r="H12" s="504"/>
      <c r="I12" s="469" t="s">
        <v>349</v>
      </c>
      <c r="J12" s="462"/>
      <c r="K12" s="467" t="s">
        <v>96</v>
      </c>
      <c r="L12" s="450"/>
      <c r="M12" s="450"/>
      <c r="N12" s="580" t="s">
        <v>13</v>
      </c>
      <c r="O12" s="581"/>
      <c r="P12" s="581"/>
      <c r="Q12" s="582"/>
      <c r="R12" s="583" t="s">
        <v>10</v>
      </c>
      <c r="S12" s="582"/>
    </row>
    <row r="13" spans="1:19" ht="15.75" x14ac:dyDescent="0.25">
      <c r="A13" s="450"/>
      <c r="B13" s="462"/>
      <c r="C13" s="462"/>
      <c r="D13" s="462"/>
      <c r="E13" s="462"/>
      <c r="F13" s="462"/>
      <c r="G13" s="470"/>
      <c r="H13" s="470"/>
      <c r="I13" s="470"/>
      <c r="J13" s="465"/>
      <c r="K13" s="465"/>
      <c r="N13" s="477" t="s">
        <v>335</v>
      </c>
      <c r="O13" s="411" t="s">
        <v>12</v>
      </c>
      <c r="P13" s="411" t="s">
        <v>350</v>
      </c>
      <c r="Q13" s="478"/>
      <c r="R13" s="411" t="s">
        <v>12</v>
      </c>
      <c r="S13" s="505" t="s">
        <v>350</v>
      </c>
    </row>
    <row r="14" spans="1:19" ht="15.75" x14ac:dyDescent="0.25">
      <c r="A14" s="450"/>
      <c r="B14" s="462">
        <v>100</v>
      </c>
      <c r="C14" s="462"/>
      <c r="D14" s="462">
        <v>300</v>
      </c>
      <c r="E14" s="479">
        <v>25000</v>
      </c>
      <c r="F14" s="462"/>
      <c r="G14" s="481">
        <f>ROUND(IF($E14&lt;40001,$E14*$O$19/100,40000*$O$19/100+($E14-40000)*$O$20/100)+MAX(100, $B$14)*$O$18+IF($B$14&lt;101,$O$14,IF($B$14&lt;301,$O$15+$B$14*$P$15,$O$16+$B$14*$P$16)),2)+R26</f>
        <v>2373.64</v>
      </c>
      <c r="H14" s="481"/>
      <c r="I14" s="481">
        <f>ROUND(IF($E14&lt;40001,$E14*$R$19/100,40000*$R$19/100+($E14-40000)*$R$20/100)+MAX(100, $B$14)*$R$18+IF($B$14&lt;101,$R$14,IF($B$14&lt;301,$R$15+$B$14*$S$15,$R$16+$B$14*$S$16)),2)+R27</f>
        <v>2425.39</v>
      </c>
      <c r="J14" s="462"/>
      <c r="K14" s="482">
        <f>ROUND(I14/G14-1,4)</f>
        <v>2.18E-2</v>
      </c>
      <c r="L14" s="450"/>
      <c r="M14" s="450"/>
      <c r="N14" s="477" t="s">
        <v>351</v>
      </c>
      <c r="O14" s="506">
        <v>264</v>
      </c>
      <c r="P14" s="484"/>
      <c r="Q14" s="478"/>
      <c r="R14" s="506">
        <f>'Billing Determinants'!G645</f>
        <v>268</v>
      </c>
      <c r="S14" s="489"/>
    </row>
    <row r="15" spans="1:19" ht="15.75" x14ac:dyDescent="0.25">
      <c r="A15" s="450"/>
      <c r="B15" s="462"/>
      <c r="C15" s="462"/>
      <c r="D15" s="462">
        <v>500</v>
      </c>
      <c r="E15" s="479">
        <v>37500</v>
      </c>
      <c r="F15" s="462"/>
      <c r="G15" s="481">
        <f>ROUND(IF($E15&lt;40001,$E15*$O$19/100,40000*$O$19/100+($E15-40000)*$O$20/100)+MAX(100, $B$14)*$O$18+IF($B$14&lt;101,$O$14,IF($B$14&lt;301,$O$15+$B$14*$P$15,$O$16+$B$14*$P$16)),2)+R26</f>
        <v>3136.02</v>
      </c>
      <c r="H15" s="481"/>
      <c r="I15" s="481">
        <f>ROUND(IF($E15&lt;40001,$E15*$R$19/100,40000*$R$19/100+($E15-40000)*$R$20/100)+MAX(100, $B$14)*$R$18+IF($B$14&lt;101,$R$14,IF($B$14&lt;301,$R$15+$B$14*$S$15,$R$16+$B$14*$S$16)),2)+R27</f>
        <v>3205.14</v>
      </c>
      <c r="J15" s="462"/>
      <c r="K15" s="482">
        <f>ROUND(I15/G15-1,4)</f>
        <v>2.1999999999999999E-2</v>
      </c>
      <c r="L15" s="450"/>
      <c r="M15" s="450"/>
      <c r="N15" s="477" t="s">
        <v>352</v>
      </c>
      <c r="O15" s="506">
        <v>98</v>
      </c>
      <c r="P15" s="483">
        <v>1.79</v>
      </c>
      <c r="Q15" s="505"/>
      <c r="R15" s="506">
        <f>'Billing Determinants'!G646</f>
        <v>100</v>
      </c>
      <c r="S15" s="420">
        <f>'Billing Determinants'!G649</f>
        <v>1.83</v>
      </c>
    </row>
    <row r="16" spans="1:19" ht="15.75" x14ac:dyDescent="0.25">
      <c r="A16" s="450"/>
      <c r="B16" s="462"/>
      <c r="C16" s="462"/>
      <c r="D16" s="462">
        <v>700</v>
      </c>
      <c r="E16" s="479">
        <v>50000</v>
      </c>
      <c r="F16" s="462"/>
      <c r="G16" s="481">
        <f>ROUND(IF($E16&lt;40001,$E16*$O$19/100,40000*$O$19/100+($E16-40000)*$O$20/100)+MAX(100, $B$14)*$O$18+IF($B$14&lt;101,$O$14,IF($B$14&lt;301,$O$15+$B$14*$P$15,$O$16+$B$14*$P$16)),2)+R26</f>
        <v>3849.89</v>
      </c>
      <c r="H16" s="481"/>
      <c r="I16" s="481">
        <f>ROUND(IF($E16&lt;40001,$E16*$R$19/100,40000*$R$19/100+($E16-40000)*$R$20/100)+MAX(100, $B$14)*$R$18+IF($B$14&lt;101,$R$14,IF($B$14&lt;301,$R$15+$B$14*$S$15,$R$16+$B$14*$S$16)),2)+R27</f>
        <v>3934.69</v>
      </c>
      <c r="J16" s="462"/>
      <c r="K16" s="482">
        <f>ROUND(I16/G16-1,4)</f>
        <v>2.1999999999999999E-2</v>
      </c>
      <c r="N16" s="477" t="s">
        <v>353</v>
      </c>
      <c r="O16" s="506">
        <v>195</v>
      </c>
      <c r="P16" s="483">
        <v>1.46</v>
      </c>
      <c r="Q16" s="478"/>
      <c r="R16" s="506">
        <f>'Billing Determinants'!G605</f>
        <v>200</v>
      </c>
      <c r="S16" s="420">
        <f>'Billing Determinants'!G650</f>
        <v>1.5</v>
      </c>
    </row>
    <row r="17" spans="1:21" ht="15.75" x14ac:dyDescent="0.25">
      <c r="A17" s="450"/>
      <c r="B17" s="462"/>
      <c r="C17" s="462"/>
      <c r="D17" s="462"/>
      <c r="E17" s="462"/>
      <c r="F17" s="462"/>
      <c r="G17" s="481"/>
      <c r="H17" s="481"/>
      <c r="I17" s="481"/>
      <c r="J17" s="465"/>
      <c r="K17" s="482"/>
      <c r="L17" s="450"/>
      <c r="M17" s="450"/>
      <c r="N17" s="477"/>
      <c r="O17" s="484"/>
      <c r="P17" s="484"/>
      <c r="Q17" s="478"/>
      <c r="R17" s="484"/>
      <c r="S17" s="489"/>
    </row>
    <row r="18" spans="1:21" ht="15.75" x14ac:dyDescent="0.25">
      <c r="A18" s="450"/>
      <c r="B18" s="462">
        <v>200</v>
      </c>
      <c r="C18" s="462"/>
      <c r="D18" s="462">
        <v>300</v>
      </c>
      <c r="E18" s="479">
        <f>ROUND((B$18*D18),0)</f>
        <v>60000</v>
      </c>
      <c r="F18" s="462"/>
      <c r="G18" s="481">
        <f>ROUND(IF($E18&lt;40001,$E18*$O$19/100,40000*$O$19/100+($E18-40000)*$O$20/100)+MAX(100, $B$18)*$O$18+IF($B$18&lt;101,$O$14,IF($B$18&lt;301,$O$15+$B$18*$P$15,$O$16+$B$18*$P$16)),2)+R26</f>
        <v>5150.29</v>
      </c>
      <c r="H18" s="481"/>
      <c r="I18" s="481">
        <f>ROUND(IF($E18&lt;40001,$E18*$R$19/100,40000*$R$19/100+($E18-40000)*$R$20/100)+MAX(100, $B$18)*$R$18+IF($B$18&lt;101,$R$14,IF($B$18&lt;301,$R$15+$B$18*$S$15,$R$16+$B$18*$S$16)),2)+R27</f>
        <v>5266.29</v>
      </c>
      <c r="J18" s="462"/>
      <c r="K18" s="482">
        <f>ROUND(I18/G18-1,4)</f>
        <v>2.2499999999999999E-2</v>
      </c>
      <c r="L18" s="450"/>
      <c r="M18" s="450"/>
      <c r="N18" s="477" t="s">
        <v>331</v>
      </c>
      <c r="O18" s="483">
        <v>5.47</v>
      </c>
      <c r="P18" s="484"/>
      <c r="Q18" s="478"/>
      <c r="R18" s="483">
        <f>'Billing Determinants'!G652</f>
        <v>5.6</v>
      </c>
      <c r="S18" s="489"/>
      <c r="U18" s="425">
        <f>(R18-O18)/O18</f>
        <v>2.3765996343692853E-2</v>
      </c>
    </row>
    <row r="19" spans="1:21" ht="15.75" x14ac:dyDescent="0.25">
      <c r="A19" s="450"/>
      <c r="B19" s="462"/>
      <c r="C19" s="462"/>
      <c r="D19" s="462">
        <v>500</v>
      </c>
      <c r="E19" s="479">
        <f>ROUND((B$18*D19),0)</f>
        <v>100000</v>
      </c>
      <c r="F19" s="462"/>
      <c r="G19" s="481">
        <f>ROUND(IF($E19&lt;40001,$E19*$O$19/100,40000*$O$19/100+($E19-40000)*$O$20/100)+MAX(100, $B$18)*$O$18+IF($B$18&lt;101,$O$14,IF($B$18&lt;301,$O$15+$B$18*$P$15,$O$16+$B$18*$P$16)),2)+R26</f>
        <v>7395.89</v>
      </c>
      <c r="H19" s="481"/>
      <c r="I19" s="481">
        <f>ROUND(IF($E19&lt;40001,$E19*$R$19/100,40000*$R$19/100+($E19-40000)*$R$20/100)+MAX(100, $B$18)*$R$18+IF($B$18&lt;101,$R$14,IF($B$18&lt;301,$R$15+$B$18*$S$15,$R$16+$B$18*$S$16)),2)+R27</f>
        <v>7560.6900000000005</v>
      </c>
      <c r="J19" s="462"/>
      <c r="K19" s="482">
        <f>ROUND(I19/G19-1,4)</f>
        <v>2.23E-2</v>
      </c>
      <c r="L19" s="450"/>
      <c r="M19" s="450"/>
      <c r="N19" s="477" t="s">
        <v>354</v>
      </c>
      <c r="O19" s="507">
        <v>6.0990000000000002</v>
      </c>
      <c r="P19" s="507"/>
      <c r="Q19" s="508"/>
      <c r="R19" s="507">
        <f>'Billing Determinants'!G655+'Billing Determinants'!G658+R23+R29</f>
        <v>6.2379999999999995</v>
      </c>
      <c r="S19" s="489"/>
      <c r="U19" s="425">
        <f t="shared" ref="U19:U20" si="0">(R19-O19)/O19</f>
        <v>2.2790621413346344E-2</v>
      </c>
    </row>
    <row r="20" spans="1:21" ht="15.75" x14ac:dyDescent="0.25">
      <c r="A20" s="450"/>
      <c r="B20" s="462"/>
      <c r="C20" s="462"/>
      <c r="D20" s="462">
        <v>700</v>
      </c>
      <c r="E20" s="479">
        <f>ROUND((B$18*D20),0)</f>
        <v>140000</v>
      </c>
      <c r="F20" s="462"/>
      <c r="G20" s="481">
        <f>ROUND(IF($E20&lt;40001,$E20*$O$19/100,40000*$O$19/100+($E20-40000)*$O$20/100)+MAX(100, $B$18)*$O$18+IF($B$18&lt;101,$O$14,IF($B$18&lt;301,$O$15+$B$18*$P$15,$O$16+$B$18*$P$16)),2)+R26</f>
        <v>9641.49</v>
      </c>
      <c r="H20" s="481"/>
      <c r="I20" s="481">
        <f>ROUND(IF($E20&lt;40001,$E20*$R$19/100,40000*$R$19/100+($E20-40000)*$R$20/100)+MAX(100, $B$18)*$R$18+IF($B$18&lt;101,$R$14,IF($B$18&lt;301,$R$15+$B$18*$S$15,$R$16+$B$18*$S$16)),2)+R27</f>
        <v>9855.09</v>
      </c>
      <c r="J20" s="462"/>
      <c r="K20" s="482">
        <f>ROUND(I20/G20-1,4)</f>
        <v>2.2200000000000001E-2</v>
      </c>
      <c r="N20" s="477" t="s">
        <v>355</v>
      </c>
      <c r="O20" s="507">
        <v>5.613999999999999</v>
      </c>
      <c r="P20" s="507"/>
      <c r="Q20" s="508"/>
      <c r="R20" s="507">
        <f>'Billing Determinants'!G656+'Billing Determinants'!G659+R23+R29</f>
        <v>5.7359999999999998</v>
      </c>
      <c r="S20" s="489"/>
      <c r="U20" s="425">
        <f t="shared" si="0"/>
        <v>2.1731385821161523E-2</v>
      </c>
    </row>
    <row r="21" spans="1:21" ht="16.5" thickBot="1" x14ac:dyDescent="0.3">
      <c r="A21" s="450"/>
      <c r="B21" s="462"/>
      <c r="C21" s="462"/>
      <c r="D21" s="462"/>
      <c r="E21" s="462"/>
      <c r="F21" s="462"/>
      <c r="G21" s="481"/>
      <c r="H21" s="481"/>
      <c r="I21" s="481"/>
      <c r="J21" s="465"/>
      <c r="K21" s="482"/>
      <c r="L21" s="450"/>
      <c r="M21" s="450"/>
      <c r="N21" s="509" t="s">
        <v>0</v>
      </c>
      <c r="O21" s="510" t="s">
        <v>0</v>
      </c>
      <c r="P21" s="494" t="s">
        <v>0</v>
      </c>
      <c r="Q21" s="495"/>
      <c r="R21" s="510" t="s">
        <v>0</v>
      </c>
      <c r="S21" s="511"/>
    </row>
    <row r="22" spans="1:21" ht="15.75" x14ac:dyDescent="0.25">
      <c r="A22" s="450"/>
      <c r="B22" s="462">
        <v>300</v>
      </c>
      <c r="C22" s="462"/>
      <c r="D22" s="462">
        <v>300</v>
      </c>
      <c r="E22" s="479">
        <f>ROUND((B$22*D22),0)</f>
        <v>90000</v>
      </c>
      <c r="F22" s="462"/>
      <c r="G22" s="481">
        <f>ROUND(IF($E22&lt;40001,$E22*$O$19/100,40000*$O$19/100+($E22-40000)*$O$20/100)+MAX(100, $B$22)*$O$18+IF($B$22&lt;101,$O$14,IF($B$22&lt;301,$O$15+$B$22*$P$15,$O$16+$B$22*$P$16)),2)+R26</f>
        <v>7560.4900000000007</v>
      </c>
      <c r="H22" s="481"/>
      <c r="I22" s="481">
        <f>ROUND(IF($E22&lt;40001,$E22*$R$19/100,40000*$R$19/100+($E22-40000)*$R$20/100)+MAX(100, $B$22)*$R$18+IF($B$22&lt;101,$R$14,IF($B$22&lt;301,$R$15+$B$22*$S$15,$R$16+$B$22*$S$16)),2)+R27</f>
        <v>7730.09</v>
      </c>
      <c r="J22" s="462"/>
      <c r="K22" s="482">
        <f>ROUND(I22/G22-1,4)</f>
        <v>2.24E-2</v>
      </c>
      <c r="L22" s="450"/>
      <c r="M22" s="450"/>
      <c r="P22" s="433" t="s">
        <v>314</v>
      </c>
      <c r="Q22" s="433"/>
      <c r="R22" s="434">
        <v>0.32200000000000001</v>
      </c>
      <c r="U22" s="408" t="s">
        <v>0</v>
      </c>
    </row>
    <row r="23" spans="1:21" ht="15.75" x14ac:dyDescent="0.25">
      <c r="A23" s="450"/>
      <c r="B23" s="462"/>
      <c r="C23" s="462"/>
      <c r="D23" s="462">
        <v>500</v>
      </c>
      <c r="E23" s="479">
        <f>ROUND((B$22*D23),0)</f>
        <v>150000</v>
      </c>
      <c r="F23" s="462"/>
      <c r="G23" s="481">
        <f>ROUND(IF($E23&lt;40001,$E23*$O$19/100,40000*$O$19/100+($E23-40000)*$O$20/100)+MAX(100, $B$22)*$O$18+IF($B$22&lt;101,$O$14,IF($B$22&lt;301,$O$15+$B$22*$P$15,$O$16+$B$22*$P$16)),2)+R26</f>
        <v>10928.89</v>
      </c>
      <c r="H23" s="481"/>
      <c r="I23" s="481">
        <f>ROUND(IF($E23&lt;40001,$E23*$R$19/100,40000*$R$19/100+($E23-40000)*$R$20/100)+MAX(100, $B$22)*$R$18+IF($B$22&lt;101,$R$14,IF($B$22&lt;301,$R$15+$B$22*$S$15,$R$16+$B$22*$S$16)),2)+R27</f>
        <v>11171.689999999999</v>
      </c>
      <c r="J23" s="462"/>
      <c r="K23" s="482">
        <f>ROUND(I23/G23-1,4)</f>
        <v>2.2200000000000001E-2</v>
      </c>
      <c r="L23" s="450"/>
      <c r="M23" s="450"/>
      <c r="P23" s="433"/>
      <c r="Q23" s="433"/>
      <c r="R23" s="434">
        <v>0.32200000000000001</v>
      </c>
    </row>
    <row r="24" spans="1:21" ht="15.75" x14ac:dyDescent="0.25">
      <c r="A24" s="450"/>
      <c r="B24" s="462"/>
      <c r="C24" s="462"/>
      <c r="D24" s="462">
        <v>700</v>
      </c>
      <c r="E24" s="479">
        <f>ROUND((B$22*D24),0)</f>
        <v>210000</v>
      </c>
      <c r="F24" s="462"/>
      <c r="G24" s="481">
        <f>ROUND(IF($E24&lt;40001,$E24*$O$19/100,40000*$O$19/100+($E24-40000)*$O$20/100)+MAX(100, $B$22)*$O$18+IF($B$22&lt;101,$O$14,IF($B$22&lt;301,$O$15+$B$22*$P$15,$O$16+$B$22*$P$16)),2)+R26</f>
        <v>14297.289999999999</v>
      </c>
      <c r="H24" s="481"/>
      <c r="I24" s="481">
        <f>ROUND(IF($E24&lt;40001,$E24*$R$19/100,40000*$R$19/100+($E24-40000)*$R$20/100)+MAX(100, $B$22)*$R$18+IF($B$22&lt;101,$R$14,IF($B$22&lt;301,$R$15+$B$22*$S$15,$R$16+$B$22*$S$16)),2)+R27</f>
        <v>14613.289999999999</v>
      </c>
      <c r="J24" s="462"/>
      <c r="K24" s="482">
        <f>ROUND(I24/G24-1,4)</f>
        <v>2.2100000000000002E-2</v>
      </c>
      <c r="P24" s="433"/>
      <c r="Q24" s="433"/>
      <c r="R24" s="436"/>
    </row>
    <row r="25" spans="1:21" ht="15.75" x14ac:dyDescent="0.25">
      <c r="A25" s="450"/>
      <c r="B25" s="462"/>
      <c r="C25" s="462"/>
      <c r="D25" s="462"/>
      <c r="E25" s="462"/>
      <c r="F25" s="462"/>
      <c r="G25" s="481"/>
      <c r="H25" s="481"/>
      <c r="I25" s="481"/>
      <c r="J25" s="465"/>
      <c r="K25" s="482"/>
      <c r="L25" s="450"/>
      <c r="M25" s="450"/>
      <c r="P25" s="408" t="s">
        <v>0</v>
      </c>
      <c r="Q25" s="408" t="s">
        <v>0</v>
      </c>
      <c r="R25" s="408" t="s">
        <v>0</v>
      </c>
    </row>
    <row r="26" spans="1:21" ht="15.75" x14ac:dyDescent="0.25">
      <c r="A26" s="450"/>
      <c r="B26" s="462">
        <v>400</v>
      </c>
      <c r="C26" s="462"/>
      <c r="D26" s="462">
        <v>300</v>
      </c>
      <c r="E26" s="479">
        <f>ROUND((B$26*D26),0)</f>
        <v>120000</v>
      </c>
      <c r="F26" s="462"/>
      <c r="G26" s="481">
        <f>ROUND(IF($E26&lt;40001,$E26*$O$19/100,40000*$O$19/100+($E26-40000)*$O$20/100)+MAX(100, $B$26)*$O$18+IF($B$26&lt;101,$O$14,IF($B$26&lt;301,$O$15+$B$26*$P$15,$O$16+$B$26*$P$16)),2)+R26</f>
        <v>9935.6899999999987</v>
      </c>
      <c r="H26" s="481"/>
      <c r="I26" s="481">
        <f>ROUND(IF($E26&lt;40001,$E26*$R$19/100,40000*$R$19/100+($E26-40000)*$R$20/100)+MAX(100, $B$26)*$R$18+IF($B$26&lt;101,$R$14,IF($B$26&lt;301,$R$15+$B$26*$S$15,$R$16+$B$26*$S$16)),2)+R27</f>
        <v>10161.89</v>
      </c>
      <c r="J26" s="462"/>
      <c r="K26" s="482">
        <f>ROUND(I26/G26-1,4)</f>
        <v>2.2800000000000001E-2</v>
      </c>
      <c r="L26" s="450"/>
      <c r="M26" s="450"/>
      <c r="P26" s="408" t="s">
        <v>356</v>
      </c>
      <c r="R26" s="485">
        <v>37.89</v>
      </c>
      <c r="S26" s="408" t="s">
        <v>0</v>
      </c>
    </row>
    <row r="27" spans="1:21" ht="15.75" x14ac:dyDescent="0.25">
      <c r="A27" s="450"/>
      <c r="B27" s="462"/>
      <c r="C27" s="462"/>
      <c r="D27" s="462">
        <v>500</v>
      </c>
      <c r="E27" s="479">
        <f>ROUND((B$26*D27),0)</f>
        <v>200000</v>
      </c>
      <c r="F27" s="462"/>
      <c r="G27" s="481">
        <f>ROUND(IF($E27&lt;40001,$E27*$O$19/100,40000*$O$19/100+($E27-40000)*$O$20/100)+MAX(100, $B$26)*$O$18+IF($B$26&lt;101,$O$14,IF($B$26&lt;301,$O$15+$B$26*$P$15,$O$16+$B$26*$P$16)),2)+R26</f>
        <v>14426.89</v>
      </c>
      <c r="H27" s="481"/>
      <c r="I27" s="481">
        <f>ROUND(IF($E27&lt;40001,$E27*$R$19/100,40000*$R$19/100+($E27-40000)*$R$20/100)+MAX(100, $B$26)*$R$18+IF($B$26&lt;101,$R$14,IF($B$26&lt;301,$R$15+$B$26*$S$15,$R$16+$B$26*$S$16)),2)+R27</f>
        <v>14750.689999999999</v>
      </c>
      <c r="J27" s="462"/>
      <c r="K27" s="482">
        <f>ROUND(I27/G27-1,4)</f>
        <v>2.24E-2</v>
      </c>
      <c r="L27" s="450"/>
      <c r="M27" s="450"/>
      <c r="P27" s="408" t="s">
        <v>343</v>
      </c>
      <c r="R27" s="485">
        <f>R26</f>
        <v>37.89</v>
      </c>
    </row>
    <row r="28" spans="1:21" ht="15.75" x14ac:dyDescent="0.25">
      <c r="A28" s="450"/>
      <c r="B28" s="462"/>
      <c r="C28" s="462"/>
      <c r="D28" s="462">
        <v>700</v>
      </c>
      <c r="E28" s="479">
        <f>ROUND((B$26*D28),0)</f>
        <v>280000</v>
      </c>
      <c r="F28" s="462"/>
      <c r="G28" s="481">
        <f>ROUND(IF($E28&lt;40001,$E28*$O$19/100,40000*$O$19/100+($E28-40000)*$O$20/100)+MAX(100, $B$26)*$O$18+IF($B$26&lt;101,$O$14,IF($B$26&lt;301,$O$15+$B$26*$P$15,$O$16+$B$26*$P$16)),2)+R26</f>
        <v>18918.09</v>
      </c>
      <c r="H28" s="481"/>
      <c r="I28" s="481">
        <f>ROUND(IF($E28&lt;40001,$E28*$R$19/100,40000*$R$19/100+($E28-40000)*$R$20/100)+MAX(100, $B$26)*$R$18+IF($B$26&lt;101,$R$14,IF($B$26&lt;301,$R$15+$B$26*$S$15,$R$16+$B$26*$S$16)),2)+R27</f>
        <v>19339.489999999998</v>
      </c>
      <c r="J28" s="462"/>
      <c r="K28" s="482">
        <f>ROUND(I28/G28-1,4)</f>
        <v>2.23E-2</v>
      </c>
    </row>
    <row r="29" spans="1:21" ht="15.75" x14ac:dyDescent="0.25">
      <c r="A29" s="450"/>
      <c r="B29" s="462"/>
      <c r="C29" s="462"/>
      <c r="D29" s="462"/>
      <c r="E29" s="462"/>
      <c r="F29" s="462"/>
      <c r="G29" s="481"/>
      <c r="H29" s="481"/>
      <c r="I29" s="481"/>
      <c r="J29" s="465"/>
      <c r="K29" s="482"/>
      <c r="L29" s="450"/>
      <c r="M29" s="450"/>
      <c r="P29" s="408" t="s">
        <v>357</v>
      </c>
      <c r="R29" s="408">
        <v>4.0000000000000001E-3</v>
      </c>
    </row>
    <row r="30" spans="1:21" ht="15.75" x14ac:dyDescent="0.25">
      <c r="A30" s="450"/>
      <c r="B30" s="462">
        <v>600</v>
      </c>
      <c r="C30" s="462"/>
      <c r="D30" s="462">
        <v>300</v>
      </c>
      <c r="E30" s="479">
        <f>ROUND((B$30*D30),0)</f>
        <v>180000</v>
      </c>
      <c r="F30" s="462"/>
      <c r="G30" s="481">
        <f>ROUND(IF($E30&lt;40001,$E30*$O$19/100,40000*$O$19/100+($E30-40000)*$O$20/100)+MAX(100, $B$30)*$O$18+IF($B$30&lt;101,$O$14,IF($B$30&lt;301,$O$15+$B$30*$P$15,$O$16+$B$30*$P$16)),2)+R26</f>
        <v>14690.09</v>
      </c>
      <c r="H30" s="481"/>
      <c r="I30" s="481">
        <f>ROUND(IF($E30&lt;40001,$E30*$R$19/100,40000*$R$19/100+($E30-40000)*$R$20/100)+MAX(100, $B$30)*$R$18+IF($B$30&lt;101,$R$14,IF($B$30&lt;301,$R$15+$B$30*$S$15,$R$16+$B$30*$S$16)),2)+R27</f>
        <v>15023.49</v>
      </c>
      <c r="J30" s="462"/>
      <c r="K30" s="482">
        <f>ROUND(I30/G30-1,4)</f>
        <v>2.2700000000000001E-2</v>
      </c>
      <c r="L30" s="450"/>
      <c r="M30" s="450"/>
    </row>
    <row r="31" spans="1:21" ht="15.75" x14ac:dyDescent="0.25">
      <c r="A31" s="450"/>
      <c r="B31" s="462"/>
      <c r="C31" s="462"/>
      <c r="D31" s="462">
        <v>500</v>
      </c>
      <c r="E31" s="479">
        <f>ROUND((B$30*D31),0)</f>
        <v>300000</v>
      </c>
      <c r="F31" s="462"/>
      <c r="G31" s="481">
        <f>ROUND(IF($E31&lt;40001,$E31*$O$19/100,40000*$O$19/100+($E31-40000)*$O$20/100)+MAX(100, $B$30)*$O$18+IF($B$30&lt;101,$O$14,IF($B$30&lt;301,$O$15+$B$30*$P$15,$O$16+$B$30*$P$16)),2)+R26</f>
        <v>21426.89</v>
      </c>
      <c r="H31" s="481"/>
      <c r="I31" s="481">
        <f>ROUND(IF($E31&lt;40001,$E31*$R$19/100,40000*$R$19/100+($E31-40000)*$R$20/100)+MAX(100, $B$30)*$R$18+IF($B$30&lt;101,$R$14,IF($B$30&lt;301,$R$15+$B$30*$S$15,$R$16+$B$30*$S$16)),2)+R27</f>
        <v>21906.69</v>
      </c>
      <c r="J31" s="462"/>
      <c r="K31" s="482">
        <f>ROUND(I31/G31-1,4)</f>
        <v>2.24E-2</v>
      </c>
      <c r="L31" s="450"/>
      <c r="M31" s="450"/>
    </row>
    <row r="32" spans="1:21" ht="15.75" x14ac:dyDescent="0.25">
      <c r="A32" s="450"/>
      <c r="B32" s="462"/>
      <c r="C32" s="462"/>
      <c r="D32" s="462">
        <v>700</v>
      </c>
      <c r="E32" s="479">
        <f>ROUND((B$30*D32),0)</f>
        <v>420000</v>
      </c>
      <c r="F32" s="462"/>
      <c r="G32" s="481">
        <f>ROUND(IF($E32&lt;40001,$E32*$O$19/100,40000*$O$19/100+($E32-40000)*$O$20/100)+MAX(100, $B$30)*$O$18+IF($B$30&lt;101,$O$14,IF($B$30&lt;301,$O$15+$B$30*$P$15,$O$16+$B$30*$P$16)),2)+R26</f>
        <v>28163.69</v>
      </c>
      <c r="H32" s="481"/>
      <c r="I32" s="481">
        <f>ROUND(IF($E32&lt;40001,$E32*$R$19/100,40000*$R$19/100+($E32-40000)*$R$20/100)+MAX(100, $B$30)*$R$18+IF($B$30&lt;101,$R$14,IF($B$30&lt;301,$R$15+$B$30*$S$15,$R$16+$B$30*$S$16)),2)+R27</f>
        <v>28789.89</v>
      </c>
      <c r="J32" s="462"/>
      <c r="K32" s="482">
        <f>ROUND(I32/G32-1,4)</f>
        <v>2.2200000000000001E-2</v>
      </c>
      <c r="N32" s="438" t="s">
        <v>345</v>
      </c>
      <c r="O32" s="512">
        <f>'Est Effect of Base Rate Inc'!V25</f>
        <v>2.3473379082064615E-2</v>
      </c>
    </row>
    <row r="33" spans="1:18" ht="15.75" x14ac:dyDescent="0.25">
      <c r="A33" s="450"/>
      <c r="B33" s="462"/>
      <c r="C33" s="462"/>
      <c r="D33" s="462"/>
      <c r="E33" s="462"/>
      <c r="F33" s="462"/>
      <c r="G33" s="481"/>
      <c r="H33" s="481"/>
      <c r="I33" s="481"/>
      <c r="J33" s="465"/>
      <c r="K33" s="482"/>
      <c r="L33" s="450"/>
      <c r="M33" s="450"/>
      <c r="O33" s="513" t="s">
        <v>0</v>
      </c>
      <c r="R33" s="408" t="s">
        <v>0</v>
      </c>
    </row>
    <row r="34" spans="1:18" ht="15.75" x14ac:dyDescent="0.25">
      <c r="A34" s="450"/>
      <c r="B34" s="462">
        <v>800</v>
      </c>
      <c r="C34" s="462"/>
      <c r="D34" s="462">
        <v>300</v>
      </c>
      <c r="E34" s="479">
        <f>ROUND((B$34*D34),0)</f>
        <v>240000</v>
      </c>
      <c r="F34" s="462"/>
      <c r="G34" s="481">
        <f>ROUND(IF($E34&lt;40001,$E34*$O$19/100,40000*$O$19/100+($E34-40000)*$O$20/100)+MAX(100, $B$34)*$O$18+IF($B$34&lt;101,$O$14,IF($B$34&lt;301,$O$15+$B$34*$P$15,$O$16+$B$34*$P$16)),2)+R26</f>
        <v>19444.489999999998</v>
      </c>
      <c r="H34" s="481"/>
      <c r="I34" s="481">
        <f>ROUND(IF($E34&lt;40001,$E34*$R$19/100,40000*$R$19/100+($E34-40000)*$R$20/100)+MAX(100, $B$34)*$R$18+IF($B$34&lt;101,$R$14,IF($B$34&lt;301,$R$15+$B$34*$S$15,$R$16+$B$34*$S$16)),2)+R27</f>
        <v>19885.09</v>
      </c>
      <c r="J34" s="462"/>
      <c r="K34" s="482">
        <f>ROUND(I34/G34-1,4)</f>
        <v>2.2700000000000001E-2</v>
      </c>
      <c r="L34" s="450"/>
      <c r="M34" s="450"/>
    </row>
    <row r="35" spans="1:18" ht="15.75" x14ac:dyDescent="0.25">
      <c r="A35" s="450"/>
      <c r="B35" s="462"/>
      <c r="C35" s="462"/>
      <c r="D35" s="462">
        <v>500</v>
      </c>
      <c r="E35" s="479">
        <f>ROUND((B$34*D35),0)</f>
        <v>400000</v>
      </c>
      <c r="F35" s="462"/>
      <c r="G35" s="481">
        <f>ROUND(IF($E35&lt;40001,$E35*$O$19/100,40000*$O$19/100+($E35-40000)*$O$20/100)+MAX(100, $B$34)*$O$18+IF($B$34&lt;101,$O$14,IF($B$34&lt;301,$O$15+$B$34*$P$15,$O$16+$B$34*$P$16)),2)+R26</f>
        <v>28426.89</v>
      </c>
      <c r="H35" s="481"/>
      <c r="I35" s="481">
        <f>ROUND(IF($E35&lt;40001,$E35*$R$19/100,40000*$R$19/100+($E35-40000)*$R$20/100)+MAX(100, $B$34)*$R$18+IF($B$34&lt;101,$R$14,IF($B$34&lt;301,$R$15+$B$34*$S$15,$R$16+$B$34*$S$16)),2)+R27</f>
        <v>29062.69</v>
      </c>
      <c r="J35" s="462"/>
      <c r="K35" s="482">
        <f>ROUND(I35/G35-1,4)</f>
        <v>2.24E-2</v>
      </c>
      <c r="L35" s="450"/>
      <c r="M35" s="450"/>
    </row>
    <row r="36" spans="1:18" ht="15.75" x14ac:dyDescent="0.25">
      <c r="A36" s="450"/>
      <c r="B36" s="462"/>
      <c r="C36" s="462"/>
      <c r="D36" s="462">
        <v>700</v>
      </c>
      <c r="E36" s="479">
        <f>ROUND((B$34*D36),0)</f>
        <v>560000</v>
      </c>
      <c r="F36" s="462"/>
      <c r="G36" s="481">
        <f>ROUND(IF($E36&lt;40001,$E36*$O$19/100,40000*$O$19/100+($E36-40000)*$O$20/100)+MAX(100, $B$34)*$O$18+IF($B$34&lt;101,$O$14,IF($B$34&lt;301,$O$15+$B$34*$P$15,$O$16+$B$34*$P$16)),2)+R26</f>
        <v>37409.29</v>
      </c>
      <c r="H36" s="481"/>
      <c r="I36" s="481">
        <f>ROUND(IF($E36&lt;40001,$E36*$R$19/100,40000*$R$19/100+($E36-40000)*$R$20/100)+MAX(100, $B$34)*$R$18+IF($B$34&lt;101,$R$14,IF($B$34&lt;301,$R$15+$B$34*$S$15,$R$16+$B$34*$S$16)),2)+R27</f>
        <v>38240.29</v>
      </c>
      <c r="J36" s="462"/>
      <c r="K36" s="482">
        <f>ROUND(I36/G36-1,4)</f>
        <v>2.2200000000000001E-2</v>
      </c>
    </row>
    <row r="37" spans="1:18" ht="15.75" x14ac:dyDescent="0.25">
      <c r="A37" s="450"/>
      <c r="B37" s="462"/>
      <c r="C37" s="462"/>
      <c r="D37" s="462"/>
      <c r="E37" s="462"/>
      <c r="F37" s="462"/>
      <c r="G37" s="481"/>
      <c r="H37" s="481"/>
      <c r="I37" s="481"/>
      <c r="J37" s="465"/>
      <c r="K37" s="482"/>
      <c r="L37" s="450"/>
      <c r="M37" s="450"/>
    </row>
    <row r="38" spans="1:18" ht="15.75" x14ac:dyDescent="0.25">
      <c r="A38" s="450"/>
      <c r="B38" s="462">
        <v>1000</v>
      </c>
      <c r="C38" s="462"/>
      <c r="D38" s="462">
        <v>300</v>
      </c>
      <c r="E38" s="479">
        <f>ROUND((B$38*D38),0)</f>
        <v>300000</v>
      </c>
      <c r="F38" s="462"/>
      <c r="G38" s="481">
        <f>ROUND(IF($E38&lt;40001,$E38*$O$19/100,40000*$O$19/100+($E38-40000)*$O$20/100)+MAX(100, $B$38)*$O$18+IF($B$38&lt;101,$O$14,IF($B$38&lt;301,$O$15+$B$38*$P$15,$O$16+$B$38*$P$16)),2)+R26</f>
        <v>24198.89</v>
      </c>
      <c r="H38" s="481"/>
      <c r="I38" s="481">
        <f>ROUND(IF($E38&lt;40001,$E38*$R$19/100,40000*$R$19/100+($E38-40000)*$R$20/100)+MAX(100, $B$38)*$R$18+IF($B$38&lt;101,$R$14,IF($B$38&lt;301,$R$15+$B$38*$S$15,$R$16+$B$38*$S$16)),2)+R27</f>
        <v>24746.69</v>
      </c>
      <c r="J38" s="462"/>
      <c r="K38" s="482">
        <f>ROUND(I38/G38-1,4)</f>
        <v>2.2599999999999999E-2</v>
      </c>
      <c r="L38" s="450"/>
      <c r="M38" s="450"/>
    </row>
    <row r="39" spans="1:18" ht="15.75" x14ac:dyDescent="0.25">
      <c r="A39" s="450"/>
      <c r="B39" s="462"/>
      <c r="C39" s="462"/>
      <c r="D39" s="462">
        <v>500</v>
      </c>
      <c r="E39" s="479">
        <f>ROUND((B$38*D39),0)</f>
        <v>500000</v>
      </c>
      <c r="F39" s="462"/>
      <c r="G39" s="481">
        <f>ROUND(IF($E39&lt;40001,$E39*$O$19/100,40000*$O$19/100+($E39-40000)*$O$20/100)+MAX(100, $B$38)*$O$18+IF($B$38&lt;101,$O$14,IF($B$38&lt;301,$O$15+$B$38*$P$15,$O$16+$B$38*$P$16)),2)+R26</f>
        <v>35426.89</v>
      </c>
      <c r="H39" s="481"/>
      <c r="I39" s="481">
        <f>ROUND(IF($E39&lt;40001,$E39*$R$19/100,40000*$R$19/100+($E39-40000)*$R$20/100)+MAX(100, $B$38)*$R$18+IF($B$38&lt;101,$R$14,IF($B$38&lt;301,$R$15+$B$38*$S$15,$R$16+$B$38*$S$16)),2)+R27</f>
        <v>36218.69</v>
      </c>
      <c r="J39" s="462"/>
      <c r="K39" s="482">
        <f>ROUND(I39/G39-1,4)</f>
        <v>2.24E-2</v>
      </c>
      <c r="L39" s="450"/>
      <c r="M39" s="450"/>
    </row>
    <row r="40" spans="1:18" ht="15.75" x14ac:dyDescent="0.25">
      <c r="A40" s="450"/>
      <c r="B40" s="462"/>
      <c r="C40" s="462"/>
      <c r="D40" s="462">
        <v>700</v>
      </c>
      <c r="E40" s="479">
        <f>ROUND((B$38*D40),0)</f>
        <v>700000</v>
      </c>
      <c r="F40" s="462"/>
      <c r="G40" s="481">
        <f>ROUND(IF($E40&lt;40001,$E40*$O$19/100,40000*$O$19/100+($E40-40000)*$O$20/100)+MAX(100, $B$38)*$O$18+IF($B$38&lt;101,$O$14,IF($B$38&lt;301,$O$15+$B$38*$P$15,$O$16+$B$38*$P$16)),2)+R26</f>
        <v>46654.89</v>
      </c>
      <c r="H40" s="481"/>
      <c r="I40" s="481">
        <f>ROUND(IF($E40&lt;40001,$E40*$R$19/100,40000*$R$19/100+($E40-40000)*$R$20/100)+MAX(100, $B$38)*$R$18+IF($B$38&lt;101,$R$14,IF($B$38&lt;301,$R$15+$B$38*$S$15,$R$16+$B$38*$S$16)),2)+R27</f>
        <v>47690.69</v>
      </c>
      <c r="J40" s="462"/>
      <c r="K40" s="482">
        <f>ROUND(I40/G40-1,4)</f>
        <v>2.2200000000000001E-2</v>
      </c>
    </row>
    <row r="41" spans="1:18" ht="15.75" x14ac:dyDescent="0.25">
      <c r="A41" s="450"/>
      <c r="B41" s="514"/>
      <c r="C41" s="514"/>
      <c r="D41" s="514"/>
      <c r="E41" s="514"/>
      <c r="F41" s="514"/>
      <c r="G41" s="514"/>
      <c r="H41" s="514"/>
      <c r="I41" s="514"/>
      <c r="J41" s="515"/>
      <c r="K41" s="515"/>
      <c r="L41" s="450"/>
      <c r="M41" s="450"/>
    </row>
    <row r="42" spans="1:18" ht="15.75" x14ac:dyDescent="0.25">
      <c r="A42" s="450"/>
      <c r="B42" s="465"/>
      <c r="C42" s="465"/>
      <c r="D42" s="465"/>
      <c r="E42" s="465"/>
      <c r="F42" s="465"/>
      <c r="G42" s="465"/>
      <c r="H42" s="465"/>
      <c r="I42" s="465"/>
      <c r="J42" s="465"/>
      <c r="K42" s="465"/>
      <c r="L42" s="450"/>
      <c r="M42" s="450"/>
    </row>
    <row r="43" spans="1:18" ht="15.75" x14ac:dyDescent="0.25">
      <c r="A43" s="450"/>
      <c r="B43" s="465" t="s">
        <v>321</v>
      </c>
      <c r="C43" s="465"/>
      <c r="D43" s="465"/>
      <c r="E43" s="465"/>
      <c r="F43" s="465"/>
      <c r="G43" s="465"/>
      <c r="H43" s="465"/>
      <c r="I43" s="465"/>
      <c r="J43" s="465"/>
      <c r="K43" s="465"/>
      <c r="L43" s="450"/>
      <c r="M43" s="450"/>
    </row>
    <row r="44" spans="1:18" ht="15.75" x14ac:dyDescent="0.25">
      <c r="A44" s="450"/>
      <c r="B44" s="500" t="s">
        <v>346</v>
      </c>
      <c r="C44" s="465"/>
      <c r="D44" s="465"/>
      <c r="E44" s="465"/>
      <c r="F44" s="465"/>
      <c r="G44" s="465"/>
      <c r="H44" s="465"/>
      <c r="I44" s="465"/>
      <c r="J44" s="465"/>
      <c r="K44" s="465"/>
    </row>
    <row r="45" spans="1:18" ht="15.75" x14ac:dyDescent="0.25">
      <c r="A45" s="450"/>
      <c r="B45" s="462"/>
      <c r="L45" s="450"/>
      <c r="M45" s="450"/>
    </row>
    <row r="46" spans="1:18" ht="15.75" x14ac:dyDescent="0.25">
      <c r="A46" s="450"/>
      <c r="B46" s="462"/>
    </row>
    <row r="47" spans="1:18" ht="15.75" x14ac:dyDescent="0.25">
      <c r="B47" s="462"/>
    </row>
    <row r="48" spans="1:18" ht="15.75" x14ac:dyDescent="0.25">
      <c r="B48" s="462"/>
      <c r="P48" s="440"/>
    </row>
    <row r="49" spans="1:2" ht="15.75" x14ac:dyDescent="0.25">
      <c r="A49" s="450"/>
      <c r="B49" s="462"/>
    </row>
    <row r="50" spans="1:2" ht="15.75" x14ac:dyDescent="0.25">
      <c r="A50" s="450"/>
      <c r="B50" s="462"/>
    </row>
    <row r="51" spans="1:2" x14ac:dyDescent="0.25">
      <c r="A51" s="450"/>
    </row>
    <row r="52" spans="1:2" x14ac:dyDescent="0.25">
      <c r="A52" s="450"/>
    </row>
    <row r="53" spans="1:2" x14ac:dyDescent="0.25">
      <c r="A53" s="450"/>
    </row>
    <row r="54" spans="1:2" x14ac:dyDescent="0.25">
      <c r="A54" s="450"/>
    </row>
    <row r="55" spans="1:2" x14ac:dyDescent="0.25">
      <c r="A55" s="450"/>
    </row>
    <row r="56" spans="1:2" x14ac:dyDescent="0.25">
      <c r="A56" s="450"/>
    </row>
    <row r="57" spans="1:2" x14ac:dyDescent="0.25">
      <c r="A57" s="450"/>
    </row>
  </sheetData>
  <mergeCells count="2">
    <mergeCell ref="N12:Q12"/>
    <mergeCell ref="R12:S12"/>
  </mergeCells>
  <printOptions horizontalCentered="1"/>
  <pageMargins left="0.5" right="0.5" top="0.5" bottom="0.5" header="0.5" footer="0.5"/>
  <pageSetup scale="8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51"/>
  <sheetViews>
    <sheetView view="pageBreakPreview" zoomScale="75" zoomScaleNormal="100" workbookViewId="0">
      <selection sqref="A1:F1"/>
    </sheetView>
  </sheetViews>
  <sheetFormatPr defaultColWidth="8.5" defaultRowHeight="15" x14ac:dyDescent="0.25"/>
  <cols>
    <col min="1" max="1" width="1.875" style="408" customWidth="1"/>
    <col min="2" max="2" width="10.875" style="408" customWidth="1"/>
    <col min="3" max="3" width="1.75" style="408" customWidth="1"/>
    <col min="4" max="4" width="11.25" style="408" hidden="1" customWidth="1"/>
    <col min="5" max="5" width="8.25" style="408" bestFit="1" customWidth="1"/>
    <col min="6" max="6" width="3.25" style="408" customWidth="1"/>
    <col min="7" max="7" width="13.75" style="408" bestFit="1" customWidth="1"/>
    <col min="8" max="8" width="2.125" style="408" customWidth="1"/>
    <col min="9" max="9" width="8.5" style="408" bestFit="1" customWidth="1"/>
    <col min="10" max="10" width="2.125" style="408" customWidth="1"/>
    <col min="11" max="11" width="13.625" style="408" customWidth="1"/>
    <col min="12" max="12" width="1.75" style="408" customWidth="1"/>
    <col min="13" max="13" width="8.5" style="408" bestFit="1" customWidth="1"/>
    <col min="14" max="14" width="2" style="408" customWidth="1"/>
    <col min="15" max="15" width="10.5" style="408" bestFit="1" customWidth="1"/>
    <col min="16" max="16" width="1.875" style="408" customWidth="1"/>
    <col min="17" max="17" width="8.5" style="408" bestFit="1" customWidth="1"/>
    <col min="18" max="18" width="3" style="408" customWidth="1"/>
    <col min="19" max="19" width="16.125" style="408" customWidth="1"/>
    <col min="20" max="20" width="13.25" style="408" customWidth="1"/>
    <col min="21" max="21" width="9.25" style="408" customWidth="1"/>
    <col min="22" max="22" width="8.375" style="408" customWidth="1"/>
    <col min="23" max="23" width="2.25" style="408" customWidth="1"/>
    <col min="24" max="16384" width="8.5" style="408"/>
  </cols>
  <sheetData>
    <row r="2" spans="2:22" ht="18.75" x14ac:dyDescent="0.3">
      <c r="B2" s="412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516"/>
      <c r="P2" s="455" t="s">
        <v>0</v>
      </c>
      <c r="Q2" s="516"/>
    </row>
    <row r="3" spans="2:22" ht="18.75" x14ac:dyDescent="0.3">
      <c r="B3" s="410" t="s">
        <v>302</v>
      </c>
      <c r="C3" s="410"/>
      <c r="D3" s="410"/>
      <c r="E3" s="410"/>
      <c r="F3" s="410"/>
      <c r="G3" s="410"/>
      <c r="H3" s="410"/>
      <c r="I3" s="410"/>
      <c r="J3" s="410"/>
      <c r="K3" s="410"/>
      <c r="L3" s="410"/>
      <c r="M3" s="410"/>
      <c r="N3" s="410"/>
      <c r="O3" s="410"/>
      <c r="P3" s="410"/>
      <c r="Q3" s="410"/>
    </row>
    <row r="4" spans="2:22" ht="18.75" x14ac:dyDescent="0.3">
      <c r="B4" s="410" t="s">
        <v>358</v>
      </c>
      <c r="C4" s="410"/>
      <c r="D4" s="410"/>
      <c r="E4" s="410"/>
      <c r="F4" s="410"/>
      <c r="G4" s="410"/>
      <c r="H4" s="410"/>
      <c r="I4" s="410"/>
      <c r="J4" s="410"/>
      <c r="K4" s="410"/>
      <c r="L4" s="410"/>
      <c r="M4" s="410"/>
      <c r="N4" s="410"/>
      <c r="O4" s="410"/>
      <c r="P4" s="410"/>
      <c r="Q4" s="410"/>
    </row>
    <row r="5" spans="2:22" ht="18.75" x14ac:dyDescent="0.3">
      <c r="B5" s="410" t="s">
        <v>359</v>
      </c>
      <c r="C5" s="410"/>
      <c r="D5" s="410"/>
      <c r="E5" s="410"/>
      <c r="F5" s="410"/>
      <c r="G5" s="410"/>
      <c r="H5" s="410"/>
      <c r="I5" s="410"/>
      <c r="J5" s="410"/>
      <c r="K5" s="410"/>
      <c r="L5" s="410"/>
      <c r="M5" s="410"/>
      <c r="N5" s="410"/>
      <c r="O5" s="410"/>
      <c r="P5" s="410"/>
      <c r="Q5" s="410"/>
    </row>
    <row r="6" spans="2:22" ht="18.75" x14ac:dyDescent="0.3">
      <c r="B6" s="410" t="s">
        <v>305</v>
      </c>
      <c r="C6" s="410"/>
      <c r="D6" s="410"/>
      <c r="E6" s="410"/>
      <c r="F6" s="410"/>
      <c r="G6" s="410"/>
      <c r="H6" s="410"/>
      <c r="I6" s="410"/>
      <c r="J6" s="410"/>
      <c r="K6" s="410"/>
      <c r="L6" s="410"/>
      <c r="M6" s="410"/>
      <c r="N6" s="410"/>
      <c r="O6" s="410"/>
      <c r="P6" s="410"/>
      <c r="Q6" s="410"/>
    </row>
    <row r="7" spans="2:22" x14ac:dyDescent="0.25">
      <c r="B7" s="409"/>
      <c r="C7" s="409"/>
      <c r="D7" s="409"/>
      <c r="E7" s="409"/>
      <c r="F7" s="409"/>
      <c r="G7" s="409"/>
      <c r="H7" s="409"/>
      <c r="I7" s="409"/>
      <c r="J7" s="409"/>
      <c r="K7" s="409"/>
      <c r="L7" s="409"/>
      <c r="M7" s="409"/>
      <c r="N7" s="409"/>
      <c r="O7" s="409"/>
      <c r="P7" s="409"/>
      <c r="Q7" s="409"/>
    </row>
    <row r="8" spans="2:22" x14ac:dyDescent="0.25">
      <c r="B8" s="412"/>
      <c r="C8" s="412"/>
      <c r="D8" s="412"/>
      <c r="E8" s="412"/>
      <c r="F8" s="412"/>
      <c r="G8" s="412"/>
      <c r="H8" s="412"/>
      <c r="I8" s="412"/>
      <c r="J8" s="412"/>
      <c r="K8" s="412"/>
      <c r="L8" s="412"/>
      <c r="M8" s="412"/>
    </row>
    <row r="9" spans="2:22" x14ac:dyDescent="0.25">
      <c r="G9" s="412"/>
      <c r="H9" s="412"/>
      <c r="I9" s="412"/>
      <c r="J9" s="412"/>
      <c r="K9" s="412"/>
      <c r="L9" s="412"/>
      <c r="M9" s="412"/>
    </row>
    <row r="10" spans="2:22" x14ac:dyDescent="0.25">
      <c r="B10" s="412"/>
      <c r="C10" s="412"/>
      <c r="D10" s="412"/>
      <c r="E10" s="412"/>
      <c r="G10" s="412"/>
      <c r="H10" s="412"/>
      <c r="I10" s="412"/>
      <c r="J10" s="412"/>
      <c r="K10" s="412"/>
      <c r="L10" s="412"/>
      <c r="M10" s="412"/>
    </row>
    <row r="11" spans="2:22" x14ac:dyDescent="0.25">
      <c r="B11" s="412"/>
      <c r="C11" s="412"/>
      <c r="D11" s="412"/>
      <c r="E11" s="412"/>
      <c r="G11" s="413"/>
      <c r="H11" s="413"/>
      <c r="I11" s="413"/>
      <c r="J11" s="413"/>
      <c r="K11" s="413"/>
      <c r="L11" s="413"/>
      <c r="M11" s="413"/>
      <c r="O11" s="409"/>
      <c r="P11" s="409"/>
      <c r="Q11" s="409"/>
    </row>
    <row r="12" spans="2:22" ht="15.75" thickBot="1" x14ac:dyDescent="0.3">
      <c r="G12" s="579" t="s">
        <v>360</v>
      </c>
      <c r="H12" s="579"/>
      <c r="I12" s="579"/>
      <c r="K12" s="579" t="s">
        <v>360</v>
      </c>
      <c r="L12" s="579"/>
      <c r="M12" s="579"/>
      <c r="O12" s="579" t="s">
        <v>361</v>
      </c>
      <c r="P12" s="579"/>
      <c r="Q12" s="579"/>
    </row>
    <row r="13" spans="2:22" ht="15.75" customHeight="1" x14ac:dyDescent="0.25">
      <c r="B13" s="517" t="s">
        <v>325</v>
      </c>
      <c r="G13" s="518" t="s">
        <v>13</v>
      </c>
      <c r="H13" s="411"/>
      <c r="I13" s="411" t="s">
        <v>362</v>
      </c>
      <c r="J13" s="421"/>
      <c r="K13" s="518" t="s">
        <v>10</v>
      </c>
      <c r="L13" s="411"/>
      <c r="M13" s="411" t="s">
        <v>362</v>
      </c>
      <c r="O13" s="411"/>
      <c r="P13" s="411"/>
      <c r="Q13" s="411" t="s">
        <v>362</v>
      </c>
      <c r="S13" s="583" t="s">
        <v>13</v>
      </c>
      <c r="T13" s="582"/>
      <c r="U13" s="583" t="s">
        <v>10</v>
      </c>
      <c r="V13" s="582"/>
    </row>
    <row r="14" spans="2:22" x14ac:dyDescent="0.25">
      <c r="B14" s="519" t="s">
        <v>329</v>
      </c>
      <c r="C14" s="518"/>
      <c r="D14" s="518" t="s">
        <v>330</v>
      </c>
      <c r="G14" s="520" t="s">
        <v>363</v>
      </c>
      <c r="H14" s="411" t="s">
        <v>0</v>
      </c>
      <c r="I14" s="411" t="s">
        <v>335</v>
      </c>
      <c r="J14" s="421"/>
      <c r="K14" s="520" t="s">
        <v>363</v>
      </c>
      <c r="L14" s="411" t="s">
        <v>0</v>
      </c>
      <c r="M14" s="411" t="s">
        <v>335</v>
      </c>
      <c r="O14" s="411" t="s">
        <v>364</v>
      </c>
      <c r="P14" s="411" t="s">
        <v>0</v>
      </c>
      <c r="Q14" s="411" t="s">
        <v>335</v>
      </c>
      <c r="S14" s="477" t="s">
        <v>365</v>
      </c>
      <c r="T14" s="422">
        <v>7.3940000000000001</v>
      </c>
      <c r="U14" s="484"/>
      <c r="V14" s="422">
        <f>'Billing Determinants'!G741+'Billing Determinants'!G743+V23+V30</f>
        <v>7.5619999999999994</v>
      </c>
    </row>
    <row r="15" spans="2:22" x14ac:dyDescent="0.25">
      <c r="B15" s="520" t="s">
        <v>331</v>
      </c>
      <c r="C15" s="518"/>
      <c r="D15" s="521" t="s">
        <v>332</v>
      </c>
      <c r="E15" s="414" t="s">
        <v>309</v>
      </c>
      <c r="G15" s="414" t="s">
        <v>366</v>
      </c>
      <c r="H15" s="411"/>
      <c r="I15" s="414" t="s">
        <v>367</v>
      </c>
      <c r="J15" s="421"/>
      <c r="K15" s="414" t="s">
        <v>366</v>
      </c>
      <c r="L15" s="411"/>
      <c r="M15" s="414" t="s">
        <v>367</v>
      </c>
      <c r="O15" s="414" t="s">
        <v>368</v>
      </c>
      <c r="P15" s="411"/>
      <c r="Q15" s="414" t="s">
        <v>367</v>
      </c>
      <c r="S15" s="477" t="s">
        <v>0</v>
      </c>
      <c r="T15" s="522" t="s">
        <v>0</v>
      </c>
      <c r="U15" s="523" t="s">
        <v>0</v>
      </c>
      <c r="V15" s="522" t="s">
        <v>0</v>
      </c>
    </row>
    <row r="16" spans="2:22" x14ac:dyDescent="0.25">
      <c r="B16" s="411"/>
      <c r="C16" s="518"/>
      <c r="D16" s="521"/>
      <c r="E16" s="411"/>
      <c r="G16" s="411"/>
      <c r="H16" s="411"/>
      <c r="I16" s="411"/>
      <c r="J16" s="421"/>
      <c r="K16" s="411"/>
      <c r="L16" s="411"/>
      <c r="M16" s="411"/>
      <c r="O16" s="411"/>
      <c r="P16" s="411"/>
      <c r="Q16" s="411"/>
      <c r="S16" s="524" t="s">
        <v>335</v>
      </c>
      <c r="T16" s="525"/>
      <c r="U16" s="525"/>
      <c r="V16" s="526"/>
    </row>
    <row r="17" spans="2:23" x14ac:dyDescent="0.25">
      <c r="B17" s="527" t="s">
        <v>333</v>
      </c>
      <c r="C17" s="421"/>
      <c r="G17" s="421"/>
      <c r="H17" s="421"/>
      <c r="I17" s="421"/>
      <c r="J17" s="421"/>
      <c r="S17" s="528" t="s">
        <v>369</v>
      </c>
      <c r="T17" s="483">
        <v>26.02</v>
      </c>
      <c r="U17" s="484"/>
      <c r="V17" s="529">
        <f>'Billing Determinants'!G730</f>
        <v>26.63</v>
      </c>
    </row>
    <row r="18" spans="2:23" x14ac:dyDescent="0.25">
      <c r="B18" s="408">
        <v>10</v>
      </c>
      <c r="D18" s="426">
        <v>200</v>
      </c>
      <c r="E18" s="426">
        <f>ROUND((B$18*D18),0)</f>
        <v>2000</v>
      </c>
      <c r="G18" s="530">
        <f>ROUND(((E18*$T$14/100))+(E18*$V$25/100),2)</f>
        <v>132.94</v>
      </c>
      <c r="H18" s="530"/>
      <c r="I18" s="530">
        <f>$B$18*$T$17+V27</f>
        <v>275.84999999999997</v>
      </c>
      <c r="J18" s="440"/>
      <c r="K18" s="530">
        <f>ROUND((($E18*$V$14/100))+(($E18*$V$26)/100),2)</f>
        <v>136.30000000000001</v>
      </c>
      <c r="L18" s="530"/>
      <c r="M18" s="530">
        <f>$B$18*$V$17+V28</f>
        <v>281.95</v>
      </c>
      <c r="O18" s="429">
        <f>ROUND((K18-G18)/G18,4)</f>
        <v>2.53E-2</v>
      </c>
      <c r="P18" s="429"/>
      <c r="Q18" s="429">
        <f>ROUND((M18-I18)/I18,4)</f>
        <v>2.2100000000000002E-2</v>
      </c>
      <c r="S18" s="528" t="s">
        <v>370</v>
      </c>
      <c r="T18" s="483">
        <v>18.101388370764003</v>
      </c>
      <c r="U18" s="484"/>
      <c r="V18" s="529">
        <f>'Billing Determinants'!G733</f>
        <v>18.526286850528336</v>
      </c>
    </row>
    <row r="19" spans="2:23" x14ac:dyDescent="0.25">
      <c r="D19" s="426">
        <v>300</v>
      </c>
      <c r="E19" s="426">
        <f>ROUND((B$18*D19),0)</f>
        <v>3000</v>
      </c>
      <c r="G19" s="530">
        <f>ROUND(((E19*$T$14/100))+(E19*$V$25/100),2)</f>
        <v>199.41</v>
      </c>
      <c r="H19" s="530"/>
      <c r="I19" s="530">
        <f>$B$18*$T$17+V27</f>
        <v>275.84999999999997</v>
      </c>
      <c r="J19" s="440"/>
      <c r="K19" s="530">
        <f>ROUND((($E19*$V$14/100))+(($E19*$V$26)/100),2)</f>
        <v>204.45</v>
      </c>
      <c r="L19" s="530"/>
      <c r="M19" s="530">
        <f>$B$18*$V$17+V28</f>
        <v>281.95</v>
      </c>
      <c r="O19" s="429">
        <f>ROUND((K19-G19)/G19,4)</f>
        <v>2.53E-2</v>
      </c>
      <c r="P19" s="429"/>
      <c r="Q19" s="429">
        <f>ROUND((M19-I19)/I19,4)</f>
        <v>2.2100000000000002E-2</v>
      </c>
      <c r="S19" s="528" t="s">
        <v>371</v>
      </c>
      <c r="T19" s="483">
        <v>14.155824964645021</v>
      </c>
      <c r="U19" s="484"/>
      <c r="V19" s="529">
        <f>'Billing Determinants'!G734</f>
        <v>14.48810823397713</v>
      </c>
    </row>
    <row r="20" spans="2:23" x14ac:dyDescent="0.25">
      <c r="D20" s="426">
        <v>500</v>
      </c>
      <c r="E20" s="426">
        <f>ROUND((B$18*D20),0)</f>
        <v>5000</v>
      </c>
      <c r="G20" s="530">
        <f>ROUND(((E20*$T$14/100))+(E20*$V$25/100),2)</f>
        <v>332.35</v>
      </c>
      <c r="H20" s="530"/>
      <c r="I20" s="530">
        <f>$B$18*$T$17+V27</f>
        <v>275.84999999999997</v>
      </c>
      <c r="J20" s="440"/>
      <c r="K20" s="530">
        <f>ROUND((($E20*$V$14/100))+(($E20*$V$26)/100),2)</f>
        <v>340.75</v>
      </c>
      <c r="L20" s="530"/>
      <c r="M20" s="530">
        <f>$B$18*$V$17+V28</f>
        <v>281.95</v>
      </c>
      <c r="O20" s="429">
        <f>ROUND((K20-G20)/G20,4)</f>
        <v>2.53E-2</v>
      </c>
      <c r="P20" s="429"/>
      <c r="Q20" s="429">
        <f>ROUND((M20-I20)/I20,4)</f>
        <v>2.2100000000000002E-2</v>
      </c>
      <c r="S20" s="528" t="s">
        <v>370</v>
      </c>
      <c r="T20" s="506">
        <v>370</v>
      </c>
      <c r="U20" s="484"/>
      <c r="V20" s="531">
        <f>'Billing Determinants'!G724</f>
        <v>379</v>
      </c>
    </row>
    <row r="21" spans="2:23" x14ac:dyDescent="0.25">
      <c r="G21" s="530"/>
      <c r="H21" s="530"/>
      <c r="I21" s="530"/>
      <c r="J21" s="440"/>
      <c r="K21" s="530"/>
      <c r="L21" s="530"/>
      <c r="M21" s="530"/>
      <c r="S21" s="532" t="s">
        <v>371</v>
      </c>
      <c r="T21" s="533">
        <v>1504</v>
      </c>
      <c r="U21" s="534"/>
      <c r="V21" s="535">
        <f>'Billing Determinants'!G725</f>
        <v>1539</v>
      </c>
    </row>
    <row r="22" spans="2:23" x14ac:dyDescent="0.25">
      <c r="B22" s="527" t="s">
        <v>334</v>
      </c>
      <c r="C22" s="421"/>
      <c r="G22" s="530"/>
      <c r="H22" s="530"/>
      <c r="I22" s="530"/>
      <c r="J22" s="440"/>
      <c r="K22" s="530"/>
      <c r="L22" s="530"/>
      <c r="M22" s="530"/>
      <c r="T22" s="433" t="s">
        <v>314</v>
      </c>
      <c r="U22" s="433"/>
      <c r="V22" s="434">
        <v>0.35499999999999998</v>
      </c>
    </row>
    <row r="23" spans="2:23" x14ac:dyDescent="0.25">
      <c r="B23" s="408">
        <v>20</v>
      </c>
      <c r="D23" s="426">
        <v>200</v>
      </c>
      <c r="E23" s="426">
        <f>ROUND((B$23*D23),0)</f>
        <v>4000</v>
      </c>
      <c r="G23" s="530">
        <f>ROUND(((E23*$T$14/100))+(E23*$V$25/100),2)</f>
        <v>265.88</v>
      </c>
      <c r="H23" s="530"/>
      <c r="I23" s="530">
        <f>IF($B$23&lt;51,$B$23*$T$17,IF($B$23&lt;301,$B$23*$T$18+$T$20,$T$21+$T$19*$B$23))+V27</f>
        <v>536.04999999999995</v>
      </c>
      <c r="J23" s="440"/>
      <c r="K23" s="530">
        <f>ROUND((($E23*$V$14/100))+(($E23*$V$26)/100),2)</f>
        <v>272.60000000000002</v>
      </c>
      <c r="L23" s="530"/>
      <c r="M23" s="530">
        <f>IF($B$23&lt;51,$B$23*$V$17,IF($B$23&lt;301,$B$23*$V$18+$V$20,$V$21+$V$19*$B$23))+V28</f>
        <v>548.25</v>
      </c>
      <c r="O23" s="429">
        <f>ROUND((K23-G23)/G23,4)</f>
        <v>2.53E-2</v>
      </c>
      <c r="P23" s="429"/>
      <c r="Q23" s="429">
        <f>ROUND((M23-I23)/I23,4)</f>
        <v>2.2800000000000001E-2</v>
      </c>
      <c r="T23" s="433"/>
      <c r="U23" s="433"/>
      <c r="V23" s="434">
        <v>0.35499999999999998</v>
      </c>
    </row>
    <row r="24" spans="2:23" x14ac:dyDescent="0.25">
      <c r="D24" s="426">
        <v>300</v>
      </c>
      <c r="E24" s="426">
        <f>ROUND((B$23*D24),0)</f>
        <v>6000</v>
      </c>
      <c r="G24" s="530">
        <f>ROUND(((E24*$T$14/100))+(E24*$V$25/100),2)</f>
        <v>398.82</v>
      </c>
      <c r="H24" s="530"/>
      <c r="I24" s="530">
        <f>IF($B$23&lt;51,$B$23*$T$17,IF($B$23&lt;301,$B$23*$T$18+$T$20,$T$21+$T$19*$B$23))+V27</f>
        <v>536.04999999999995</v>
      </c>
      <c r="J24" s="440"/>
      <c r="K24" s="530">
        <f>ROUND((($E24*$V$14/100))+(($E24*$V$26)/100),2)</f>
        <v>408.9</v>
      </c>
      <c r="L24" s="530"/>
      <c r="M24" s="530">
        <f>IF($B$23&lt;51,$B$23*$V$17,IF($B$23&lt;301,$B$23*$V$18+$V$20,$V$21+$V$19*$B$23))+V28</f>
        <v>548.25</v>
      </c>
      <c r="O24" s="429">
        <f>ROUND((K24-G24)/G24,4)</f>
        <v>2.53E-2</v>
      </c>
      <c r="P24" s="429"/>
      <c r="Q24" s="429">
        <f>ROUND((M24-I24)/I24,4)</f>
        <v>2.2800000000000001E-2</v>
      </c>
      <c r="T24" s="433"/>
      <c r="U24" s="433"/>
      <c r="V24" s="436"/>
    </row>
    <row r="25" spans="2:23" x14ac:dyDescent="0.25">
      <c r="D25" s="426">
        <v>500</v>
      </c>
      <c r="E25" s="426">
        <f>ROUND((B$23*D25),0)</f>
        <v>10000</v>
      </c>
      <c r="G25" s="530">
        <f>ROUND(((E25*$T$14/100))+(E25*$V$25/100),2)</f>
        <v>664.7</v>
      </c>
      <c r="H25" s="530"/>
      <c r="I25" s="530">
        <f>IF($B$23&lt;51,$B$23*$T$17,IF($B$23&lt;301,$B$23*$T$18+$T$20,$T$21+$T$19*$B$23))+V27</f>
        <v>536.04999999999995</v>
      </c>
      <c r="J25" s="440"/>
      <c r="K25" s="530">
        <f>ROUND((($E25*$V$14/100))+(($E25*$V$26)/100),2)</f>
        <v>681.5</v>
      </c>
      <c r="L25" s="530"/>
      <c r="M25" s="530">
        <f>IF($B$23&lt;51,$B$23*$V$17,IF($B$23&lt;301,$B$23*$V$18+$V$20,$V$21+$V$19*$B$23))+V28</f>
        <v>548.25</v>
      </c>
      <c r="O25" s="429">
        <f>ROUND((K25-G25)/G25,4)</f>
        <v>2.53E-2</v>
      </c>
      <c r="P25" s="429"/>
      <c r="Q25" s="429">
        <f>ROUND((M25-I25)/I25,4)</f>
        <v>2.2800000000000001E-2</v>
      </c>
      <c r="T25" s="433" t="s">
        <v>315</v>
      </c>
      <c r="U25" s="433"/>
      <c r="V25" s="434">
        <v>-0.747</v>
      </c>
    </row>
    <row r="26" spans="2:23" x14ac:dyDescent="0.25">
      <c r="G26" s="530"/>
      <c r="H26" s="530"/>
      <c r="I26" s="530"/>
      <c r="J26" s="440"/>
      <c r="K26" s="530"/>
      <c r="L26" s="530"/>
      <c r="M26" s="530"/>
      <c r="T26" s="408" t="s">
        <v>0</v>
      </c>
      <c r="U26" s="408" t="s">
        <v>0</v>
      </c>
      <c r="V26" s="437">
        <v>-0.747</v>
      </c>
    </row>
    <row r="27" spans="2:23" x14ac:dyDescent="0.25">
      <c r="B27" s="408">
        <v>100</v>
      </c>
      <c r="D27" s="426">
        <v>200</v>
      </c>
      <c r="E27" s="426">
        <f>ROUND((B$27*D27),0)</f>
        <v>20000</v>
      </c>
      <c r="G27" s="530">
        <f>ROUND(((E27*$T$14/100))+(E27*$V$25/100),2)</f>
        <v>1329.4</v>
      </c>
      <c r="H27" s="530"/>
      <c r="I27" s="530">
        <f>IF($B$27&lt;51,$B$27*$T$17,IF($B$27&lt;301,$B$27*$T$18+$T$20,$T$21+$T$19*$B$27))+V27</f>
        <v>2195.7888370764003</v>
      </c>
      <c r="J27" s="440"/>
      <c r="K27" s="530">
        <f>ROUND((($E27*$V$14/100))+(($E27*$V$26)/100),2)</f>
        <v>1363</v>
      </c>
      <c r="L27" s="530"/>
      <c r="M27" s="530">
        <f>IF($B$27&lt;51,$B$27*$V$17,IF($B$27&lt;301,$B$27*$V$18+$V$20,$V$21+$V$19*$B$27))+V28</f>
        <v>2247.2786850528337</v>
      </c>
      <c r="O27" s="429">
        <f>ROUND((K27-G27)/G27,4)</f>
        <v>2.53E-2</v>
      </c>
      <c r="P27" s="429"/>
      <c r="Q27" s="429">
        <f>ROUND((M27-I27)/I27,4)</f>
        <v>2.3400000000000001E-2</v>
      </c>
      <c r="T27" s="408" t="s">
        <v>356</v>
      </c>
      <c r="V27" s="485">
        <v>15.65</v>
      </c>
      <c r="W27" s="408" t="s">
        <v>0</v>
      </c>
    </row>
    <row r="28" spans="2:23" x14ac:dyDescent="0.25">
      <c r="D28" s="426">
        <v>300</v>
      </c>
      <c r="E28" s="426">
        <f>ROUND((B$27*D28),0)</f>
        <v>30000</v>
      </c>
      <c r="G28" s="530">
        <f>ROUND(((E28*$T$14/100))+(E28*$V$25/100),2)</f>
        <v>1994.1</v>
      </c>
      <c r="H28" s="530"/>
      <c r="I28" s="530">
        <f>IF($B$27&lt;51,$B$27*$T$17,IF($B$27&lt;301,$B$27*$T$18+$T$20,$T$21+$T$19*$B$27))+V27</f>
        <v>2195.7888370764003</v>
      </c>
      <c r="J28" s="440"/>
      <c r="K28" s="530">
        <f>ROUND((($E28*$V$14/100))+(($E28*$V$26)/100),2)</f>
        <v>2044.5</v>
      </c>
      <c r="L28" s="530"/>
      <c r="M28" s="530">
        <f>IF($B$27&lt;51,$B$27*$V$17,IF($B$27&lt;301,$B$27*$V$18+$V$20,$V$21+$V$19*$B$27))+V28</f>
        <v>2247.2786850528337</v>
      </c>
      <c r="O28" s="429">
        <f>ROUND((K28-G28)/G28,4)</f>
        <v>2.53E-2</v>
      </c>
      <c r="P28" s="429"/>
      <c r="Q28" s="429">
        <f>ROUND((M28-I28)/I28,4)</f>
        <v>2.3400000000000001E-2</v>
      </c>
      <c r="T28" s="408" t="s">
        <v>343</v>
      </c>
      <c r="V28" s="485">
        <f>V27</f>
        <v>15.65</v>
      </c>
    </row>
    <row r="29" spans="2:23" x14ac:dyDescent="0.25">
      <c r="D29" s="426">
        <v>500</v>
      </c>
      <c r="E29" s="426">
        <f>ROUND((B$27*D29),0)</f>
        <v>50000</v>
      </c>
      <c r="G29" s="530">
        <f>ROUND(((E29*$T$14/100))+(E29*$V$25/100),2)</f>
        <v>3323.5</v>
      </c>
      <c r="H29" s="530"/>
      <c r="I29" s="530">
        <f>IF($B$27&lt;51,$B$27*$T$17,IF($B$27&lt;301,$B$27*$T$18+$T$20,$T$21+$T$19*$B$27))+V27</f>
        <v>2195.7888370764003</v>
      </c>
      <c r="J29" s="440"/>
      <c r="K29" s="530">
        <f>ROUND((($E29*$V$14/100))+(($E29*$V$26)/100),2)</f>
        <v>3407.5</v>
      </c>
      <c r="L29" s="530"/>
      <c r="M29" s="530">
        <f>IF($B$27&lt;51,$B$27*$V$17,IF($B$27&lt;301,$B$27*$V$18+$V$20,$V$21+$V$19*$B$27))+V28</f>
        <v>2247.2786850528337</v>
      </c>
      <c r="O29" s="429">
        <f>ROUND((K29-G29)/G29,4)</f>
        <v>2.53E-2</v>
      </c>
      <c r="P29" s="429"/>
      <c r="Q29" s="429">
        <f>ROUND((M29-I29)/I29,4)</f>
        <v>2.3400000000000001E-2</v>
      </c>
    </row>
    <row r="30" spans="2:23" x14ac:dyDescent="0.25">
      <c r="G30" s="530"/>
      <c r="H30" s="530"/>
      <c r="I30" s="530"/>
      <c r="J30" s="440"/>
      <c r="K30" s="530"/>
      <c r="L30" s="530"/>
      <c r="M30" s="530"/>
      <c r="T30" s="408" t="s">
        <v>318</v>
      </c>
      <c r="V30" s="408">
        <v>4.0000000000000001E-3</v>
      </c>
    </row>
    <row r="31" spans="2:23" x14ac:dyDescent="0.25">
      <c r="B31" s="408">
        <v>300</v>
      </c>
      <c r="D31" s="426">
        <v>200</v>
      </c>
      <c r="E31" s="426">
        <f>ROUND((B$31*D31),0)</f>
        <v>60000</v>
      </c>
      <c r="G31" s="530">
        <f>ROUND(((E31*$T$14/100))+(E31*$V$25/100),2)</f>
        <v>3988.2</v>
      </c>
      <c r="H31" s="530"/>
      <c r="I31" s="530">
        <f>IF($B$31&lt;51,$B$31*$T$17,IF($B$31&lt;301,$B$31*$T$18+$T$20,$T$21+$T$19*$B$31))+V27</f>
        <v>5816.0665112292008</v>
      </c>
      <c r="J31" s="440"/>
      <c r="K31" s="530">
        <f>ROUND((($E31*$V$14/100))+(($E31*$V$26)/100),2)</f>
        <v>4089</v>
      </c>
      <c r="L31" s="530"/>
      <c r="M31" s="530">
        <f>IF($B$31&lt;51,$B$31*$V$17,IF($B$31&lt;301,$B$31*$V$18+$V$20,$V$21+$V$19*$B$31))+V28</f>
        <v>5952.5360551585009</v>
      </c>
      <c r="O31" s="429">
        <f>ROUND((K31-G31)/G31,4)</f>
        <v>2.53E-2</v>
      </c>
      <c r="P31" s="429"/>
      <c r="Q31" s="429">
        <f>ROUND((M31-I31)/I31,4)</f>
        <v>2.35E-2</v>
      </c>
    </row>
    <row r="32" spans="2:23" x14ac:dyDescent="0.25">
      <c r="D32" s="426">
        <v>300</v>
      </c>
      <c r="E32" s="426">
        <f>ROUND((B$31*D32),0)</f>
        <v>90000</v>
      </c>
      <c r="G32" s="530">
        <f>ROUND(((E32*$T$14/100))+(E32*$V$25/100),2)</f>
        <v>5982.3</v>
      </c>
      <c r="H32" s="530"/>
      <c r="I32" s="530">
        <f>IF($B$31&lt;51,$B$31*$T$17,IF($B$31&lt;301,$B$31*$T$18+$T$20,$T$21+$T$19*$B$31))+V27</f>
        <v>5816.0665112292008</v>
      </c>
      <c r="J32" s="440"/>
      <c r="K32" s="530">
        <f>ROUND((($E32*$V$14/100))+(($E32*$V$26)/100),2)</f>
        <v>6133.5</v>
      </c>
      <c r="L32" s="530"/>
      <c r="M32" s="530">
        <f>IF($B$31&lt;51,$B$31*$V$17,IF($B$31&lt;301,$B$31*$V$18+$V$20,$V$21+$V$19*$B$31))+V28</f>
        <v>5952.5360551585009</v>
      </c>
      <c r="O32" s="429">
        <f>ROUND((K32-G32)/G32,4)</f>
        <v>2.53E-2</v>
      </c>
      <c r="P32" s="429"/>
      <c r="Q32" s="429">
        <f>ROUND((M32-I32)/I32,4)</f>
        <v>2.35E-2</v>
      </c>
    </row>
    <row r="33" spans="2:20" x14ac:dyDescent="0.25">
      <c r="D33" s="426">
        <v>500</v>
      </c>
      <c r="E33" s="426">
        <f>ROUND((B$31*D33),0)</f>
        <v>150000</v>
      </c>
      <c r="G33" s="530">
        <f>ROUND(((E33*$T$14/100))+(E33*$V$25/100),2)</f>
        <v>9970.5</v>
      </c>
      <c r="H33" s="530"/>
      <c r="I33" s="530">
        <f>IF($B$31&lt;51,$B$31*$T$17,IF($B$31&lt;301,$B$31*$T$18+$T$20,$T$21+$T$19*$B$31))+V27</f>
        <v>5816.0665112292008</v>
      </c>
      <c r="J33" s="440"/>
      <c r="K33" s="530">
        <f>ROUND((($E33*$V$14/100))+(($E33*$V$26)/100),2)</f>
        <v>10222.5</v>
      </c>
      <c r="L33" s="530"/>
      <c r="M33" s="530">
        <f>IF($B$31&lt;51,$B$31*$V$17,IF($B$31&lt;301,$B$31*$V$18+$V$20,$V$21+$V$19*$B$31))+V28</f>
        <v>5952.5360551585009</v>
      </c>
      <c r="O33" s="429">
        <f>ROUND((K33-G33)/G33,4)</f>
        <v>2.53E-2</v>
      </c>
      <c r="P33" s="429"/>
      <c r="Q33" s="429">
        <f>ROUND((M33-I33)/I33,4)</f>
        <v>2.35E-2</v>
      </c>
      <c r="S33" s="438" t="s">
        <v>345</v>
      </c>
      <c r="T33" s="512">
        <f>'Est Effect of Base Rate Inc'!V26</f>
        <v>2.3464131338964474E-2</v>
      </c>
    </row>
    <row r="34" spans="2:20" x14ac:dyDescent="0.25">
      <c r="B34" s="443"/>
      <c r="C34" s="443"/>
      <c r="D34" s="443"/>
      <c r="E34" s="443"/>
      <c r="F34" s="443"/>
      <c r="G34" s="443"/>
      <c r="H34" s="443"/>
      <c r="I34" s="443"/>
      <c r="J34" s="443"/>
      <c r="K34" s="443"/>
      <c r="L34" s="443"/>
      <c r="M34" s="443"/>
      <c r="N34" s="443"/>
      <c r="O34" s="443"/>
      <c r="P34" s="443"/>
      <c r="Q34" s="443"/>
      <c r="T34" s="513" t="s">
        <v>0</v>
      </c>
    </row>
    <row r="36" spans="2:20" x14ac:dyDescent="0.25">
      <c r="C36" s="446"/>
    </row>
    <row r="37" spans="2:20" x14ac:dyDescent="0.25">
      <c r="B37" s="408" t="s">
        <v>321</v>
      </c>
      <c r="C37" s="446"/>
    </row>
    <row r="38" spans="2:20" x14ac:dyDescent="0.25">
      <c r="B38" s="536" t="s">
        <v>372</v>
      </c>
      <c r="C38" s="446"/>
    </row>
    <row r="39" spans="2:20" x14ac:dyDescent="0.25">
      <c r="B39" s="446" t="s">
        <v>373</v>
      </c>
      <c r="C39" s="446"/>
    </row>
    <row r="40" spans="2:20" x14ac:dyDescent="0.25">
      <c r="B40" s="446"/>
      <c r="C40" s="446"/>
    </row>
    <row r="41" spans="2:20" x14ac:dyDescent="0.25">
      <c r="B41" s="446"/>
      <c r="C41" s="446"/>
    </row>
    <row r="42" spans="2:20" x14ac:dyDescent="0.25">
      <c r="B42" s="446"/>
      <c r="C42" s="446"/>
    </row>
    <row r="43" spans="2:20" x14ac:dyDescent="0.25">
      <c r="B43" s="446"/>
      <c r="C43" s="446"/>
    </row>
    <row r="44" spans="2:20" x14ac:dyDescent="0.25">
      <c r="B44" s="446"/>
      <c r="C44" s="446"/>
    </row>
    <row r="45" spans="2:20" x14ac:dyDescent="0.25">
      <c r="B45" s="446"/>
      <c r="C45" s="446"/>
    </row>
    <row r="46" spans="2:20" x14ac:dyDescent="0.25">
      <c r="B46" s="446"/>
      <c r="C46" s="446"/>
    </row>
    <row r="47" spans="2:20" x14ac:dyDescent="0.25">
      <c r="B47" s="446"/>
      <c r="C47" s="446"/>
    </row>
    <row r="48" spans="2:20" x14ac:dyDescent="0.25">
      <c r="B48" s="446"/>
      <c r="C48" s="446"/>
      <c r="P48" s="440"/>
    </row>
    <row r="49" spans="2:3" x14ac:dyDescent="0.25">
      <c r="B49" s="446"/>
      <c r="C49" s="446"/>
    </row>
    <row r="50" spans="2:3" x14ac:dyDescent="0.25">
      <c r="B50" s="446"/>
      <c r="C50" s="446"/>
    </row>
    <row r="51" spans="2:3" x14ac:dyDescent="0.25">
      <c r="B51" s="446"/>
      <c r="C51" s="446"/>
    </row>
  </sheetData>
  <mergeCells count="5">
    <mergeCell ref="G12:I12"/>
    <mergeCell ref="K12:M12"/>
    <mergeCell ref="O12:Q12"/>
    <mergeCell ref="S13:T13"/>
    <mergeCell ref="U13:V13"/>
  </mergeCells>
  <printOptions horizontalCentered="1"/>
  <pageMargins left="0.5" right="0.5" top="0.5" bottom="0.5" header="0.5" footer="0.5"/>
  <pageSetup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8"/>
  <sheetViews>
    <sheetView view="pageBreakPreview" zoomScale="60" zoomScaleNormal="100" workbookViewId="0">
      <selection sqref="A1:F1"/>
    </sheetView>
  </sheetViews>
  <sheetFormatPr defaultColWidth="8.5" defaultRowHeight="15" x14ac:dyDescent="0.25"/>
  <cols>
    <col min="1" max="1" width="2" style="408" customWidth="1"/>
    <col min="2" max="2" width="8.5" style="408"/>
    <col min="3" max="3" width="8.5" style="408" hidden="1" customWidth="1"/>
    <col min="4" max="4" width="3.25" style="408" customWidth="1"/>
    <col min="5" max="5" width="9.75" style="408" customWidth="1"/>
    <col min="6" max="6" width="3.75" style="408" customWidth="1"/>
    <col min="7" max="7" width="19.875" style="408" customWidth="1"/>
    <col min="8" max="8" width="3.5" style="408" customWidth="1"/>
    <col min="9" max="9" width="19.5" style="408" customWidth="1"/>
    <col min="10" max="10" width="2.875" style="408" customWidth="1"/>
    <col min="11" max="11" width="12.125" style="408" customWidth="1"/>
    <col min="12" max="12" width="3.5" style="512" customWidth="1"/>
    <col min="13" max="13" width="14.75" style="408" customWidth="1"/>
    <col min="14" max="14" width="11" style="408" bestFit="1" customWidth="1"/>
    <col min="15" max="15" width="17.25" style="408" customWidth="1"/>
    <col min="16" max="16" width="14.375" style="408" customWidth="1"/>
    <col min="17" max="17" width="10.25" style="408" customWidth="1"/>
    <col min="18" max="18" width="7.375" style="408" customWidth="1"/>
    <col min="19" max="19" width="3.125" style="408" customWidth="1"/>
    <col min="20" max="16384" width="8.5" style="408"/>
  </cols>
  <sheetData>
    <row r="2" spans="1:18" ht="18.75" x14ac:dyDescent="0.3">
      <c r="B2" s="412"/>
      <c r="C2" s="409"/>
      <c r="D2" s="409"/>
      <c r="E2" s="409"/>
      <c r="F2" s="409"/>
      <c r="G2" s="409"/>
      <c r="H2" s="409"/>
      <c r="I2" s="409"/>
      <c r="J2" s="455" t="s">
        <v>0</v>
      </c>
      <c r="K2" s="516"/>
    </row>
    <row r="3" spans="1:18" ht="18.75" x14ac:dyDescent="0.3">
      <c r="B3" s="410" t="s">
        <v>302</v>
      </c>
      <c r="C3" s="410"/>
      <c r="D3" s="410"/>
      <c r="E3" s="410"/>
      <c r="F3" s="410"/>
      <c r="G3" s="410"/>
      <c r="H3" s="410"/>
      <c r="I3" s="410"/>
      <c r="J3" s="410"/>
      <c r="K3" s="410"/>
    </row>
    <row r="4" spans="1:18" ht="18.75" x14ac:dyDescent="0.3">
      <c r="B4" s="410" t="s">
        <v>303</v>
      </c>
      <c r="C4" s="410"/>
      <c r="D4" s="410"/>
      <c r="E4" s="410"/>
      <c r="F4" s="410"/>
      <c r="G4" s="410"/>
      <c r="H4" s="410"/>
      <c r="I4" s="410"/>
      <c r="J4" s="410"/>
      <c r="K4" s="410"/>
    </row>
    <row r="5" spans="1:18" ht="18.75" x14ac:dyDescent="0.3">
      <c r="B5" s="410" t="s">
        <v>374</v>
      </c>
      <c r="C5" s="410"/>
      <c r="D5" s="410"/>
      <c r="E5" s="410"/>
      <c r="F5" s="410"/>
      <c r="G5" s="410"/>
      <c r="H5" s="410"/>
      <c r="I5" s="410"/>
      <c r="J5" s="410"/>
      <c r="K5" s="410"/>
    </row>
    <row r="6" spans="1:18" ht="18.75" x14ac:dyDescent="0.3">
      <c r="B6" s="410" t="s">
        <v>375</v>
      </c>
      <c r="C6" s="410"/>
      <c r="D6" s="410"/>
      <c r="E6" s="410"/>
      <c r="F6" s="410"/>
      <c r="G6" s="410"/>
      <c r="H6" s="410"/>
      <c r="I6" s="410"/>
      <c r="J6" s="410"/>
      <c r="K6" s="410"/>
    </row>
    <row r="7" spans="1:18" ht="18.75" x14ac:dyDescent="0.3">
      <c r="B7" s="410" t="s">
        <v>305</v>
      </c>
      <c r="C7" s="410"/>
      <c r="D7" s="410"/>
      <c r="E7" s="410"/>
      <c r="F7" s="410"/>
      <c r="G7" s="410"/>
      <c r="H7" s="410"/>
      <c r="I7" s="410"/>
      <c r="J7" s="410"/>
      <c r="K7" s="410"/>
    </row>
    <row r="8" spans="1:18" ht="18.75" x14ac:dyDescent="0.3">
      <c r="A8" s="537"/>
      <c r="B8" s="409"/>
      <c r="C8" s="409"/>
      <c r="D8" s="409"/>
      <c r="E8" s="409"/>
      <c r="F8" s="409"/>
      <c r="G8" s="409"/>
      <c r="H8" s="409"/>
      <c r="I8" s="409"/>
      <c r="J8" s="409"/>
    </row>
    <row r="9" spans="1:18" ht="18.75" x14ac:dyDescent="0.3">
      <c r="A9" s="537"/>
      <c r="B9" s="409"/>
      <c r="C9" s="409"/>
      <c r="D9" s="409"/>
      <c r="E9" s="409"/>
      <c r="F9" s="409"/>
      <c r="G9" s="409"/>
      <c r="H9" s="409"/>
      <c r="I9" s="409"/>
      <c r="J9" s="409"/>
    </row>
    <row r="11" spans="1:18" x14ac:dyDescent="0.25">
      <c r="B11" s="517" t="s">
        <v>325</v>
      </c>
      <c r="G11" s="415" t="s">
        <v>326</v>
      </c>
      <c r="H11" s="415"/>
      <c r="I11" s="415"/>
    </row>
    <row r="12" spans="1:18" ht="15.75" thickBot="1" x14ac:dyDescent="0.3">
      <c r="B12" s="519" t="s">
        <v>329</v>
      </c>
      <c r="C12" s="518" t="s">
        <v>330</v>
      </c>
      <c r="G12" s="409" t="s">
        <v>13</v>
      </c>
      <c r="I12" s="409" t="s">
        <v>10</v>
      </c>
      <c r="K12" s="409" t="s">
        <v>328</v>
      </c>
    </row>
    <row r="13" spans="1:18" ht="15.75" customHeight="1" x14ac:dyDescent="0.25">
      <c r="B13" s="520" t="s">
        <v>331</v>
      </c>
      <c r="C13" s="521" t="s">
        <v>332</v>
      </c>
      <c r="D13" s="421"/>
      <c r="E13" s="414" t="s">
        <v>309</v>
      </c>
      <c r="F13" s="421"/>
      <c r="G13" s="415" t="s">
        <v>376</v>
      </c>
      <c r="I13" s="415" t="s">
        <v>377</v>
      </c>
      <c r="K13" s="538" t="s">
        <v>96</v>
      </c>
      <c r="M13" s="583" t="s">
        <v>13</v>
      </c>
      <c r="N13" s="581"/>
      <c r="O13" s="582"/>
      <c r="P13" s="583" t="s">
        <v>10</v>
      </c>
      <c r="Q13" s="581"/>
      <c r="R13" s="582"/>
    </row>
    <row r="14" spans="1:18" x14ac:dyDescent="0.25">
      <c r="G14" s="521"/>
      <c r="H14" s="421"/>
      <c r="I14" s="521"/>
      <c r="M14" s="477" t="s">
        <v>335</v>
      </c>
      <c r="N14" s="435"/>
      <c r="O14" s="478"/>
      <c r="P14" s="435"/>
      <c r="Q14" s="435"/>
      <c r="R14" s="478"/>
    </row>
    <row r="15" spans="1:18" x14ac:dyDescent="0.25">
      <c r="B15" s="426">
        <v>1000</v>
      </c>
      <c r="C15" s="408">
        <v>300</v>
      </c>
      <c r="E15" s="426">
        <f>ROUND((B$15*C15),0)</f>
        <v>300000</v>
      </c>
      <c r="F15" s="426"/>
      <c r="G15" s="530">
        <f>ROUND($E15*N$18/100+$B$15*N$17+IF($B$15&lt;3001,$B$15*O$15+N$15,$B$15*O$16+N$16),2)+Q24</f>
        <v>25788.5</v>
      </c>
      <c r="H15" s="530"/>
      <c r="I15" s="530">
        <f>ROUND($E15*Q$18/100+$B$15*Q$17+IF($B$15&lt;3001,$B$15*R$15+Q$15,$B$15*R$16+Q$16),2)+Q25</f>
        <v>26372.5</v>
      </c>
      <c r="K15" s="429">
        <f>(I15-G15)/G15</f>
        <v>2.2645752951897163E-2</v>
      </c>
      <c r="M15" s="477" t="s">
        <v>378</v>
      </c>
      <c r="N15" s="483">
        <v>1411</v>
      </c>
      <c r="O15" s="420">
        <v>1.1200000000000001</v>
      </c>
      <c r="P15" s="484"/>
      <c r="Q15" s="483">
        <f>'Billing Determinants'!G960</f>
        <v>1442</v>
      </c>
      <c r="R15" s="420">
        <f>'Billing Determinants'!G963</f>
        <v>1.1499999999999999</v>
      </c>
    </row>
    <row r="16" spans="1:18" x14ac:dyDescent="0.25">
      <c r="C16" s="408">
        <v>500</v>
      </c>
      <c r="E16" s="426">
        <f>ROUND((B$15*C16),0)</f>
        <v>500000</v>
      </c>
      <c r="F16" s="426"/>
      <c r="G16" s="530">
        <f>ROUND($E16*N$18/100+$B$15*N$17+IF($B$15&lt;3001,$B$15*O$15+N$15,$B$15*O$16+N$16),2)+Q24</f>
        <v>35808.5</v>
      </c>
      <c r="H16" s="530"/>
      <c r="I16" s="530">
        <f>ROUND($E16*Q$18/100+$B$15*Q$17+IF($B$15&lt;3001,$B$15*R$15+Q$15,$B$15*R$16+Q$16),2)+Q25</f>
        <v>36614.5</v>
      </c>
      <c r="K16" s="429">
        <f>(I16-G16)/G16</f>
        <v>2.2508622254492648E-2</v>
      </c>
      <c r="M16" s="477" t="s">
        <v>379</v>
      </c>
      <c r="N16" s="483">
        <v>1703</v>
      </c>
      <c r="O16" s="420">
        <v>1.01</v>
      </c>
      <c r="P16" s="484"/>
      <c r="Q16" s="483">
        <f>'Billing Determinants'!G961</f>
        <v>1743</v>
      </c>
      <c r="R16" s="420">
        <f>'Billing Determinants'!G964</f>
        <v>1.03</v>
      </c>
    </row>
    <row r="17" spans="2:20" x14ac:dyDescent="0.25">
      <c r="C17" s="408">
        <v>700</v>
      </c>
      <c r="E17" s="426">
        <f>ROUND((B$15*C17),0)</f>
        <v>700000</v>
      </c>
      <c r="F17" s="426"/>
      <c r="G17" s="530">
        <f>ROUND($E17*N$18/100+$B$15*N$17+IF($B$15&lt;3001,$B$15*O$15+N$15,$B$15*O$16+N$16),2)+Q24</f>
        <v>45828.5</v>
      </c>
      <c r="H17" s="530"/>
      <c r="I17" s="530">
        <f>ROUND($E17*Q$18/100+$B$15*Q$17+IF($B$15&lt;3001,$B$15*R$15+Q$15,$B$15*R$16+Q$16),2)+Q25</f>
        <v>46856.5</v>
      </c>
      <c r="K17" s="429">
        <f>(I17-G17)/G17</f>
        <v>2.2431456408130313E-2</v>
      </c>
      <c r="M17" s="477" t="s">
        <v>331</v>
      </c>
      <c r="N17" s="483">
        <v>7.97</v>
      </c>
      <c r="O17" s="489"/>
      <c r="P17" s="484"/>
      <c r="Q17" s="483">
        <f>'Billing Determinants'!G965</f>
        <v>8.16</v>
      </c>
      <c r="R17" s="489"/>
      <c r="T17" s="425">
        <f>(Q17-N17)/N17</f>
        <v>2.383939774153079E-2</v>
      </c>
    </row>
    <row r="18" spans="2:20" x14ac:dyDescent="0.25">
      <c r="G18" s="530"/>
      <c r="H18" s="530"/>
      <c r="I18" s="530"/>
      <c r="K18" s="429"/>
      <c r="M18" s="477" t="s">
        <v>313</v>
      </c>
      <c r="N18" s="492">
        <v>5.0099999999999989</v>
      </c>
      <c r="O18" s="489"/>
      <c r="P18" s="484"/>
      <c r="Q18" s="492">
        <f>'Billing Determinants'!G967+'Billing Determinants'!G949+Q21+Q27</f>
        <v>5.1209999999999996</v>
      </c>
      <c r="R18" s="489"/>
      <c r="T18" s="425">
        <f>(Q18-N18)/N18</f>
        <v>2.2155688622754625E-2</v>
      </c>
    </row>
    <row r="19" spans="2:20" ht="15.75" thickBot="1" x14ac:dyDescent="0.3">
      <c r="B19" s="426">
        <v>2000</v>
      </c>
      <c r="C19" s="408">
        <v>300</v>
      </c>
      <c r="E19" s="426">
        <f>ROUND((B$19*C19),0)</f>
        <v>600000</v>
      </c>
      <c r="F19" s="426"/>
      <c r="G19" s="530">
        <f>ROUND($E19*N$18/100+$B$19*N$17+IF($B$19&lt;3001,$B$19*O$15+N$15,$B$19*O$16+N$16),2)+Q24</f>
        <v>49908.5</v>
      </c>
      <c r="H19" s="530"/>
      <c r="I19" s="530">
        <f>ROUND($E19*Q$18/100+$B$19*Q$17+IF($B$19&lt;3001,$B$19*R$15+Q$15,$B$19*R$16+Q$16),2)+Q25</f>
        <v>51045.5</v>
      </c>
      <c r="K19" s="429">
        <f>(I19-G19)/G19</f>
        <v>2.2781690493603294E-2</v>
      </c>
      <c r="M19" s="509" t="s">
        <v>0</v>
      </c>
      <c r="N19" s="510" t="s">
        <v>0</v>
      </c>
      <c r="O19" s="495"/>
      <c r="P19" s="494"/>
      <c r="Q19" s="510" t="s">
        <v>0</v>
      </c>
      <c r="R19" s="511"/>
    </row>
    <row r="20" spans="2:20" x14ac:dyDescent="0.25">
      <c r="C20" s="408">
        <v>500</v>
      </c>
      <c r="E20" s="426">
        <f>ROUND((B$19*C20),0)</f>
        <v>1000000</v>
      </c>
      <c r="F20" s="426"/>
      <c r="G20" s="530">
        <f>ROUND($E20*N$18/100+$B$19*N$17+IF($B$19&lt;3001,$B$19*O$15+N$15,$B$19*O$16+N$16),2)+Q24</f>
        <v>69948.5</v>
      </c>
      <c r="H20" s="530"/>
      <c r="I20" s="530">
        <f>ROUND($E20*Q$18/100+$B$19*Q$17+IF($B$19&lt;3001,$B$19*R$15+Q$15,$B$19*R$16+Q$16),2)+Q25</f>
        <v>71529.5</v>
      </c>
      <c r="K20" s="429">
        <f>(I20-G20)/G20</f>
        <v>2.2602343152462168E-2</v>
      </c>
      <c r="O20" s="433" t="s">
        <v>314</v>
      </c>
      <c r="P20" s="433"/>
      <c r="Q20" s="434">
        <v>0.26500000000000001</v>
      </c>
    </row>
    <row r="21" spans="2:20" x14ac:dyDescent="0.25">
      <c r="C21" s="408">
        <v>700</v>
      </c>
      <c r="E21" s="426">
        <f>ROUND((B$19*C21),0)</f>
        <v>1400000</v>
      </c>
      <c r="F21" s="426"/>
      <c r="G21" s="530">
        <f>ROUND($E21*N$18/100+$B$19*N$17+IF($B$19&lt;3001,$B$19*O$15+N$15,$B$19*O$16+N$16),2)+Q24</f>
        <v>89988.5</v>
      </c>
      <c r="H21" s="530"/>
      <c r="I21" s="530">
        <f>ROUND($E21*Q$18/100+$B$19*Q$17+IF($B$19&lt;3001,$B$19*R$15+Q$15,$B$19*R$16+Q$16),2)+Q25</f>
        <v>92013.5</v>
      </c>
      <c r="K21" s="429">
        <f>(I21-G21)/G21</f>
        <v>2.2502875367408057E-2</v>
      </c>
      <c r="O21" s="433"/>
      <c r="P21" s="433"/>
      <c r="Q21" s="434">
        <v>0.26500000000000001</v>
      </c>
    </row>
    <row r="22" spans="2:20" x14ac:dyDescent="0.25">
      <c r="G22" s="530"/>
      <c r="H22" s="530"/>
      <c r="I22" s="530"/>
      <c r="K22" s="429"/>
      <c r="O22" s="433"/>
      <c r="P22" s="433"/>
      <c r="Q22" s="436"/>
    </row>
    <row r="23" spans="2:20" x14ac:dyDescent="0.25">
      <c r="B23" s="426">
        <v>4000</v>
      </c>
      <c r="C23" s="408">
        <v>300</v>
      </c>
      <c r="E23" s="426">
        <f>ROUND((B$23*C23),0)</f>
        <v>1200000</v>
      </c>
      <c r="F23" s="426"/>
      <c r="G23" s="530">
        <f>ROUND($E23*N$18/100+$B$23*N$17+IF($B$23&lt;3001,$B$23*O$15+N$15,$B$23*O$16+N$16),2)+Q24</f>
        <v>98000.5</v>
      </c>
      <c r="H23" s="530"/>
      <c r="I23" s="530">
        <f>ROUND($E23*Q$18/100+$B$23*Q$17+IF($B$23&lt;3001,$B$23*R$15+Q$15,$B$23*R$16+Q$16),2)+Q25</f>
        <v>100212.5</v>
      </c>
      <c r="K23" s="429">
        <f>(I23-G23)/G23</f>
        <v>2.2571313411666266E-2</v>
      </c>
      <c r="O23" s="408" t="s">
        <v>0</v>
      </c>
      <c r="P23" s="408" t="s">
        <v>0</v>
      </c>
      <c r="Q23" s="408" t="s">
        <v>0</v>
      </c>
      <c r="T23" s="408" t="s">
        <v>0</v>
      </c>
    </row>
    <row r="24" spans="2:20" x14ac:dyDescent="0.25">
      <c r="C24" s="408">
        <v>500</v>
      </c>
      <c r="E24" s="426">
        <f>ROUND((B$23*C24),0)</f>
        <v>2000000</v>
      </c>
      <c r="F24" s="426"/>
      <c r="G24" s="530">
        <f>ROUND($E24*N$18/100+$B$23*N$17+IF($B$23&lt;3001,$B$23*O$15+N$15,$B$23*O$16+N$16),2)+Q24</f>
        <v>138080.5</v>
      </c>
      <c r="H24" s="530"/>
      <c r="I24" s="530">
        <f>ROUND($E24*Q$18/100+$B$23*Q$17+IF($B$23&lt;3001,$B$23*R$15+Q$15,$B$23*R$16+Q$16),2)+Q25</f>
        <v>141180.5</v>
      </c>
      <c r="K24" s="429">
        <f>(I24-G24)/G24</f>
        <v>2.2450671890672472E-2</v>
      </c>
      <c r="O24" s="408" t="s">
        <v>356</v>
      </c>
      <c r="Q24" s="485">
        <v>257.5</v>
      </c>
      <c r="R24" s="408" t="s">
        <v>0</v>
      </c>
    </row>
    <row r="25" spans="2:20" x14ac:dyDescent="0.25">
      <c r="C25" s="408">
        <v>700</v>
      </c>
      <c r="E25" s="426">
        <f>ROUND((B$23*C25),0)</f>
        <v>2800000</v>
      </c>
      <c r="F25" s="426"/>
      <c r="G25" s="530">
        <f>ROUND($E25*N$18/100+$B$23*N$17+IF($B$23&lt;3001,$B$23*O$15+N$15,$B$23*O$16+N$16),2)+Q24</f>
        <v>178160.5</v>
      </c>
      <c r="H25" s="530"/>
      <c r="I25" s="530">
        <f>ROUND($E25*Q$18/100+$B$23*Q$17+IF($B$23&lt;3001,$B$23*R$15+Q$15,$B$23*R$16+Q$16),2)+Q25</f>
        <v>182148.5</v>
      </c>
      <c r="K25" s="429">
        <f>(I25-G25)/G25</f>
        <v>2.2384310775957632E-2</v>
      </c>
      <c r="O25" s="408" t="s">
        <v>343</v>
      </c>
      <c r="Q25" s="485">
        <f>Q24</f>
        <v>257.5</v>
      </c>
    </row>
    <row r="26" spans="2:20" x14ac:dyDescent="0.25">
      <c r="G26" s="530"/>
      <c r="H26" s="530"/>
      <c r="I26" s="530"/>
      <c r="K26" s="429"/>
    </row>
    <row r="27" spans="2:20" x14ac:dyDescent="0.25">
      <c r="B27" s="426">
        <v>6000</v>
      </c>
      <c r="C27" s="408">
        <v>300</v>
      </c>
      <c r="E27" s="426">
        <f>ROUND((B$27*C27),0)</f>
        <v>1800000</v>
      </c>
      <c r="F27" s="426"/>
      <c r="G27" s="530">
        <f>ROUND($E27*N$18/100+$B$27*N$17+IF($B$27&lt;3001,$B$27*O$15+N$15,$B$27*O$16+N$16),2)+Q24</f>
        <v>146020.5</v>
      </c>
      <c r="H27" s="530"/>
      <c r="I27" s="530">
        <f>ROUND($E27*Q$18/100+$B$27*Q$17+IF($B$27&lt;3001,$B$27*R$15+Q$15,$B$27*R$16+Q$16),2)+Q25</f>
        <v>149318.5</v>
      </c>
      <c r="K27" s="429">
        <f>(I27-G27)/G27</f>
        <v>2.2585869792255197E-2</v>
      </c>
      <c r="O27" s="408" t="s">
        <v>318</v>
      </c>
      <c r="Q27" s="408">
        <v>4.0000000000000001E-3</v>
      </c>
    </row>
    <row r="28" spans="2:20" x14ac:dyDescent="0.25">
      <c r="C28" s="408">
        <v>500</v>
      </c>
      <c r="E28" s="426">
        <f>ROUND((B$27*C28),0)</f>
        <v>3000000</v>
      </c>
      <c r="F28" s="426"/>
      <c r="G28" s="530">
        <f>ROUND($E28*N$18/100+$B$27*N$17+IF($B$27&lt;3001,$B$27*O$15+N$15,$B$27*O$16+N$16),2)+Q24</f>
        <v>206140.5</v>
      </c>
      <c r="H28" s="530"/>
      <c r="I28" s="530">
        <f>ROUND($E28*Q$18/100+$B$27*Q$17+IF($B$27&lt;3001,$B$27*R$15+Q$15,$B$27*R$16+Q$16),2)+Q25</f>
        <v>210770.5</v>
      </c>
      <c r="K28" s="429">
        <f>(I28-G28)/G28</f>
        <v>2.2460409283959242E-2</v>
      </c>
    </row>
    <row r="29" spans="2:20" x14ac:dyDescent="0.25">
      <c r="C29" s="408">
        <v>700</v>
      </c>
      <c r="E29" s="426">
        <f>ROUND((B$27*C29),0)</f>
        <v>4200000</v>
      </c>
      <c r="F29" s="426"/>
      <c r="G29" s="530">
        <f>ROUND($E29*N$18/100+$B$27*N$17+IF($B$27&lt;3001,$B$27*O$15+N$15,$B$27*O$16+N$16),2)+Q24</f>
        <v>266260.5</v>
      </c>
      <c r="H29" s="530"/>
      <c r="I29" s="530">
        <f>ROUND($E29*Q$18/100+$B$27*Q$17+IF($B$27&lt;3001,$B$27*R$15+Q$15,$B$27*R$16+Q$16),2)+Q25</f>
        <v>272222.5</v>
      </c>
      <c r="K29" s="429">
        <f>(I29-G29)/G29</f>
        <v>2.2391605213691105E-2</v>
      </c>
    </row>
    <row r="30" spans="2:20" x14ac:dyDescent="0.25">
      <c r="B30" s="443"/>
      <c r="C30" s="443"/>
      <c r="D30" s="443"/>
      <c r="E30" s="443"/>
      <c r="F30" s="443"/>
      <c r="G30" s="443"/>
      <c r="H30" s="443"/>
      <c r="I30" s="443"/>
      <c r="J30" s="443"/>
      <c r="K30" s="443"/>
      <c r="M30" s="438" t="s">
        <v>380</v>
      </c>
      <c r="N30" s="512">
        <f>'Est Effect of Base Rate Inc'!V28</f>
        <v>2.3459545273723841E-2</v>
      </c>
    </row>
    <row r="31" spans="2:20" x14ac:dyDescent="0.25">
      <c r="N31" s="440" t="s">
        <v>0</v>
      </c>
    </row>
    <row r="33" spans="2:16" x14ac:dyDescent="0.25">
      <c r="B33" s="408" t="s">
        <v>321</v>
      </c>
    </row>
    <row r="34" spans="2:16" x14ac:dyDescent="0.25">
      <c r="B34" s="500" t="s">
        <v>346</v>
      </c>
    </row>
    <row r="35" spans="2:16" x14ac:dyDescent="0.25">
      <c r="B35" s="446"/>
    </row>
    <row r="36" spans="2:16" x14ac:dyDescent="0.25">
      <c r="B36" s="446"/>
    </row>
    <row r="37" spans="2:16" x14ac:dyDescent="0.25">
      <c r="B37" s="446"/>
    </row>
    <row r="38" spans="2:16" x14ac:dyDescent="0.25">
      <c r="B38" s="446"/>
    </row>
    <row r="39" spans="2:16" x14ac:dyDescent="0.25">
      <c r="B39" s="446"/>
    </row>
    <row r="40" spans="2:16" x14ac:dyDescent="0.25">
      <c r="B40" s="446"/>
    </row>
    <row r="41" spans="2:16" x14ac:dyDescent="0.25">
      <c r="B41" s="446"/>
    </row>
    <row r="42" spans="2:16" x14ac:dyDescent="0.25">
      <c r="B42" s="446"/>
    </row>
    <row r="43" spans="2:16" x14ac:dyDescent="0.25">
      <c r="B43" s="446"/>
    </row>
    <row r="44" spans="2:16" x14ac:dyDescent="0.25">
      <c r="B44" s="446"/>
    </row>
    <row r="45" spans="2:16" x14ac:dyDescent="0.25">
      <c r="B45" s="446"/>
    </row>
    <row r="46" spans="2:16" x14ac:dyDescent="0.25">
      <c r="B46" s="446"/>
    </row>
    <row r="48" spans="2:16" x14ac:dyDescent="0.25">
      <c r="P48" s="440"/>
    </row>
  </sheetData>
  <mergeCells count="2">
    <mergeCell ref="M13:O13"/>
    <mergeCell ref="P13:R13"/>
  </mergeCells>
  <printOptions horizontalCentered="1"/>
  <pageMargins left="0.5" right="0.5" top="0.5" bottom="0.5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9"/>
  <sheetViews>
    <sheetView view="pageBreakPreview" zoomScale="60" zoomScaleNormal="100" workbookViewId="0">
      <selection sqref="A1:F1"/>
    </sheetView>
  </sheetViews>
  <sheetFormatPr defaultColWidth="8.5" defaultRowHeight="15" x14ac:dyDescent="0.25"/>
  <cols>
    <col min="1" max="1" width="2" style="408" customWidth="1"/>
    <col min="2" max="2" width="8.5" style="408"/>
    <col min="3" max="3" width="8.5" style="408" hidden="1" customWidth="1"/>
    <col min="4" max="4" width="3.25" style="408" customWidth="1"/>
    <col min="5" max="5" width="9.75" style="408" customWidth="1"/>
    <col min="6" max="6" width="3.75" style="408" customWidth="1"/>
    <col min="7" max="7" width="19.875" style="408" customWidth="1"/>
    <col min="8" max="8" width="3.5" style="408" customWidth="1"/>
    <col min="9" max="9" width="19.5" style="408" customWidth="1"/>
    <col min="10" max="10" width="2.875" style="408" customWidth="1"/>
    <col min="11" max="11" width="12.125" style="408" customWidth="1"/>
    <col min="12" max="12" width="3.5" style="512" customWidth="1"/>
    <col min="13" max="13" width="18.875" style="408" customWidth="1"/>
    <col min="14" max="14" width="11" style="408" bestFit="1" customWidth="1"/>
    <col min="15" max="15" width="20.375" style="408" customWidth="1"/>
    <col min="16" max="16" width="14.125" style="408" customWidth="1"/>
    <col min="17" max="17" width="11.875" style="408" customWidth="1"/>
    <col min="18" max="18" width="7.375" style="408" customWidth="1"/>
    <col min="19" max="19" width="2.5" style="408" customWidth="1"/>
    <col min="20" max="16384" width="8.5" style="408"/>
  </cols>
  <sheetData>
    <row r="2" spans="1:18" ht="18.75" x14ac:dyDescent="0.3">
      <c r="B2" s="412"/>
      <c r="C2" s="409"/>
      <c r="D2" s="409"/>
      <c r="E2" s="409"/>
      <c r="F2" s="409"/>
      <c r="G2" s="409"/>
      <c r="H2" s="409"/>
      <c r="I2" s="409"/>
      <c r="J2" s="455" t="s">
        <v>0</v>
      </c>
      <c r="K2" s="516"/>
    </row>
    <row r="3" spans="1:18" ht="18.75" x14ac:dyDescent="0.3">
      <c r="B3" s="410" t="s">
        <v>302</v>
      </c>
      <c r="C3" s="410"/>
      <c r="D3" s="410"/>
      <c r="E3" s="410"/>
      <c r="F3" s="410"/>
      <c r="G3" s="410"/>
      <c r="H3" s="410"/>
      <c r="I3" s="410"/>
      <c r="J3" s="410"/>
      <c r="K3" s="410"/>
    </row>
    <row r="4" spans="1:18" ht="18.75" x14ac:dyDescent="0.3">
      <c r="B4" s="410" t="s">
        <v>303</v>
      </c>
      <c r="C4" s="410"/>
      <c r="D4" s="410"/>
      <c r="E4" s="410"/>
      <c r="F4" s="410"/>
      <c r="G4" s="410"/>
      <c r="H4" s="410"/>
      <c r="I4" s="410"/>
      <c r="J4" s="410"/>
      <c r="K4" s="410"/>
    </row>
    <row r="5" spans="1:18" ht="18.75" x14ac:dyDescent="0.3">
      <c r="B5" s="410" t="s">
        <v>381</v>
      </c>
      <c r="C5" s="410"/>
      <c r="D5" s="410"/>
      <c r="E5" s="410"/>
      <c r="F5" s="410"/>
      <c r="G5" s="410"/>
      <c r="H5" s="410"/>
      <c r="I5" s="410"/>
      <c r="J5" s="410"/>
      <c r="K5" s="410"/>
    </row>
    <row r="6" spans="1:18" ht="18.75" x14ac:dyDescent="0.3">
      <c r="B6" s="410" t="s">
        <v>375</v>
      </c>
      <c r="C6" s="410"/>
      <c r="D6" s="410"/>
      <c r="E6" s="410"/>
      <c r="F6" s="410"/>
      <c r="G6" s="410"/>
      <c r="H6" s="410"/>
      <c r="I6" s="410"/>
      <c r="J6" s="410"/>
      <c r="K6" s="410"/>
    </row>
    <row r="7" spans="1:18" ht="18.75" x14ac:dyDescent="0.3">
      <c r="B7" s="410" t="s">
        <v>305</v>
      </c>
      <c r="C7" s="410"/>
      <c r="D7" s="410"/>
      <c r="E7" s="410"/>
      <c r="F7" s="410"/>
      <c r="G7" s="410"/>
      <c r="H7" s="410"/>
      <c r="I7" s="410"/>
      <c r="J7" s="410"/>
      <c r="K7" s="410"/>
    </row>
    <row r="8" spans="1:18" ht="18.75" x14ac:dyDescent="0.3">
      <c r="A8" s="537"/>
      <c r="B8" s="409"/>
      <c r="C8" s="409"/>
      <c r="D8" s="409"/>
      <c r="E8" s="409"/>
      <c r="F8" s="409"/>
      <c r="G8" s="409"/>
      <c r="H8" s="409"/>
      <c r="I8" s="409"/>
      <c r="J8" s="409"/>
    </row>
    <row r="9" spans="1:18" ht="18.75" x14ac:dyDescent="0.3">
      <c r="A9" s="537"/>
      <c r="B9" s="409"/>
      <c r="C9" s="409"/>
      <c r="D9" s="409"/>
      <c r="E9" s="409"/>
      <c r="F9" s="409"/>
      <c r="G9" s="409"/>
      <c r="H9" s="409"/>
      <c r="I9" s="409"/>
      <c r="J9" s="409"/>
    </row>
    <row r="11" spans="1:18" x14ac:dyDescent="0.25">
      <c r="B11" s="517" t="s">
        <v>325</v>
      </c>
      <c r="G11" s="415" t="s">
        <v>326</v>
      </c>
      <c r="H11" s="415"/>
      <c r="I11" s="415"/>
    </row>
    <row r="12" spans="1:18" ht="15.75" thickBot="1" x14ac:dyDescent="0.3">
      <c r="B12" s="519" t="s">
        <v>329</v>
      </c>
      <c r="C12" s="518" t="s">
        <v>330</v>
      </c>
      <c r="G12" s="409" t="s">
        <v>13</v>
      </c>
      <c r="I12" s="409" t="s">
        <v>10</v>
      </c>
      <c r="K12" s="409" t="s">
        <v>328</v>
      </c>
    </row>
    <row r="13" spans="1:18" ht="15.75" customHeight="1" x14ac:dyDescent="0.25">
      <c r="B13" s="520" t="s">
        <v>331</v>
      </c>
      <c r="C13" s="521" t="s">
        <v>332</v>
      </c>
      <c r="D13" s="421"/>
      <c r="E13" s="414" t="s">
        <v>309</v>
      </c>
      <c r="F13" s="421"/>
      <c r="G13" s="415" t="s">
        <v>376</v>
      </c>
      <c r="I13" s="415" t="s">
        <v>377</v>
      </c>
      <c r="K13" s="538" t="s">
        <v>96</v>
      </c>
      <c r="M13" s="583" t="s">
        <v>13</v>
      </c>
      <c r="N13" s="581"/>
      <c r="O13" s="582"/>
      <c r="P13" s="583" t="s">
        <v>10</v>
      </c>
      <c r="Q13" s="581"/>
      <c r="R13" s="582"/>
    </row>
    <row r="14" spans="1:18" x14ac:dyDescent="0.25">
      <c r="G14" s="521"/>
      <c r="H14" s="421"/>
      <c r="I14" s="521"/>
      <c r="M14" s="477" t="s">
        <v>335</v>
      </c>
      <c r="N14" s="435"/>
      <c r="O14" s="478"/>
      <c r="P14" s="435"/>
      <c r="Q14" s="435"/>
      <c r="R14" s="478"/>
    </row>
    <row r="15" spans="1:18" x14ac:dyDescent="0.25">
      <c r="B15" s="426">
        <v>1000</v>
      </c>
      <c r="C15" s="408">
        <v>300</v>
      </c>
      <c r="E15" s="426">
        <f>ROUND((B$15*C15),0)</f>
        <v>300000</v>
      </c>
      <c r="F15" s="426"/>
      <c r="G15" s="530">
        <f>ROUND($E15*N$18/100+$B$15*N$17+IF($B$15&lt;3001,$B$15*O$15+N$15,$B$15*O$16+N$16),2)+$Q$24</f>
        <v>24931.5</v>
      </c>
      <c r="H15" s="530"/>
      <c r="I15" s="530">
        <f>ROUND($E15*Q$18/100+$B$15*Q$17+IF($B$15&lt;3001,$B$15*R$15+Q$15,$B$15*R$16+Q$16),2)+$Q$25</f>
        <v>25495.5</v>
      </c>
      <c r="K15" s="429">
        <f>(I15-G15)/G15</f>
        <v>2.2621984236808855E-2</v>
      </c>
      <c r="M15" s="477" t="s">
        <v>378</v>
      </c>
      <c r="N15" s="483">
        <v>1443</v>
      </c>
      <c r="O15" s="420">
        <v>0.56999999999999995</v>
      </c>
      <c r="P15" s="484"/>
      <c r="Q15" s="483">
        <f>'Billing Determinants'!G1018</f>
        <v>1477</v>
      </c>
      <c r="R15" s="420">
        <f>'Billing Determinants'!G1021</f>
        <v>0.57999999999999996</v>
      </c>
    </row>
    <row r="16" spans="1:18" x14ac:dyDescent="0.25">
      <c r="C16" s="408">
        <v>500</v>
      </c>
      <c r="E16" s="426">
        <f>ROUND((B$15*C16),0)</f>
        <v>500000</v>
      </c>
      <c r="F16" s="426"/>
      <c r="G16" s="530">
        <f t="shared" ref="G16:G17" si="0">ROUND($E16*N$18/100+$B$15*N$17+IF($B$15&lt;3001,$B$15*O$15+N$15,$B$15*O$16+N$16),2)+$Q$24</f>
        <v>34845.5</v>
      </c>
      <c r="H16" s="530"/>
      <c r="I16" s="530">
        <f>ROUND($E16*Q$18/100+$B$15*Q$17+IF($B$15&lt;3001,$B$15*R$15+Q$15,$B$15*R$16+Q$16),2)+$Q$25</f>
        <v>35629.5</v>
      </c>
      <c r="K16" s="429">
        <f>(I16-G16)/G16</f>
        <v>2.249931841988205E-2</v>
      </c>
      <c r="M16" s="477" t="s">
        <v>379</v>
      </c>
      <c r="N16" s="483">
        <v>1736</v>
      </c>
      <c r="O16" s="420">
        <v>0.46</v>
      </c>
      <c r="P16" s="484"/>
      <c r="Q16" s="483">
        <f>'Billing Determinants'!G1019</f>
        <v>1777</v>
      </c>
      <c r="R16" s="420">
        <f>'Billing Determinants'!G1022</f>
        <v>0.47</v>
      </c>
    </row>
    <row r="17" spans="2:20" x14ac:dyDescent="0.25">
      <c r="C17" s="408">
        <v>700</v>
      </c>
      <c r="E17" s="426">
        <f>ROUND((B$15*C17),0)</f>
        <v>700000</v>
      </c>
      <c r="F17" s="426"/>
      <c r="G17" s="530">
        <f t="shared" si="0"/>
        <v>44759.5</v>
      </c>
      <c r="H17" s="530"/>
      <c r="I17" s="530">
        <f>ROUND($E17*Q$18/100+$B$15*Q$17+IF($B$15&lt;3001,$B$15*R$15+Q$15,$B$15*R$16+Q$16),2)+$Q$25</f>
        <v>45763.5</v>
      </c>
      <c r="K17" s="429">
        <f>(I17-G17)/G17</f>
        <v>2.2430992303309912E-2</v>
      </c>
      <c r="M17" s="477" t="s">
        <v>331</v>
      </c>
      <c r="N17" s="483">
        <v>7.79</v>
      </c>
      <c r="O17" s="489"/>
      <c r="P17" s="484"/>
      <c r="Q17" s="483">
        <f>'Billing Determinants'!G1023</f>
        <v>7.9799999999999995</v>
      </c>
      <c r="R17" s="489"/>
      <c r="T17" s="425">
        <f>(Q17-N17)/N17</f>
        <v>2.4390243902438959E-2</v>
      </c>
    </row>
    <row r="18" spans="2:20" x14ac:dyDescent="0.25">
      <c r="G18" s="530"/>
      <c r="H18" s="530"/>
      <c r="I18" s="530"/>
      <c r="K18" s="429"/>
      <c r="M18" s="477" t="s">
        <v>313</v>
      </c>
      <c r="N18" s="492">
        <v>4.956999999999999</v>
      </c>
      <c r="O18" s="489"/>
      <c r="P18" s="484"/>
      <c r="Q18" s="492">
        <f>'Billing Determinants'!G1025+'Billing Determinants'!G1027+Q21+Q27</f>
        <v>5.0669999999999993</v>
      </c>
      <c r="R18" s="489"/>
      <c r="T18" s="425">
        <f>(Q18-N18)/N18</f>
        <v>2.2190841234617783E-2</v>
      </c>
    </row>
    <row r="19" spans="2:20" ht="15.75" thickBot="1" x14ac:dyDescent="0.3">
      <c r="B19" s="426">
        <v>2000</v>
      </c>
      <c r="C19" s="408">
        <v>300</v>
      </c>
      <c r="E19" s="426">
        <f>ROUND((B$19*C19),0)</f>
        <v>600000</v>
      </c>
      <c r="F19" s="426"/>
      <c r="G19" s="530">
        <f>ROUND($E19*N$18/100+$B$19*N$17+IF($B$19&lt;3001,$B$19*O$15+N$15,$B$19*O$16+N$16),2)+$Q$24</f>
        <v>48162.5</v>
      </c>
      <c r="H19" s="530"/>
      <c r="I19" s="530">
        <f>ROUND($E19*Q$18/100+$B$19*Q$17+IF($B$19&lt;3001,$B$19*R$15+Q$15,$B$19*R$16+Q$16),2)+$Q$25</f>
        <v>49256.5</v>
      </c>
      <c r="K19" s="429">
        <f>(I19-G19)/G19</f>
        <v>2.2714767713470023E-2</v>
      </c>
      <c r="M19" s="509" t="s">
        <v>0</v>
      </c>
      <c r="N19" s="510" t="s">
        <v>0</v>
      </c>
      <c r="O19" s="495"/>
      <c r="P19" s="494"/>
      <c r="Q19" s="510" t="s">
        <v>0</v>
      </c>
      <c r="R19" s="511"/>
    </row>
    <row r="20" spans="2:20" x14ac:dyDescent="0.25">
      <c r="C20" s="408">
        <v>500</v>
      </c>
      <c r="E20" s="426">
        <f>ROUND((B$19*C20),0)</f>
        <v>1000000</v>
      </c>
      <c r="F20" s="426"/>
      <c r="G20" s="530">
        <f t="shared" ref="G20:G21" si="1">ROUND($E20*N$18/100+$B$19*N$17+IF($B$19&lt;3001,$B$19*O$15+N$15,$B$19*O$16+N$16),2)+$Q$24</f>
        <v>67990.5</v>
      </c>
      <c r="H20" s="530"/>
      <c r="I20" s="530">
        <f>ROUND($E20*Q$18/100+$B$19*Q$17+IF($B$19&lt;3001,$B$19*R$15+Q$15,$B$19*R$16+Q$16),2)+$Q$25</f>
        <v>69524.5</v>
      </c>
      <c r="K20" s="429">
        <f>(I20-G20)/G20</f>
        <v>2.2561975570116414E-2</v>
      </c>
      <c r="O20" s="433" t="s">
        <v>314</v>
      </c>
      <c r="P20" s="433"/>
      <c r="Q20" s="434">
        <v>0.26500000000000001</v>
      </c>
    </row>
    <row r="21" spans="2:20" x14ac:dyDescent="0.25">
      <c r="C21" s="408">
        <v>700</v>
      </c>
      <c r="E21" s="426">
        <f>ROUND((B$19*C21),0)</f>
        <v>1400000</v>
      </c>
      <c r="F21" s="426"/>
      <c r="G21" s="530">
        <f t="shared" si="1"/>
        <v>87818.5</v>
      </c>
      <c r="H21" s="530"/>
      <c r="I21" s="530">
        <f>ROUND($E21*Q$18/100+$B$19*Q$17+IF($B$19&lt;3001,$B$19*R$15+Q$15,$B$19*R$16+Q$16),2)+$Q$25</f>
        <v>89792.5</v>
      </c>
      <c r="K21" s="429">
        <f>(I21-G21)/G21</f>
        <v>2.2478179426886135E-2</v>
      </c>
      <c r="O21" s="433"/>
      <c r="P21" s="433"/>
      <c r="Q21" s="434">
        <v>0.26500000000000001</v>
      </c>
    </row>
    <row r="22" spans="2:20" x14ac:dyDescent="0.25">
      <c r="G22" s="530"/>
      <c r="H22" s="530"/>
      <c r="I22" s="530"/>
      <c r="K22" s="429"/>
      <c r="O22" s="433"/>
      <c r="P22" s="433"/>
      <c r="Q22" s="436"/>
    </row>
    <row r="23" spans="2:20" x14ac:dyDescent="0.25">
      <c r="B23" s="426">
        <v>4000</v>
      </c>
      <c r="C23" s="408">
        <v>300</v>
      </c>
      <c r="E23" s="426">
        <f>ROUND((B$23*C23),0)</f>
        <v>1200000</v>
      </c>
      <c r="F23" s="426"/>
      <c r="G23" s="530">
        <f>ROUND($E23*N$18/100+$B$23*N$17+IF($B$23&lt;3001,$B$23*O$15+N$15,$B$23*O$16+N$16),2)+$Q$24</f>
        <v>94477.5</v>
      </c>
      <c r="H23" s="530"/>
      <c r="I23" s="530">
        <f>ROUND($E23*Q$18/100+$B$23*Q$17+IF($B$23&lt;3001,$B$23*R$15+Q$15,$B$23*R$16+Q$16),2)+$Q$25</f>
        <v>96638.5</v>
      </c>
      <c r="K23" s="429">
        <f>(I23-G23)/G23</f>
        <v>2.2873170860786961E-2</v>
      </c>
      <c r="O23" s="408" t="s">
        <v>0</v>
      </c>
      <c r="P23" s="408" t="s">
        <v>0</v>
      </c>
      <c r="Q23" s="408" t="s">
        <v>0</v>
      </c>
    </row>
    <row r="24" spans="2:20" x14ac:dyDescent="0.25">
      <c r="C24" s="408">
        <v>500</v>
      </c>
      <c r="E24" s="426">
        <f>ROUND((B$23*C24),0)</f>
        <v>2000000</v>
      </c>
      <c r="F24" s="426"/>
      <c r="G24" s="530">
        <f t="shared" ref="G24:G25" si="2">ROUND($E24*N$18/100+$B$23*N$17+IF($B$23&lt;3001,$B$23*O$15+N$15,$B$23*O$16+N$16),2)+$Q$24</f>
        <v>134133.5</v>
      </c>
      <c r="H24" s="530"/>
      <c r="I24" s="530">
        <f>ROUND($E24*Q$18/100+$B$23*Q$17+IF($B$23&lt;3001,$B$23*R$15+Q$15,$B$23*R$16+Q$16),2)+$Q$25</f>
        <v>137174.5</v>
      </c>
      <c r="K24" s="429">
        <f>(I24-G24)/G24</f>
        <v>2.2671443002680165E-2</v>
      </c>
      <c r="O24" s="408" t="s">
        <v>356</v>
      </c>
      <c r="Q24" s="485">
        <v>257.5</v>
      </c>
      <c r="R24" s="408" t="s">
        <v>0</v>
      </c>
    </row>
    <row r="25" spans="2:20" x14ac:dyDescent="0.25">
      <c r="C25" s="408">
        <v>700</v>
      </c>
      <c r="E25" s="426">
        <f>ROUND((B$23*C25),0)</f>
        <v>2800000</v>
      </c>
      <c r="F25" s="426"/>
      <c r="G25" s="530">
        <f t="shared" si="2"/>
        <v>173789.5</v>
      </c>
      <c r="H25" s="530"/>
      <c r="I25" s="530">
        <f>ROUND($E25*Q$18/100+$B$23*Q$17+IF($B$23&lt;3001,$B$23*R$15+Q$15,$B$23*R$16+Q$16),2)+$Q$25</f>
        <v>177710.5</v>
      </c>
      <c r="K25" s="429">
        <f>(I25-G25)/G25</f>
        <v>2.2561777322565518E-2</v>
      </c>
      <c r="O25" s="408" t="s">
        <v>343</v>
      </c>
      <c r="P25" s="449"/>
      <c r="Q25" s="485">
        <f>Q24</f>
        <v>257.5</v>
      </c>
    </row>
    <row r="26" spans="2:20" x14ac:dyDescent="0.25">
      <c r="G26" s="530" t="s">
        <v>0</v>
      </c>
      <c r="H26" s="530"/>
      <c r="I26" s="530"/>
      <c r="K26" s="429"/>
    </row>
    <row r="27" spans="2:20" x14ac:dyDescent="0.25">
      <c r="B27" s="426">
        <v>6000</v>
      </c>
      <c r="C27" s="408">
        <v>300</v>
      </c>
      <c r="E27" s="426">
        <f>ROUND((B$27*C27),0)</f>
        <v>1800000</v>
      </c>
      <c r="F27" s="426"/>
      <c r="G27" s="530">
        <f>ROUND($E27*N$18/100+$B$27*N$17+IF($B$27&lt;3001,$B$27*O$15+N$15,$B$27*O$16+N$16),2)+$Q$24</f>
        <v>140719.5</v>
      </c>
      <c r="H27" s="530"/>
      <c r="I27" s="530">
        <f>ROUND($E27*Q$18/100+$B$27*Q$17+IF($B$27&lt;3001,$B$27*R$15+Q$15,$B$27*R$16+Q$16),2)+$Q$25</f>
        <v>143940.5</v>
      </c>
      <c r="K27" s="429">
        <f>(I27-G27)/G27</f>
        <v>2.2889507140090748E-2</v>
      </c>
      <c r="O27" s="408" t="s">
        <v>318</v>
      </c>
      <c r="Q27" s="408">
        <v>4.0000000000000001E-3</v>
      </c>
    </row>
    <row r="28" spans="2:20" x14ac:dyDescent="0.25">
      <c r="C28" s="408">
        <v>500</v>
      </c>
      <c r="E28" s="426">
        <f>ROUND((B$27*C28),0)</f>
        <v>3000000</v>
      </c>
      <c r="F28" s="426"/>
      <c r="G28" s="530">
        <f t="shared" ref="G28:G29" si="3">ROUND($E28*N$18/100+$B$27*N$17+IF($B$27&lt;3001,$B$27*O$15+N$15,$B$27*O$16+N$16),2)+$Q$24</f>
        <v>200203.5</v>
      </c>
      <c r="H28" s="530"/>
      <c r="I28" s="530">
        <f>ROUND($E28*Q$18/100+$B$27*Q$17+IF($B$27&lt;3001,$B$27*R$15+Q$15,$B$27*R$16+Q$16),2)+$Q$25</f>
        <v>204744.5</v>
      </c>
      <c r="K28" s="429">
        <f>(I28-G28)/G28</f>
        <v>2.2681921145234724E-2</v>
      </c>
    </row>
    <row r="29" spans="2:20" x14ac:dyDescent="0.25">
      <c r="C29" s="408">
        <v>700</v>
      </c>
      <c r="E29" s="426">
        <f>ROUND((B$27*C29),0)</f>
        <v>4200000</v>
      </c>
      <c r="F29" s="426"/>
      <c r="G29" s="530">
        <f t="shared" si="3"/>
        <v>259687.5</v>
      </c>
      <c r="H29" s="530"/>
      <c r="I29" s="530">
        <f>ROUND($E29*Q$18/100+$B$27*Q$17+IF($B$27&lt;3001,$B$27*R$15+Q$15,$B$27*R$16+Q$16),2)+$Q$25</f>
        <v>265548.5</v>
      </c>
      <c r="K29" s="429">
        <f>(I29-G29)/G29</f>
        <v>2.2569434416365823E-2</v>
      </c>
    </row>
    <row r="30" spans="2:20" x14ac:dyDescent="0.25">
      <c r="B30" s="443"/>
      <c r="C30" s="443"/>
      <c r="D30" s="443"/>
      <c r="E30" s="443"/>
      <c r="F30" s="443"/>
      <c r="G30" s="443"/>
      <c r="H30" s="443"/>
      <c r="I30" s="443"/>
      <c r="J30" s="443"/>
      <c r="K30" s="443"/>
      <c r="M30" s="438" t="s">
        <v>380</v>
      </c>
      <c r="N30" s="512">
        <f>'Est Effect of Base Rate Inc'!V28</f>
        <v>2.3459545273723841E-2</v>
      </c>
    </row>
    <row r="31" spans="2:20" x14ac:dyDescent="0.25">
      <c r="N31" s="440" t="s">
        <v>0</v>
      </c>
    </row>
    <row r="33" spans="2:15" x14ac:dyDescent="0.25">
      <c r="B33" s="408" t="s">
        <v>321</v>
      </c>
    </row>
    <row r="34" spans="2:15" x14ac:dyDescent="0.25">
      <c r="B34" s="500" t="s">
        <v>346</v>
      </c>
      <c r="O34" s="408" t="s">
        <v>0</v>
      </c>
    </row>
    <row r="35" spans="2:15" x14ac:dyDescent="0.25">
      <c r="B35" s="500"/>
    </row>
    <row r="36" spans="2:15" x14ac:dyDescent="0.25">
      <c r="B36" s="446"/>
    </row>
    <row r="37" spans="2:15" x14ac:dyDescent="0.25">
      <c r="B37" s="446"/>
    </row>
    <row r="38" spans="2:15" x14ac:dyDescent="0.25">
      <c r="B38" s="446"/>
    </row>
    <row r="39" spans="2:15" x14ac:dyDescent="0.25">
      <c r="B39" s="446"/>
    </row>
    <row r="40" spans="2:15" x14ac:dyDescent="0.25">
      <c r="B40" s="446"/>
    </row>
    <row r="41" spans="2:15" x14ac:dyDescent="0.25">
      <c r="B41" s="446"/>
    </row>
    <row r="42" spans="2:15" x14ac:dyDescent="0.25">
      <c r="B42" s="446"/>
    </row>
    <row r="43" spans="2:15" x14ac:dyDescent="0.25">
      <c r="B43" s="446"/>
    </row>
    <row r="44" spans="2:15" x14ac:dyDescent="0.25">
      <c r="B44" s="446"/>
    </row>
    <row r="45" spans="2:15" x14ac:dyDescent="0.25">
      <c r="B45" s="446"/>
    </row>
    <row r="46" spans="2:15" x14ac:dyDescent="0.25">
      <c r="B46" s="446"/>
    </row>
    <row r="47" spans="2:15" x14ac:dyDescent="0.25">
      <c r="B47" s="446"/>
    </row>
    <row r="49" spans="16:16" x14ac:dyDescent="0.25">
      <c r="P49" s="440"/>
    </row>
  </sheetData>
  <mergeCells count="2">
    <mergeCell ref="M13:O13"/>
    <mergeCell ref="P13:R13"/>
  </mergeCells>
  <printOptions horizontalCentered="1"/>
  <pageMargins left="0.5" right="0.5" top="0.5" bottom="0.5" header="0.5" footer="0.5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9"/>
  <sheetViews>
    <sheetView view="pageBreakPreview" zoomScale="60" zoomScaleNormal="100" workbookViewId="0">
      <selection sqref="A1:F1"/>
    </sheetView>
  </sheetViews>
  <sheetFormatPr defaultColWidth="8.5" defaultRowHeight="15" x14ac:dyDescent="0.25"/>
  <cols>
    <col min="1" max="1" width="2" style="408" customWidth="1"/>
    <col min="2" max="2" width="8.5" style="408"/>
    <col min="3" max="3" width="8.5" style="408" hidden="1" customWidth="1"/>
    <col min="4" max="4" width="3.25" style="408" customWidth="1"/>
    <col min="5" max="5" width="10.75" style="408" bestFit="1" customWidth="1"/>
    <col min="6" max="6" width="3.75" style="408" customWidth="1"/>
    <col min="7" max="7" width="19.875" style="408" customWidth="1"/>
    <col min="8" max="8" width="3.5" style="408" customWidth="1"/>
    <col min="9" max="9" width="19.5" style="408" customWidth="1"/>
    <col min="10" max="10" width="2.875" style="408" customWidth="1"/>
    <col min="11" max="11" width="12.125" style="408" customWidth="1"/>
    <col min="12" max="12" width="3.5" style="512" customWidth="1"/>
    <col min="13" max="13" width="15.125" style="408" customWidth="1"/>
    <col min="14" max="14" width="12.25" style="408" customWidth="1"/>
    <col min="15" max="15" width="20.375" style="408" customWidth="1"/>
    <col min="16" max="16" width="2.5" style="408" customWidth="1"/>
    <col min="17" max="17" width="14.375" style="408" customWidth="1"/>
    <col min="18" max="18" width="10.375" style="408" bestFit="1" customWidth="1"/>
    <col min="19" max="19" width="7.375" style="408" customWidth="1"/>
    <col min="20" max="20" width="2.5" style="408" customWidth="1"/>
    <col min="21" max="16384" width="8.5" style="408"/>
  </cols>
  <sheetData>
    <row r="2" spans="1:22" ht="18.75" x14ac:dyDescent="0.3">
      <c r="B2" s="412"/>
      <c r="C2" s="409"/>
      <c r="D2" s="409"/>
      <c r="E2" s="409"/>
      <c r="F2" s="409"/>
      <c r="G2" s="409"/>
      <c r="H2" s="409"/>
      <c r="I2" s="409"/>
      <c r="J2" s="455" t="s">
        <v>0</v>
      </c>
      <c r="K2" s="516"/>
    </row>
    <row r="3" spans="1:22" ht="18.75" x14ac:dyDescent="0.3">
      <c r="B3" s="410" t="s">
        <v>302</v>
      </c>
      <c r="C3" s="410"/>
      <c r="D3" s="410"/>
      <c r="E3" s="410"/>
      <c r="F3" s="410"/>
      <c r="G3" s="410"/>
      <c r="H3" s="410"/>
      <c r="I3" s="410"/>
      <c r="J3" s="410"/>
      <c r="K3" s="410"/>
    </row>
    <row r="4" spans="1:22" ht="18.75" x14ac:dyDescent="0.3">
      <c r="B4" s="410" t="s">
        <v>303</v>
      </c>
      <c r="C4" s="410"/>
      <c r="D4" s="410"/>
      <c r="E4" s="410"/>
      <c r="F4" s="410"/>
      <c r="G4" s="410"/>
      <c r="H4" s="410"/>
      <c r="I4" s="410"/>
      <c r="J4" s="410"/>
      <c r="K4" s="410"/>
    </row>
    <row r="5" spans="1:22" ht="18.75" x14ac:dyDescent="0.3">
      <c r="B5" s="410" t="s">
        <v>381</v>
      </c>
      <c r="C5" s="410"/>
      <c r="D5" s="410"/>
      <c r="E5" s="410"/>
      <c r="F5" s="410"/>
      <c r="G5" s="410"/>
      <c r="H5" s="410"/>
      <c r="I5" s="410"/>
      <c r="J5" s="410"/>
      <c r="K5" s="410"/>
    </row>
    <row r="6" spans="1:22" ht="18.75" x14ac:dyDescent="0.3">
      <c r="B6" s="410" t="s">
        <v>382</v>
      </c>
      <c r="C6" s="410"/>
      <c r="D6" s="410"/>
      <c r="E6" s="410"/>
      <c r="F6" s="410"/>
      <c r="G6" s="410"/>
      <c r="H6" s="410"/>
      <c r="I6" s="410"/>
      <c r="J6" s="410"/>
      <c r="K6" s="410"/>
    </row>
    <row r="7" spans="1:22" ht="18.75" x14ac:dyDescent="0.3">
      <c r="B7" s="410" t="s">
        <v>383</v>
      </c>
      <c r="C7" s="410"/>
      <c r="D7" s="410"/>
      <c r="E7" s="410"/>
      <c r="F7" s="410"/>
      <c r="G7" s="410"/>
      <c r="H7" s="410"/>
      <c r="I7" s="410"/>
      <c r="J7" s="410"/>
      <c r="K7" s="410"/>
      <c r="V7" s="408" t="s">
        <v>0</v>
      </c>
    </row>
    <row r="8" spans="1:22" ht="18.75" x14ac:dyDescent="0.3">
      <c r="A8" s="537"/>
      <c r="B8" s="410" t="s">
        <v>305</v>
      </c>
      <c r="C8" s="410"/>
      <c r="D8" s="410"/>
      <c r="E8" s="410"/>
      <c r="F8" s="410"/>
      <c r="G8" s="410"/>
      <c r="H8" s="410"/>
      <c r="I8" s="410"/>
      <c r="J8" s="410"/>
      <c r="K8" s="410"/>
    </row>
    <row r="9" spans="1:22" ht="18.75" x14ac:dyDescent="0.3">
      <c r="A9" s="537"/>
      <c r="B9" s="409"/>
      <c r="C9" s="409"/>
      <c r="D9" s="409"/>
      <c r="E9" s="409"/>
      <c r="F9" s="409"/>
      <c r="G9" s="409"/>
      <c r="H9" s="409"/>
      <c r="I9" s="409"/>
      <c r="J9" s="409"/>
    </row>
    <row r="11" spans="1:22" x14ac:dyDescent="0.25">
      <c r="B11" s="517" t="s">
        <v>325</v>
      </c>
      <c r="G11" s="415" t="s">
        <v>326</v>
      </c>
      <c r="H11" s="415"/>
      <c r="I11" s="415"/>
    </row>
    <row r="12" spans="1:22" ht="15.75" thickBot="1" x14ac:dyDescent="0.3">
      <c r="B12" s="519" t="s">
        <v>329</v>
      </c>
      <c r="C12" s="518" t="s">
        <v>330</v>
      </c>
      <c r="G12" s="409" t="s">
        <v>384</v>
      </c>
      <c r="I12" s="409" t="s">
        <v>10</v>
      </c>
      <c r="K12" s="409" t="s">
        <v>328</v>
      </c>
    </row>
    <row r="13" spans="1:22" ht="15.75" customHeight="1" x14ac:dyDescent="0.25">
      <c r="B13" s="520" t="s">
        <v>331</v>
      </c>
      <c r="C13" s="521" t="s">
        <v>332</v>
      </c>
      <c r="D13" s="421"/>
      <c r="E13" s="414" t="s">
        <v>309</v>
      </c>
      <c r="F13" s="421"/>
      <c r="G13" s="415" t="s">
        <v>376</v>
      </c>
      <c r="I13" s="415" t="s">
        <v>377</v>
      </c>
      <c r="K13" s="538" t="s">
        <v>96</v>
      </c>
      <c r="M13" s="583" t="s">
        <v>13</v>
      </c>
      <c r="N13" s="581"/>
      <c r="O13" s="582"/>
      <c r="P13" s="583" t="s">
        <v>10</v>
      </c>
      <c r="Q13" s="581"/>
      <c r="R13" s="581"/>
      <c r="S13" s="582"/>
    </row>
    <row r="14" spans="1:22" x14ac:dyDescent="0.25">
      <c r="G14" s="521"/>
      <c r="H14" s="421"/>
      <c r="I14" s="521"/>
      <c r="M14" s="477" t="s">
        <v>335</v>
      </c>
      <c r="N14" s="435"/>
      <c r="O14" s="478"/>
      <c r="P14" s="435"/>
      <c r="Q14" s="435"/>
      <c r="R14" s="435"/>
      <c r="S14" s="478"/>
    </row>
    <row r="15" spans="1:22" x14ac:dyDescent="0.25">
      <c r="B15" s="426">
        <v>30000</v>
      </c>
      <c r="C15" s="408">
        <v>300</v>
      </c>
      <c r="E15" s="426">
        <f>ROUND((B$15*C15),0)</f>
        <v>9000000</v>
      </c>
      <c r="F15" s="426"/>
      <c r="G15" s="530">
        <f>ROUND($E15*N$18/100+$B$15*N$17+$B$15*O$16+N$16,2)+$R$24</f>
        <v>685256.5</v>
      </c>
      <c r="H15" s="530"/>
      <c r="I15" s="530">
        <f>ROUND($E15*R$18/100+$B$15*R$17+$B$15*S$16+R$16,2)+$R$25</f>
        <v>700936.5</v>
      </c>
      <c r="K15" s="429">
        <f>(I15-G15)/G15</f>
        <v>2.2881942746985982E-2</v>
      </c>
      <c r="M15" s="477" t="s">
        <v>0</v>
      </c>
      <c r="N15" s="483" t="s">
        <v>0</v>
      </c>
      <c r="O15" s="420" t="s">
        <v>0</v>
      </c>
      <c r="P15" s="484"/>
      <c r="Q15" s="435" t="s">
        <v>0</v>
      </c>
      <c r="R15" s="483" t="s">
        <v>0</v>
      </c>
      <c r="S15" s="420" t="s">
        <v>0</v>
      </c>
    </row>
    <row r="16" spans="1:22" x14ac:dyDescent="0.25">
      <c r="C16" s="408">
        <v>500</v>
      </c>
      <c r="E16" s="426">
        <f>ROUND((B$15*C16),0)</f>
        <v>15000000</v>
      </c>
      <c r="F16" s="426"/>
      <c r="G16" s="530">
        <f>ROUND($E16*N$18/100+$B$15*N$17+$B$15*O$16+N$16,2)+$R$24</f>
        <v>980336.5</v>
      </c>
      <c r="H16" s="530"/>
      <c r="I16" s="530">
        <f t="shared" ref="I16:I17" si="0">ROUND($E16*R$18/100+$B$15*R$17+$B$15*S$16+R$16,2)+$R$25</f>
        <v>1002556.5</v>
      </c>
      <c r="K16" s="429">
        <f>(I16-G16)/G16</f>
        <v>2.2665686731035722E-2</v>
      </c>
      <c r="M16" s="477" t="s">
        <v>385</v>
      </c>
      <c r="N16" s="483">
        <v>2679</v>
      </c>
      <c r="O16" s="420">
        <v>0.25</v>
      </c>
      <c r="P16" s="484"/>
      <c r="Q16" s="435" t="s">
        <v>385</v>
      </c>
      <c r="R16" s="483">
        <f>'Billing Determinants'!G1092</f>
        <v>2849</v>
      </c>
      <c r="S16" s="420">
        <f>'Billing Determinants'!G1095</f>
        <v>0.26</v>
      </c>
    </row>
    <row r="17" spans="2:21" x14ac:dyDescent="0.25">
      <c r="C17" s="408">
        <v>700</v>
      </c>
      <c r="E17" s="426">
        <f>ROUND((B$15*C17),0)</f>
        <v>21000000</v>
      </c>
      <c r="F17" s="426"/>
      <c r="G17" s="530">
        <f>ROUND($E17*N$18/100+$B$15*N$17+$B$15*O$16+N$16,2)+$R$24</f>
        <v>1275416.5</v>
      </c>
      <c r="H17" s="530"/>
      <c r="I17" s="530">
        <f t="shared" si="0"/>
        <v>1304176.5</v>
      </c>
      <c r="K17" s="429">
        <f>(I17-G17)/G17</f>
        <v>2.2549496576216476E-2</v>
      </c>
      <c r="M17" s="477" t="s">
        <v>331</v>
      </c>
      <c r="N17" s="483">
        <v>7.74</v>
      </c>
      <c r="O17" s="489"/>
      <c r="P17" s="484"/>
      <c r="Q17" s="484"/>
      <c r="R17" s="483">
        <f>'Billing Determinants'!G1096</f>
        <v>7.92</v>
      </c>
      <c r="S17" s="489"/>
      <c r="U17" s="425">
        <f>(R17-N17)/N17</f>
        <v>2.3255813953488334E-2</v>
      </c>
    </row>
    <row r="18" spans="2:21" x14ac:dyDescent="0.25">
      <c r="G18" s="530"/>
      <c r="H18" s="530"/>
      <c r="I18" s="530"/>
      <c r="K18" s="429"/>
      <c r="M18" s="477" t="s">
        <v>313</v>
      </c>
      <c r="N18" s="492">
        <v>4.9179999999999993</v>
      </c>
      <c r="O18" s="489"/>
      <c r="P18" s="484"/>
      <c r="Q18" s="484"/>
      <c r="R18" s="492">
        <f>'Billing Determinants'!G1098+'Billing Determinants'!G1100+R21+R27</f>
        <v>5.0269999999999992</v>
      </c>
      <c r="S18" s="489"/>
      <c r="U18" s="425">
        <f>(R18-N18)/N18</f>
        <v>2.2163481089873933E-2</v>
      </c>
    </row>
    <row r="19" spans="2:21" ht="15.75" thickBot="1" x14ac:dyDescent="0.3">
      <c r="B19" s="426">
        <v>40000</v>
      </c>
      <c r="C19" s="408">
        <v>300</v>
      </c>
      <c r="E19" s="426">
        <f>ROUND((B$19*C19),0)</f>
        <v>12000000</v>
      </c>
      <c r="F19" s="426"/>
      <c r="G19" s="530">
        <f>ROUND($E19*N$18/100+$B$19*N$17+$B$19*O$16+N$16,2)+$R$24</f>
        <v>912696.5</v>
      </c>
      <c r="H19" s="530"/>
      <c r="I19" s="530">
        <f>ROUND($E19*R$18/100+$B$19*R$17+$B$19*S$16+R$16,2)+$R$25</f>
        <v>933546.5</v>
      </c>
      <c r="K19" s="429">
        <f>(I19-G19)/G19</f>
        <v>2.2844395699994469E-2</v>
      </c>
      <c r="M19" s="509" t="s">
        <v>0</v>
      </c>
      <c r="N19" s="510" t="s">
        <v>0</v>
      </c>
      <c r="O19" s="495"/>
      <c r="P19" s="494"/>
      <c r="Q19" s="494"/>
      <c r="R19" s="510" t="s">
        <v>0</v>
      </c>
      <c r="S19" s="511"/>
    </row>
    <row r="20" spans="2:21" x14ac:dyDescent="0.25">
      <c r="C20" s="408">
        <v>500</v>
      </c>
      <c r="E20" s="426">
        <f>ROUND((B$19*C20),0)</f>
        <v>20000000</v>
      </c>
      <c r="F20" s="426"/>
      <c r="G20" s="530">
        <f t="shared" ref="G20:G21" si="1">ROUND($E20*N$18/100+$B$19*N$17+$B$19*O$16+N$16,2)+$R$24</f>
        <v>1306136.5</v>
      </c>
      <c r="H20" s="530"/>
      <c r="I20" s="530">
        <f t="shared" ref="I20:I21" si="2">ROUND($E20*R$18/100+$B$19*R$17+$B$19*S$16+R$16,2)+$R$25</f>
        <v>1335706.5</v>
      </c>
      <c r="K20" s="429">
        <f>(I20-G20)/G20</f>
        <v>2.2639287700787783E-2</v>
      </c>
      <c r="O20" s="433" t="s">
        <v>314</v>
      </c>
      <c r="P20" s="433"/>
      <c r="Q20" s="433"/>
      <c r="R20" s="434">
        <v>0.26500000000000001</v>
      </c>
    </row>
    <row r="21" spans="2:21" x14ac:dyDescent="0.25">
      <c r="C21" s="408">
        <v>700</v>
      </c>
      <c r="E21" s="426">
        <f>ROUND((B$19*C21),0)</f>
        <v>28000000</v>
      </c>
      <c r="F21" s="426"/>
      <c r="G21" s="530">
        <f t="shared" si="1"/>
        <v>1699576.5</v>
      </c>
      <c r="H21" s="530"/>
      <c r="I21" s="530">
        <f t="shared" si="2"/>
        <v>1737866.5</v>
      </c>
      <c r="K21" s="429">
        <f>(I21-G21)/G21</f>
        <v>2.2529141818564802E-2</v>
      </c>
      <c r="O21" s="433"/>
      <c r="P21" s="433"/>
      <c r="Q21" s="433"/>
      <c r="R21" s="434">
        <v>0.26500000000000001</v>
      </c>
    </row>
    <row r="22" spans="2:21" x14ac:dyDescent="0.25">
      <c r="G22" s="530"/>
      <c r="H22" s="530"/>
      <c r="I22" s="530"/>
      <c r="K22" s="429"/>
      <c r="O22" s="433"/>
      <c r="P22" s="433"/>
      <c r="Q22" s="433"/>
      <c r="R22" s="436"/>
    </row>
    <row r="23" spans="2:21" x14ac:dyDescent="0.25">
      <c r="B23" s="426">
        <v>50000</v>
      </c>
      <c r="C23" s="408">
        <v>300</v>
      </c>
      <c r="E23" s="426">
        <f>ROUND((B$23*C23),0)</f>
        <v>15000000</v>
      </c>
      <c r="F23" s="426"/>
      <c r="G23" s="530">
        <f>ROUND($E23*N$18/100+$B$23*N$17+$B$23*O$16+N$16,2)+$R$24</f>
        <v>1140136.5</v>
      </c>
      <c r="H23" s="530"/>
      <c r="I23" s="530">
        <f>ROUND($E23*R$18/100+$B$23*R$17+$B$23*S$16+R$16,2)+$R$25</f>
        <v>1166156.5</v>
      </c>
      <c r="K23" s="429">
        <f>(I23-G23)/G23</f>
        <v>2.2821828789798413E-2</v>
      </c>
      <c r="O23" s="408" t="s">
        <v>0</v>
      </c>
      <c r="P23" s="408" t="s">
        <v>0</v>
      </c>
      <c r="R23" s="408" t="s">
        <v>0</v>
      </c>
    </row>
    <row r="24" spans="2:21" x14ac:dyDescent="0.25">
      <c r="C24" s="408">
        <v>500</v>
      </c>
      <c r="E24" s="426">
        <f>ROUND((B$23*C24),0)</f>
        <v>25000000</v>
      </c>
      <c r="F24" s="426"/>
      <c r="G24" s="530">
        <f t="shared" ref="G24:G25" si="3">ROUND($E24*N$18/100+$B$23*N$17+$B$23*O$16+N$16,2)+$R$24</f>
        <v>1631936.5</v>
      </c>
      <c r="H24" s="530"/>
      <c r="I24" s="530">
        <f t="shared" ref="I24:I25" si="4">ROUND($E24*R$18/100+$B$23*R$17+$B$23*S$16+R$16,2)+$R$25</f>
        <v>1668856.5</v>
      </c>
      <c r="K24" s="429">
        <f>(I24-G24)/G24</f>
        <v>2.2623429281715311E-2</v>
      </c>
      <c r="O24" s="408" t="s">
        <v>356</v>
      </c>
      <c r="R24" s="485">
        <v>257.5</v>
      </c>
      <c r="S24" s="408" t="s">
        <v>0</v>
      </c>
    </row>
    <row r="25" spans="2:21" x14ac:dyDescent="0.25">
      <c r="C25" s="408">
        <v>700</v>
      </c>
      <c r="E25" s="426">
        <f>ROUND((B$23*C25),0)</f>
        <v>35000000</v>
      </c>
      <c r="F25" s="426"/>
      <c r="G25" s="530">
        <f t="shared" si="3"/>
        <v>2123736.5</v>
      </c>
      <c r="H25" s="530"/>
      <c r="I25" s="530">
        <f t="shared" si="4"/>
        <v>2171556.5</v>
      </c>
      <c r="K25" s="429">
        <f>(I25-G25)/G25</f>
        <v>2.2516917706127855E-2</v>
      </c>
      <c r="O25" s="408" t="s">
        <v>343</v>
      </c>
      <c r="P25" s="449"/>
      <c r="Q25" s="449"/>
      <c r="R25" s="485">
        <f>R24</f>
        <v>257.5</v>
      </c>
    </row>
    <row r="26" spans="2:21" x14ac:dyDescent="0.25">
      <c r="G26" s="530"/>
      <c r="H26" s="530"/>
      <c r="I26" s="530"/>
      <c r="K26" s="429"/>
    </row>
    <row r="27" spans="2:21" x14ac:dyDescent="0.25">
      <c r="B27" s="426">
        <v>60000</v>
      </c>
      <c r="C27" s="408">
        <v>300</v>
      </c>
      <c r="E27" s="426">
        <f>ROUND((B$27*C27),0)</f>
        <v>18000000</v>
      </c>
      <c r="F27" s="426"/>
      <c r="G27" s="530">
        <f>ROUND($E27*N$18/100+$B$27*N$17+$B$27*O$16+N$16,2)+$R$24</f>
        <v>1367576.5</v>
      </c>
      <c r="H27" s="530"/>
      <c r="I27" s="530">
        <f>ROUND($E27*R$18/100+$B$27*R$17+$B$27*S$16+R$16,2)+$R$25</f>
        <v>1398766.5</v>
      </c>
      <c r="K27" s="429">
        <f>(I27-G27)/G27</f>
        <v>2.2806768030892606E-2</v>
      </c>
      <c r="O27" s="408" t="s">
        <v>318</v>
      </c>
      <c r="R27" s="408">
        <v>4.0000000000000001E-3</v>
      </c>
    </row>
    <row r="28" spans="2:21" x14ac:dyDescent="0.25">
      <c r="C28" s="408">
        <v>500</v>
      </c>
      <c r="E28" s="426">
        <f>ROUND((B$27*C28),0)</f>
        <v>30000000</v>
      </c>
      <c r="F28" s="426"/>
      <c r="G28" s="530">
        <f t="shared" ref="G28:G29" si="5">ROUND($E28*N$18/100+$B$27*N$17+$B$27*O$16+N$16,2)+$R$24</f>
        <v>1957736.5</v>
      </c>
      <c r="H28" s="530"/>
      <c r="I28" s="530">
        <f t="shared" ref="I28:I29" si="6">ROUND($E28*R$18/100+$B$27*R$17+$B$27*S$16+R$16,2)+$R$25</f>
        <v>2002006.5</v>
      </c>
      <c r="K28" s="429">
        <f>(I28-G28)/G28</f>
        <v>2.2612849073406969E-2</v>
      </c>
    </row>
    <row r="29" spans="2:21" x14ac:dyDescent="0.25">
      <c r="C29" s="408">
        <v>700</v>
      </c>
      <c r="E29" s="426">
        <f>ROUND((B$27*C29),0)</f>
        <v>42000000</v>
      </c>
      <c r="F29" s="426"/>
      <c r="G29" s="530">
        <f t="shared" si="5"/>
        <v>2547896.5</v>
      </c>
      <c r="H29" s="530"/>
      <c r="I29" s="530">
        <f t="shared" si="6"/>
        <v>2605246.5</v>
      </c>
      <c r="K29" s="429">
        <f>(I29-G29)/G29</f>
        <v>2.2508763601661215E-2</v>
      </c>
    </row>
    <row r="30" spans="2:21" x14ac:dyDescent="0.25">
      <c r="B30" s="443"/>
      <c r="C30" s="443"/>
      <c r="D30" s="443"/>
      <c r="E30" s="443"/>
      <c r="F30" s="443"/>
      <c r="G30" s="443"/>
      <c r="H30" s="443"/>
      <c r="I30" s="443"/>
      <c r="J30" s="443"/>
      <c r="K30" s="443"/>
      <c r="M30" s="438" t="s">
        <v>380</v>
      </c>
      <c r="N30" s="512">
        <f>'Est Effect of Base Rate Inc'!V28</f>
        <v>2.3459545273723841E-2</v>
      </c>
    </row>
    <row r="31" spans="2:21" x14ac:dyDescent="0.25">
      <c r="N31" s="440" t="s">
        <v>0</v>
      </c>
    </row>
    <row r="32" spans="2:21" x14ac:dyDescent="0.25">
      <c r="O32" s="408" t="s">
        <v>0</v>
      </c>
    </row>
    <row r="33" spans="2:11" x14ac:dyDescent="0.25">
      <c r="B33" s="408" t="s">
        <v>321</v>
      </c>
    </row>
    <row r="34" spans="2:11" x14ac:dyDescent="0.25">
      <c r="B34" s="500" t="s">
        <v>346</v>
      </c>
    </row>
    <row r="35" spans="2:11" x14ac:dyDescent="0.25">
      <c r="B35" s="500"/>
    </row>
    <row r="36" spans="2:11" x14ac:dyDescent="0.25">
      <c r="B36" s="446"/>
    </row>
    <row r="37" spans="2:11" x14ac:dyDescent="0.25">
      <c r="B37" s="446"/>
    </row>
    <row r="38" spans="2:11" x14ac:dyDescent="0.25">
      <c r="B38" s="446"/>
    </row>
    <row r="39" spans="2:11" x14ac:dyDescent="0.25">
      <c r="B39" s="446"/>
    </row>
    <row r="40" spans="2:11" x14ac:dyDescent="0.25">
      <c r="B40" s="446"/>
    </row>
    <row r="41" spans="2:11" x14ac:dyDescent="0.25">
      <c r="B41" s="446"/>
    </row>
    <row r="42" spans="2:11" x14ac:dyDescent="0.25">
      <c r="B42" s="446"/>
    </row>
    <row r="43" spans="2:11" x14ac:dyDescent="0.25">
      <c r="B43" s="446"/>
      <c r="K43" s="408" t="s">
        <v>0</v>
      </c>
    </row>
    <row r="44" spans="2:11" x14ac:dyDescent="0.25">
      <c r="B44" s="446"/>
    </row>
    <row r="45" spans="2:11" x14ac:dyDescent="0.25">
      <c r="B45" s="446"/>
    </row>
    <row r="46" spans="2:11" x14ac:dyDescent="0.25">
      <c r="B46" s="446"/>
    </row>
    <row r="47" spans="2:11" x14ac:dyDescent="0.25">
      <c r="B47" s="446"/>
    </row>
    <row r="49" spans="16:17" x14ac:dyDescent="0.25">
      <c r="P49" s="440"/>
      <c r="Q49" s="440"/>
    </row>
  </sheetData>
  <mergeCells count="2">
    <mergeCell ref="M13:O13"/>
    <mergeCell ref="P13:S13"/>
  </mergeCells>
  <printOptions horizontalCentered="1"/>
  <pageMargins left="0.5" right="0.5" top="0.5" bottom="0.5" header="0.5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2015-11-25T08:00:00+00:00</OpenedDate>
    <Date1 xmlns="dc463f71-b30c-4ab2-9473-d307f9d35888">2017-08-02T07:00:00+00:00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152253</DocketNumber>
    <DelegatedOrder xmlns="dc463f71-b30c-4ab2-9473-d307f9d35888">false</DelegatedOrder>
    <SignificantOrder xmlns="dc463f71-b30c-4ab2-9473-d307f9d35888">false</Significant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95E2AA379E88449A4F511BF799667C" ma:contentTypeVersion="119" ma:contentTypeDescription="" ma:contentTypeScope="" ma:versionID="bb6eb7831c5f97d5faa43925b617fe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8F2F0F-F7BE-4DA5-B144-474054F4F4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83F52B-F77A-45E4-95B8-C1CA77FB0539}"/>
</file>

<file path=customXml/itemProps3.xml><?xml version="1.0" encoding="utf-8"?>
<ds:datastoreItem xmlns:ds="http://schemas.openxmlformats.org/officeDocument/2006/customXml" ds:itemID="{01FB534F-4933-48CC-8509-768E80A32654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6a7bd91e-004b-490a-8704-e368d63d59a0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26274342-4AFF-4BA5-B7EE-52A1397CA9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12</vt:i4>
      </vt:variant>
    </vt:vector>
  </HeadingPairs>
  <TitlesOfParts>
    <vt:vector size="22" baseType="lpstr">
      <vt:lpstr>Est Effect of Base Rate Inc</vt:lpstr>
      <vt:lpstr>Billing Determinants</vt:lpstr>
      <vt:lpstr>Billing Comparison Sch 16</vt:lpstr>
      <vt:lpstr>Billing Comparison Sch 24</vt:lpstr>
      <vt:lpstr>Billing Comparison Sch 36</vt:lpstr>
      <vt:lpstr>Billing Comparison Sch 40</vt:lpstr>
      <vt:lpstr>Billing Comparison Sch 48 Sec</vt:lpstr>
      <vt:lpstr>Billing Comparison Sch 48 Pri</vt:lpstr>
      <vt:lpstr>Billing Comparison Sch 48 Ded</vt:lpstr>
      <vt:lpstr>Low Income Credit</vt:lpstr>
      <vt:lpstr>'Billing Comparison Sch 16'!Print_Area</vt:lpstr>
      <vt:lpstr>'Billing Comparison Sch 24'!Print_Area</vt:lpstr>
      <vt:lpstr>'Billing Comparison Sch 36'!Print_Area</vt:lpstr>
      <vt:lpstr>'Billing Comparison Sch 40'!Print_Area</vt:lpstr>
      <vt:lpstr>'Billing Comparison Sch 48 Ded'!Print_Area</vt:lpstr>
      <vt:lpstr>'Billing Comparison Sch 48 Pri'!Print_Area</vt:lpstr>
      <vt:lpstr>'Billing Comparison Sch 48 Sec'!Print_Area</vt:lpstr>
      <vt:lpstr>'Billing Determinants'!Print_Area</vt:lpstr>
      <vt:lpstr>'Est Effect of Base Rate Inc'!Print_Area</vt:lpstr>
      <vt:lpstr>'Low Income Credit'!Print_Area</vt:lpstr>
      <vt:lpstr>'Billing Determinants'!Print_Titles</vt:lpstr>
      <vt:lpstr>'Est Effect of Base Rate Inc'!TABLEA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2017-08-02T16:26:03Z</dcterms:created>
  <dcterms:modified xsi:type="dcterms:W3CDTF">2017-08-02T22:34:11Z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0x0101006E56B4D1795A2E4DB2F0B01679ED314A007595E2AA379E88449A4F511BF799667C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