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wrk\22_pse\3022-61 UE-170033 - 2017 GRC\dir\_exh\"/>
    </mc:Choice>
  </mc:AlternateContent>
  <bookViews>
    <workbookView xWindow="8925" yWindow="150" windowWidth="18225" windowHeight="13740" tabRatio="388"/>
  </bookViews>
  <sheets>
    <sheet name="Exh. BGM-4 (1) Lead" sheetId="23" r:id="rId1"/>
    <sheet name="Exh. BGM-4 (2) Adj. Detail" sheetId="20" r:id="rId2"/>
    <sheet name="Exh. BGM-4 (3) Param" sheetId="22" r:id="rId3"/>
    <sheet name="Exh. BGM-4 (4) Rstng and PF Adj" sheetId="1" r:id="rId4"/>
    <sheet name="Not Used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AccessDatabase" hidden="1">"I:\COMTREL\FINICLE\TradeSummary.mdb"</definedName>
    <definedName name="b" hidden="1">{#N/A,#N/A,FALSE,"Coversheet";#N/A,#N/A,FALSE,"QA"}</definedName>
    <definedName name="Case_Name">'[7]KJB-6 Cmn Adj'!$B$8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D_Gas">'[8]DEBT CALC'!#REF!</definedName>
    <definedName name="k_3.01_Deficiency">'Exh. BGM-4 (3) Param'!$A$2:$E$27</definedName>
    <definedName name="k_Docket_Number">'[7]KJB-4 Sum'!$AV$2</definedName>
    <definedName name="k_FITrate">'[7]KJB-3 Def'!$L$20</definedName>
    <definedName name="keep_PSE">'Exh. BGM-4 (4) Rstng and PF Adj'!$A$6</definedName>
    <definedName name="keep_SEF_11_Gas_Only">'Not Used'!$F$3</definedName>
    <definedName name="keep_SEF_4_Gas_Summary">'Exh. BGM-4 (2) Adj. Detail'!$G$3</definedName>
    <definedName name="keep_SEF_6_Common_Adjs">'Exh. BGM-4 (4) Rstng and PF Adj'!$E$2</definedName>
    <definedName name="keep_STATE_UTILITY_TAX">'Exh. BGM-4 (3) Param'!$N$16</definedName>
    <definedName name="keep_TESTYEAR" localSheetId="0">'[7]KJB-6 Cmn Adj'!$B$7</definedName>
    <definedName name="keep_TESTYEAR">'Exh. BGM-4 (4) Rstng and PF Adj'!$A$8</definedName>
    <definedName name="keep_WUTC_FILING_FEE">'Exh. BGM-4 (3) Param'!$O$15</definedName>
    <definedName name="kp_DOCKET">'Exh. BGM-4 (4) Rstng and PF Adj'!$A$9</definedName>
    <definedName name="kp_Docket_No._UG____">'Exh. BGM-4 (4) Rstng and PF Adj'!#REF!</definedName>
    <definedName name="kp_FEDERAL_INCOME_TAX">'Exh. BGM-4 (3) Param'!$N$21</definedName>
    <definedName name="kp_Sum_Detail1">'Exh. BGM-4 (2) Adj. Detail'!$J$2:$P$61</definedName>
    <definedName name="kp_Sum_Detail2">'Exh. BGM-4 (2) Adj. Detail'!$Q$2:$Y$60</definedName>
    <definedName name="kp_Sum_Detail3">'Exh. BGM-4 (2) Adj. Detail'!$Z$2:$AL$60</definedName>
    <definedName name="kp_Summary">'Exh. BGM-4 (2) Adj. Detail'!$A$2:$G$60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'Exh. BGM-4 (1) Lead'!$A$1:$AE$42</definedName>
    <definedName name="_xlnm.Print_Area" localSheetId="1">'Exh. BGM-4 (2) Adj. Detail'!$A$2:$AL$60</definedName>
    <definedName name="_xlnm.Print_Area" localSheetId="4">'Not Used'!$A$2:$F$42</definedName>
    <definedName name="Print_for_Checking">'[8]ADJ SUMMARY'!#REF!:'[8]ADJ SUMMARY'!#REF!</definedName>
    <definedName name="_xlnm.Print_Titles" localSheetId="0">'Exh. BGM-4 (1) Lead'!$A:$G</definedName>
    <definedName name="_xlnm.Print_Titles" localSheetId="1">'Exh. BGM-4 (2) Adj. Detail'!$A:$B</definedName>
    <definedName name="RRC_Adjustment_Print">#REF!</definedName>
    <definedName name="RRC_Rate_Print">#REF!</definedName>
    <definedName name="SEF_3.02_Proforma_COC">'Exh. BGM-4 (3) Param'!$F$2:$J$25</definedName>
    <definedName name="SEF_3.03_ConvFact">'Exh. BGM-4 (3) Param'!$K$2:$O$24</definedName>
    <definedName name="SEF_6.01_RevExp">'Exh. BGM-4 (4) Rstng and PF Adj'!$A$2:$E$51</definedName>
    <definedName name="SEF_6.02_TempNorm">'Exh. BGM-4 (4) Rstng and PF Adj'!$F$2:$K$59</definedName>
    <definedName name="SEF_6.03_PassThru">'Exh. BGM-4 (4) Rstng and PF Adj'!$L$2:$O$45</definedName>
    <definedName name="SEF_6.04_FIT">'Exh. BGM-4 (4) Rstng and PF Adj'!$P$2:$T$38</definedName>
    <definedName name="SEF_6.05_TBPFI">'Exh. BGM-4 (4) Rstng and PF Adj'!$U$2:$X$25</definedName>
    <definedName name="SEF_6.06_DepStudy">'Exh. BGM-4 (4) Rstng and PF Adj'!$Y$2:$AC$43</definedName>
    <definedName name="SEF_6.07_NormInjDmgs">'Exh. BGM-4 (4) Rstng and PF Adj'!$AD$2:$AH$22</definedName>
    <definedName name="SEF_6.08_BadDebt">'Exh. BGM-4 (4) Rstng and PF Adj'!$AI$2:$AO$30</definedName>
    <definedName name="SEF_6.09_Incentive">'Exh. BGM-4 (4) Rstng and PF Adj'!$AP$2:$AT$33</definedName>
    <definedName name="SEF_6.10_DO_Ins">'Exh. BGM-4 (4) Rstng and PF Adj'!$AU$2:$AY$22</definedName>
    <definedName name="SEF_6.11_IntCustDep">'Exh. BGM-4 (4) Rstng and PF Adj'!$AZ$2:$BD$30</definedName>
    <definedName name="SEF_6.12_RateCaseExp">'Exh. BGM-4 (4) Rstng and PF Adj'!$BE$2:$BH$35</definedName>
    <definedName name="SEF_6.13_DefdGL" localSheetId="3">'Exh. BGM-4 (4) Rstng and PF Adj'!$BI$2:$BL$33</definedName>
    <definedName name="SEF_6.14_PropLiabIns">'Exh. BGM-4 (4) Rstng and PF Adj'!$BM$2:$BQ$21</definedName>
    <definedName name="SEF_6.15_PensionPlan">'Exh. BGM-4 (4) Rstng and PF Adj'!$BR$2:$BV$20</definedName>
    <definedName name="SEF_6.16_WageIncr">'Exh. BGM-4 (4) Rstng and PF Adj'!$BW$2:$CC$32</definedName>
    <definedName name="SEF_6.17_InvestPlan">'Exh. BGM-4 (4) Rstng and PF Adj'!$CD$2:$CH$38</definedName>
    <definedName name="SEF_6.18_EmplInsur">'Exh. BGM-4 (4) Rstng and PF Adj'!$CI$2:$CL$26</definedName>
    <definedName name="SEF_6.19_Envi_Rem">'Exh. BGM-4 (4) Rstng and PF Adj'!$CM$2:$CP$30</definedName>
    <definedName name="SEF_6.20_PymntFees">'Exh. BGM-4 (4) Rstng and PF Adj'!$CQ$2:$CU$28</definedName>
    <definedName name="SEF_6.21_SOK_ServCent">'Exh. BGM-4 (4) Rstng and PF Adj'!$CV$2:$CZ$35</definedName>
    <definedName name="SEF_6.22_ExciseTax">'Exh. BGM-4 (4) Rstng and PF Adj'!$DA$2:$DE$22</definedName>
    <definedName name="SEF_7.01_CRM">'Not Used'!$A$2:$F$43</definedName>
    <definedName name="Summary">#REF!</definedName>
    <definedName name="t" hidden="1">{#N/A,#N/A,FALSE,"CESTSUM";#N/A,#N/A,FALSE,"est sum A";#N/A,#N/A,FALSE,"est detail A"}</definedName>
    <definedName name="WA_Gas">'[8]DEBT CALC'!#REF!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71027"/>
  <customWorkbookViews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ckrueg - Personal View" guid="{A74B7FED-837E-46BE-A86A-510E0683DF4F}" mergeInterval="0" personalView="1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AH7" i="20" l="1"/>
  <c r="Z7" i="20"/>
  <c r="Q7" i="20"/>
  <c r="W33" i="23"/>
  <c r="AH5" i="23"/>
  <c r="AH43" i="20"/>
  <c r="K38" i="23"/>
  <c r="I38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10" i="23"/>
  <c r="I11" i="23"/>
  <c r="I12" i="23"/>
  <c r="I13" i="23"/>
  <c r="I15" i="23"/>
  <c r="I16" i="23"/>
  <c r="I17" i="23"/>
  <c r="I18" i="23"/>
  <c r="I19" i="23"/>
  <c r="I20" i="23"/>
  <c r="I21" i="23"/>
  <c r="I22" i="23"/>
  <c r="I23" i="23"/>
  <c r="I25" i="23"/>
  <c r="I26" i="23"/>
  <c r="I27" i="23"/>
  <c r="I28" i="23"/>
  <c r="I29" i="23"/>
  <c r="I30" i="23"/>
  <c r="I31" i="23"/>
  <c r="I10" i="23"/>
  <c r="AJ14" i="23"/>
  <c r="AK16" i="20" l="1"/>
  <c r="AK59" i="20"/>
  <c r="AK57" i="20"/>
  <c r="AK44" i="20"/>
  <c r="AK41" i="20"/>
  <c r="AK39" i="20"/>
  <c r="AK38" i="20"/>
  <c r="AK35" i="20"/>
  <c r="AK26" i="20"/>
  <c r="AK18" i="20"/>
  <c r="AK17" i="20"/>
  <c r="AJ45" i="20"/>
  <c r="AJ43" i="20"/>
  <c r="AJ28" i="20"/>
  <c r="AJ19" i="20"/>
  <c r="AJ47" i="20" s="1"/>
  <c r="AH36" i="20"/>
  <c r="AH45" i="20" s="1"/>
  <c r="AH47" i="20" s="1"/>
  <c r="AH60" i="20"/>
  <c r="AH58" i="20"/>
  <c r="AH49" i="20"/>
  <c r="AH28" i="20"/>
  <c r="AH19" i="20"/>
  <c r="AG45" i="20"/>
  <c r="AG47" i="20" s="1"/>
  <c r="AG43" i="20"/>
  <c r="AG28" i="20"/>
  <c r="AG19" i="20"/>
  <c r="R33" i="23" l="1"/>
  <c r="DR15" i="1"/>
  <c r="DT15" i="1"/>
  <c r="DP8" i="1"/>
  <c r="DP6" i="1"/>
  <c r="W28" i="23"/>
  <c r="W24" i="23" l="1"/>
  <c r="DM15" i="1" l="1"/>
  <c r="DO15" i="1" s="1"/>
  <c r="DK8" i="1"/>
  <c r="DK6" i="1"/>
  <c r="DH15" i="1"/>
  <c r="DJ15" i="1" s="1"/>
  <c r="AG54" i="20" s="1"/>
  <c r="DF6" i="1"/>
  <c r="AA32" i="23" l="1"/>
  <c r="AA35" i="23" s="1"/>
  <c r="AJ54" i="20"/>
  <c r="AJ58" i="20" s="1"/>
  <c r="AJ60" i="20" s="1"/>
  <c r="AJ49" i="20" s="1"/>
  <c r="AA39" i="23"/>
  <c r="AA41" i="23" s="1"/>
  <c r="R32" i="23"/>
  <c r="R12" i="23"/>
  <c r="R14" i="23"/>
  <c r="R19" i="23"/>
  <c r="R23" i="23"/>
  <c r="R26" i="23"/>
  <c r="R27" i="23"/>
  <c r="R28" i="23"/>
  <c r="R31" i="23"/>
  <c r="R22" i="23"/>
  <c r="R38" i="23"/>
  <c r="R29" i="23"/>
  <c r="R25" i="23"/>
  <c r="R24" i="23"/>
  <c r="R21" i="23"/>
  <c r="R18" i="23"/>
  <c r="R17" i="23"/>
  <c r="R13" i="23"/>
  <c r="R11" i="23"/>
  <c r="B10" i="23"/>
  <c r="Y27" i="23" l="1"/>
  <c r="Y33" i="23"/>
  <c r="P33" i="23" s="1"/>
  <c r="R39" i="23"/>
  <c r="AG58" i="20"/>
  <c r="AG60" i="20" s="1"/>
  <c r="AG49" i="20" s="1"/>
  <c r="B11" i="23"/>
  <c r="B12" i="23" s="1"/>
  <c r="Y31" i="23"/>
  <c r="Y32" i="23"/>
  <c r="P32" i="23" s="1"/>
  <c r="AM32" i="23" s="1"/>
  <c r="Y39" i="23"/>
  <c r="P39" i="23" s="1"/>
  <c r="Y24" i="23"/>
  <c r="Y17" i="23"/>
  <c r="Y28" i="23"/>
  <c r="Y15" i="23"/>
  <c r="Y21" i="23"/>
  <c r="Y25" i="23"/>
  <c r="Y20" i="23"/>
  <c r="Y11" i="23"/>
  <c r="Y12" i="23"/>
  <c r="Y18" i="23"/>
  <c r="Y22" i="23"/>
  <c r="Y26" i="23"/>
  <c r="Y29" i="23"/>
  <c r="Y38" i="23"/>
  <c r="Y30" i="23"/>
  <c r="Y10" i="23"/>
  <c r="Y13" i="23"/>
  <c r="Y16" i="23"/>
  <c r="Y19" i="23"/>
  <c r="Y23" i="23"/>
  <c r="R10" i="23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6" i="20"/>
  <c r="J18" i="20"/>
  <c r="J16" i="20"/>
  <c r="B13" i="23" l="1"/>
  <c r="N16" i="22"/>
  <c r="O15" i="22"/>
  <c r="H15" i="22"/>
  <c r="I14" i="22"/>
  <c r="H14" i="22"/>
  <c r="B14" i="23" l="1"/>
  <c r="J59" i="20"/>
  <c r="J57" i="20"/>
  <c r="J56" i="20"/>
  <c r="J55" i="20"/>
  <c r="J54" i="20"/>
  <c r="B15" i="23" l="1"/>
  <c r="B16" i="23" l="1"/>
  <c r="B17" i="23" s="1"/>
  <c r="B18" i="23" s="1"/>
  <c r="B19" i="23" l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R15" i="1"/>
  <c r="BR16" i="1" s="1"/>
  <c r="BR17" i="1" s="1"/>
  <c r="BR18" i="1" s="1"/>
  <c r="BR19" i="1" s="1"/>
  <c r="B35" i="23" l="1"/>
  <c r="B38" i="23" s="1"/>
  <c r="B39" i="23" s="1"/>
  <c r="B41" i="23" s="1"/>
  <c r="BL19" i="1"/>
  <c r="BL18" i="1"/>
  <c r="BL15" i="1"/>
  <c r="BL14" i="1"/>
  <c r="E40" i="21" l="1"/>
  <c r="D40" i="21"/>
  <c r="E39" i="21"/>
  <c r="D39" i="21"/>
  <c r="E38" i="21"/>
  <c r="D38" i="21"/>
  <c r="E37" i="21"/>
  <c r="D37" i="21"/>
  <c r="E36" i="21"/>
  <c r="D36" i="21"/>
  <c r="D19" i="21"/>
  <c r="E18" i="21"/>
  <c r="D18" i="21"/>
  <c r="D15" i="21"/>
  <c r="DD15" i="1"/>
  <c r="DC15" i="1"/>
  <c r="DD14" i="1"/>
  <c r="DC14" i="1"/>
  <c r="BU14" i="1"/>
  <c r="BT14" i="1"/>
  <c r="BP15" i="1"/>
  <c r="BO15" i="1"/>
  <c r="BP14" i="1"/>
  <c r="BO14" i="1"/>
  <c r="BL26" i="1"/>
  <c r="BD14" i="1"/>
  <c r="AX14" i="1"/>
  <c r="AW14" i="1"/>
  <c r="AG15" i="1"/>
  <c r="AF15" i="1"/>
  <c r="AG14" i="1"/>
  <c r="AF14" i="1"/>
  <c r="AC41" i="1"/>
  <c r="AB31" i="1"/>
  <c r="AA31" i="1"/>
  <c r="AB28" i="1"/>
  <c r="AA28" i="1"/>
  <c r="AB27" i="1"/>
  <c r="AA27" i="1"/>
  <c r="AB21" i="1"/>
  <c r="AA21" i="1"/>
  <c r="AB20" i="1"/>
  <c r="AA20" i="1"/>
  <c r="AB17" i="1"/>
  <c r="AA17" i="1"/>
  <c r="AB16" i="1"/>
  <c r="AA16" i="1"/>
  <c r="AB15" i="1"/>
  <c r="AA15" i="1"/>
  <c r="AB14" i="1"/>
  <c r="AA14" i="1"/>
  <c r="T26" i="1"/>
  <c r="T25" i="1"/>
  <c r="T18" i="1"/>
  <c r="T14" i="1"/>
  <c r="J45" i="1"/>
  <c r="J42" i="1"/>
  <c r="J41" i="1"/>
  <c r="J40" i="1"/>
  <c r="J39" i="1"/>
  <c r="J38" i="1"/>
  <c r="J37" i="1"/>
  <c r="J36" i="1"/>
  <c r="J35" i="1"/>
  <c r="J34" i="1"/>
  <c r="J33" i="1"/>
  <c r="J32" i="1"/>
  <c r="J31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CY29" i="1"/>
  <c r="CX29" i="1"/>
  <c r="CY28" i="1"/>
  <c r="CX28" i="1"/>
  <c r="CY27" i="1"/>
  <c r="CX27" i="1"/>
  <c r="CY26" i="1"/>
  <c r="CX26" i="1"/>
  <c r="CX22" i="1"/>
  <c r="CY21" i="1"/>
  <c r="CX21" i="1"/>
  <c r="CY20" i="1"/>
  <c r="CX20" i="1"/>
  <c r="CX19" i="1"/>
  <c r="CY18" i="1"/>
  <c r="CX18" i="1"/>
  <c r="CY17" i="1"/>
  <c r="CX17" i="1"/>
  <c r="CY16" i="1"/>
  <c r="CX16" i="1"/>
  <c r="CO21" i="1"/>
  <c r="CO16" i="1"/>
  <c r="BG19" i="1"/>
  <c r="BG16" i="1"/>
  <c r="CT21" i="1"/>
  <c r="CS21" i="1"/>
  <c r="CT20" i="1"/>
  <c r="CS20" i="1"/>
  <c r="CT15" i="1"/>
  <c r="CS15" i="1"/>
  <c r="CL20" i="1"/>
  <c r="CK19" i="1"/>
  <c r="CL16" i="1"/>
  <c r="CL15" i="1"/>
  <c r="CF31" i="1"/>
  <c r="CF26" i="1"/>
  <c r="CG25" i="1"/>
  <c r="CF21" i="1"/>
  <c r="CG20" i="1"/>
  <c r="CF16" i="1"/>
  <c r="CG15" i="1"/>
  <c r="CB26" i="1"/>
  <c r="CA26" i="1"/>
  <c r="CB23" i="1"/>
  <c r="CA23" i="1"/>
  <c r="CB22" i="1"/>
  <c r="CA22" i="1"/>
  <c r="CB21" i="1"/>
  <c r="CA21" i="1"/>
  <c r="CB20" i="1"/>
  <c r="CA20" i="1"/>
  <c r="CB19" i="1"/>
  <c r="CA19" i="1"/>
  <c r="CB18" i="1"/>
  <c r="CA18" i="1"/>
  <c r="CB17" i="1"/>
  <c r="CA17" i="1"/>
  <c r="CB16" i="1"/>
  <c r="CA16" i="1"/>
  <c r="CB15" i="1"/>
  <c r="CA15" i="1"/>
  <c r="AR26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6" i="1"/>
  <c r="AR16" i="1"/>
  <c r="AS15" i="1"/>
  <c r="AR15" i="1"/>
  <c r="AN26" i="1"/>
  <c r="AM20" i="1"/>
  <c r="AL20" i="1"/>
  <c r="AM17" i="1"/>
  <c r="AL17" i="1"/>
  <c r="AK17" i="1"/>
  <c r="AJ17" i="1"/>
  <c r="AM16" i="1"/>
  <c r="AL16" i="1"/>
  <c r="AK16" i="1"/>
  <c r="AJ16" i="1"/>
  <c r="AM15" i="1"/>
  <c r="AL15" i="1"/>
  <c r="AK15" i="1"/>
  <c r="AJ15" i="1"/>
  <c r="O40" i="1"/>
  <c r="O39" i="1"/>
  <c r="O38" i="1"/>
  <c r="O37" i="1"/>
  <c r="O36" i="1"/>
  <c r="O35" i="1"/>
  <c r="O34" i="1"/>
  <c r="O24" i="1"/>
  <c r="O23" i="1"/>
  <c r="O21" i="1"/>
  <c r="O20" i="1"/>
  <c r="O19" i="1"/>
  <c r="O18" i="1"/>
  <c r="O17" i="1"/>
  <c r="O16" i="1"/>
  <c r="O15" i="1"/>
  <c r="D37" i="1"/>
  <c r="D36" i="1"/>
  <c r="D35" i="1"/>
  <c r="D29" i="1"/>
  <c r="D28" i="1"/>
  <c r="D27" i="1"/>
  <c r="D26" i="1"/>
  <c r="D25" i="1"/>
  <c r="D24" i="1"/>
  <c r="D23" i="1"/>
  <c r="D19" i="1"/>
  <c r="D18" i="1"/>
  <c r="D17" i="1"/>
  <c r="D16" i="1"/>
  <c r="D15" i="1"/>
  <c r="AN15" i="1" l="1"/>
  <c r="AO15" i="1" s="1"/>
  <c r="D20" i="1"/>
  <c r="AF16" i="1"/>
  <c r="D30" i="1"/>
  <c r="CZ22" i="1" l="1"/>
  <c r="DA9" i="1" l="1"/>
  <c r="DA8" i="1"/>
  <c r="DF8" i="1" s="1"/>
  <c r="DA6" i="1"/>
  <c r="DD16" i="1"/>
  <c r="DC16" i="1"/>
  <c r="DE15" i="1"/>
  <c r="AF36" i="20" s="1"/>
  <c r="DE14" i="1"/>
  <c r="AF42" i="20" s="1"/>
  <c r="CY23" i="1" l="1"/>
  <c r="CX23" i="1"/>
  <c r="DE16" i="1"/>
  <c r="DE18" i="1" s="1"/>
  <c r="DE19" i="1" s="1"/>
  <c r="DE20" i="1" l="1"/>
  <c r="AF43" i="20"/>
  <c r="AF58" i="20" l="1"/>
  <c r="AF60" i="20" s="1"/>
  <c r="AF45" i="20"/>
  <c r="AF28" i="20"/>
  <c r="AF19" i="20"/>
  <c r="AF47" i="20" l="1"/>
  <c r="P31" i="23" s="1"/>
  <c r="AM31" i="23" s="1"/>
  <c r="AF49" i="20"/>
  <c r="CS22" i="1" l="1"/>
  <c r="CZ19" i="1" l="1"/>
  <c r="CZ28" i="1" l="1"/>
  <c r="CZ20" i="1" l="1"/>
  <c r="CZ17" i="1"/>
  <c r="M34" i="20" l="1"/>
  <c r="M18" i="20"/>
  <c r="CM15" i="1" l="1"/>
  <c r="I49" i="1" l="1"/>
  <c r="J14" i="22" l="1"/>
  <c r="CY30" i="1" l="1"/>
  <c r="CX30" i="1"/>
  <c r="CZ27" i="1"/>
  <c r="CZ29" i="1"/>
  <c r="CZ26" i="1"/>
  <c r="CZ18" i="1"/>
  <c r="AE55" i="20" s="1"/>
  <c r="AK55" i="20" s="1"/>
  <c r="CZ21" i="1"/>
  <c r="AE56" i="20" s="1"/>
  <c r="AK56" i="20" s="1"/>
  <c r="CZ16" i="1"/>
  <c r="AE36" i="20" l="1"/>
  <c r="CZ30" i="1"/>
  <c r="AE54" i="20"/>
  <c r="AK54" i="20" s="1"/>
  <c r="CZ23" i="1"/>
  <c r="AE37" i="20"/>
  <c r="AK37" i="20" s="1"/>
  <c r="CY32" i="1" l="1"/>
  <c r="CZ32" i="1" s="1"/>
  <c r="CZ34" i="1" s="1"/>
  <c r="CV15" i="1"/>
  <c r="CV16" i="1" s="1"/>
  <c r="CV17" i="1" s="1"/>
  <c r="CV18" i="1" s="1"/>
  <c r="CV19" i="1" s="1"/>
  <c r="CV20" i="1" s="1"/>
  <c r="CV21" i="1" s="1"/>
  <c r="CV22" i="1" s="1"/>
  <c r="CV23" i="1" s="1"/>
  <c r="CV24" i="1" s="1"/>
  <c r="CV25" i="1" s="1"/>
  <c r="CV26" i="1" s="1"/>
  <c r="CV27" i="1" s="1"/>
  <c r="CV28" i="1" s="1"/>
  <c r="CV29" i="1" s="1"/>
  <c r="CV30" i="1" s="1"/>
  <c r="CV31" i="1" s="1"/>
  <c r="CV32" i="1" s="1"/>
  <c r="CV33" i="1" s="1"/>
  <c r="CV34" i="1" s="1"/>
  <c r="CV9" i="1"/>
  <c r="CV8" i="1"/>
  <c r="CV6" i="1"/>
  <c r="AE58" i="20"/>
  <c r="AE60" i="20" s="1"/>
  <c r="R30" i="23" s="1"/>
  <c r="AE28" i="20"/>
  <c r="AE19" i="20"/>
  <c r="AE49" i="20" l="1"/>
  <c r="AE43" i="20"/>
  <c r="AE45" i="20" l="1"/>
  <c r="AE47" i="20" s="1"/>
  <c r="P30" i="23" s="1"/>
  <c r="AM30" i="23" s="1"/>
  <c r="BL20" i="1" l="1"/>
  <c r="M26" i="20" l="1"/>
  <c r="K4" i="1" l="1"/>
  <c r="O4" i="1" s="1"/>
  <c r="AD58" i="20" l="1"/>
  <c r="AD60" i="20" s="1"/>
  <c r="CT26" i="1"/>
  <c r="CQ9" i="1"/>
  <c r="CQ8" i="1"/>
  <c r="CQ6" i="1"/>
  <c r="AD49" i="20" l="1"/>
  <c r="I19" i="22" l="1"/>
  <c r="H19" i="22"/>
  <c r="H18" i="22"/>
  <c r="W18" i="1" l="1"/>
  <c r="I18" i="22"/>
  <c r="J18" i="22"/>
  <c r="J19" i="22"/>
  <c r="H20" i="22"/>
  <c r="H16" i="22"/>
  <c r="J15" i="22"/>
  <c r="J16" i="22" l="1"/>
  <c r="J20" i="22"/>
  <c r="E15" i="22" l="1"/>
  <c r="L26" i="20" l="1"/>
  <c r="E30" i="1" l="1"/>
  <c r="K18" i="20" s="1"/>
  <c r="A15" i="21"/>
  <c r="A16" i="21" s="1"/>
  <c r="A17" i="21" l="1"/>
  <c r="A18" i="21" s="1"/>
  <c r="A19" i="21" l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S17" i="1" l="1"/>
  <c r="K43" i="1" l="1"/>
  <c r="K46" i="1"/>
  <c r="AN21" i="1" l="1"/>
  <c r="L16" i="20"/>
  <c r="L19" i="20" l="1"/>
  <c r="Y15" i="1"/>
  <c r="Y16" i="1" l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l="1"/>
  <c r="Y40" i="1" s="1"/>
  <c r="Y41" i="1" s="1"/>
  <c r="Y42" i="1" s="1"/>
  <c r="Y43" i="1" s="1"/>
  <c r="AC58" i="20"/>
  <c r="AC60" i="20" s="1"/>
  <c r="AC28" i="20"/>
  <c r="AC19" i="20"/>
  <c r="AC49" i="20" l="1"/>
  <c r="AI28" i="20" l="1"/>
  <c r="CO26" i="1"/>
  <c r="CP22" i="1"/>
  <c r="CP17" i="1"/>
  <c r="CM16" i="1"/>
  <c r="CM17" i="1" s="1"/>
  <c r="CM18" i="1" s="1"/>
  <c r="CM19" i="1" s="1"/>
  <c r="CM20" i="1" s="1"/>
  <c r="CM21" i="1" s="1"/>
  <c r="CM22" i="1" s="1"/>
  <c r="CM23" i="1" s="1"/>
  <c r="CM24" i="1" s="1"/>
  <c r="CM25" i="1" s="1"/>
  <c r="CM26" i="1" s="1"/>
  <c r="CM27" i="1" s="1"/>
  <c r="CM28" i="1" s="1"/>
  <c r="CM9" i="1"/>
  <c r="CM8" i="1"/>
  <c r="CM6" i="1"/>
  <c r="CP24" i="1" l="1"/>
  <c r="CP26" i="1" s="1"/>
  <c r="AC43" i="20" l="1"/>
  <c r="AC40" i="20"/>
  <c r="AK40" i="20" s="1"/>
  <c r="AC45" i="20" l="1"/>
  <c r="AC47" i="20" s="1"/>
  <c r="P28" i="23" s="1"/>
  <c r="AM28" i="23" s="1"/>
  <c r="CP28" i="1"/>
  <c r="F15" i="21" l="1"/>
  <c r="AI16" i="20" l="1"/>
  <c r="AI19" i="20" l="1"/>
  <c r="D38" i="1" l="1"/>
  <c r="K26" i="20" l="1"/>
  <c r="M35" i="20" l="1"/>
  <c r="F8" i="22" l="1"/>
  <c r="A8" i="22"/>
  <c r="F9" i="22"/>
  <c r="K8" i="22"/>
  <c r="A9" i="22"/>
  <c r="K9" i="22"/>
  <c r="A15" i="22"/>
  <c r="K15" i="22"/>
  <c r="K16" i="22" s="1"/>
  <c r="K17" i="22" s="1"/>
  <c r="K18" i="22" s="1"/>
  <c r="K19" i="22" s="1"/>
  <c r="K20" i="22" s="1"/>
  <c r="K21" i="22" s="1"/>
  <c r="K22" i="22" s="1"/>
  <c r="K23" i="22" s="1"/>
  <c r="A16" i="22"/>
  <c r="A17" i="22" s="1"/>
  <c r="A18" i="22" s="1"/>
  <c r="A19" i="22" s="1"/>
  <c r="A20" i="22" s="1"/>
  <c r="A21" i="22" s="1"/>
  <c r="A22" i="22" s="1"/>
  <c r="A23" i="22" s="1"/>
  <c r="L16" i="22"/>
  <c r="T4" i="1"/>
  <c r="X4" i="1" s="1"/>
  <c r="G6" i="1"/>
  <c r="P6" i="1"/>
  <c r="U6" i="1"/>
  <c r="Y6" i="1"/>
  <c r="AD6" i="1"/>
  <c r="AI6" i="1"/>
  <c r="AP6" i="1"/>
  <c r="AU6" i="1"/>
  <c r="AZ6" i="1"/>
  <c r="BE6" i="1"/>
  <c r="BI6" i="1"/>
  <c r="BM6" i="1"/>
  <c r="BR6" i="1"/>
  <c r="BW6" i="1"/>
  <c r="CD6" i="1"/>
  <c r="CI6" i="1"/>
  <c r="G8" i="1"/>
  <c r="L8" i="1"/>
  <c r="P8" i="1"/>
  <c r="U8" i="1"/>
  <c r="Y8" i="1"/>
  <c r="AD8" i="1"/>
  <c r="AI8" i="1"/>
  <c r="AP8" i="1"/>
  <c r="AU8" i="1"/>
  <c r="AZ8" i="1"/>
  <c r="BE8" i="1"/>
  <c r="BI8" i="1"/>
  <c r="BM8" i="1"/>
  <c r="BR8" i="1"/>
  <c r="BW8" i="1"/>
  <c r="CD8" i="1"/>
  <c r="CI8" i="1"/>
  <c r="G9" i="1"/>
  <c r="L9" i="1"/>
  <c r="P9" i="1"/>
  <c r="U9" i="1"/>
  <c r="Y9" i="1"/>
  <c r="AD9" i="1"/>
  <c r="AI9" i="1"/>
  <c r="AP9" i="1"/>
  <c r="AU9" i="1"/>
  <c r="AZ9" i="1"/>
  <c r="BE9" i="1"/>
  <c r="BI9" i="1"/>
  <c r="BM9" i="1"/>
  <c r="BR9" i="1"/>
  <c r="BW9" i="1"/>
  <c r="CD9" i="1"/>
  <c r="CI9" i="1"/>
  <c r="AH14" i="1"/>
  <c r="BQ14" i="1"/>
  <c r="BV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15" i="1"/>
  <c r="F16" i="1" s="1"/>
  <c r="F17" i="1" s="1"/>
  <c r="F18" i="1" s="1"/>
  <c r="F19" i="1" s="1"/>
  <c r="F20" i="1" s="1"/>
  <c r="F21" i="1" s="1"/>
  <c r="F22" i="1" s="1"/>
  <c r="F23" i="1" s="1"/>
  <c r="L15" i="1"/>
  <c r="L16" i="1" s="1"/>
  <c r="L17" i="1" s="1"/>
  <c r="L18" i="1" s="1"/>
  <c r="P15" i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U15" i="1"/>
  <c r="U16" i="1" s="1"/>
  <c r="U17" i="1" s="1"/>
  <c r="U18" i="1" s="1"/>
  <c r="U19" i="1" s="1"/>
  <c r="U20" i="1" s="1"/>
  <c r="U21" i="1" s="1"/>
  <c r="U22" i="1" s="1"/>
  <c r="U23" i="1" s="1"/>
  <c r="U24" i="1" s="1"/>
  <c r="AD15" i="1"/>
  <c r="AD16" i="1" s="1"/>
  <c r="AD17" i="1" s="1"/>
  <c r="AD18" i="1" s="1"/>
  <c r="AD19" i="1" s="1"/>
  <c r="AD20" i="1" s="1"/>
  <c r="AD21" i="1" s="1"/>
  <c r="AI15" i="1"/>
  <c r="AI16" i="1" s="1"/>
  <c r="AI17" i="1" s="1"/>
  <c r="AI18" i="1" s="1"/>
  <c r="AI19" i="1" s="1"/>
  <c r="AI20" i="1" s="1"/>
  <c r="AI21" i="1" s="1"/>
  <c r="AP15" i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U15" i="1"/>
  <c r="AU16" i="1" s="1"/>
  <c r="AU17" i="1" s="1"/>
  <c r="AU18" i="1" s="1"/>
  <c r="AU19" i="1" s="1"/>
  <c r="AU20" i="1" s="1"/>
  <c r="AU21" i="1" s="1"/>
  <c r="AZ15" i="1"/>
  <c r="AZ16" i="1" s="1"/>
  <c r="BE15" i="1"/>
  <c r="BE16" i="1" s="1"/>
  <c r="BE17" i="1" s="1"/>
  <c r="BE18" i="1" s="1"/>
  <c r="BE19" i="1" s="1"/>
  <c r="BE20" i="1" s="1"/>
  <c r="BE21" i="1" s="1"/>
  <c r="BE22" i="1" s="1"/>
  <c r="BE23" i="1" s="1"/>
  <c r="BE24" i="1" s="1"/>
  <c r="BE25" i="1" s="1"/>
  <c r="BE26" i="1" s="1"/>
  <c r="BE27" i="1" s="1"/>
  <c r="BI15" i="1"/>
  <c r="BI16" i="1" s="1"/>
  <c r="BI17" i="1" s="1"/>
  <c r="BM15" i="1"/>
  <c r="BM16" i="1" s="1"/>
  <c r="BM17" i="1" s="1"/>
  <c r="BM18" i="1" s="1"/>
  <c r="BM19" i="1" s="1"/>
  <c r="BM20" i="1" s="1"/>
  <c r="BQ15" i="1"/>
  <c r="BW15" i="1"/>
  <c r="BW16" i="1" s="1"/>
  <c r="BW17" i="1" s="1"/>
  <c r="BW18" i="1" s="1"/>
  <c r="BW19" i="1" s="1"/>
  <c r="BW20" i="1" s="1"/>
  <c r="BW21" i="1" s="1"/>
  <c r="BW22" i="1" s="1"/>
  <c r="BW23" i="1" s="1"/>
  <c r="BW24" i="1" s="1"/>
  <c r="BW25" i="1" s="1"/>
  <c r="BW26" i="1" s="1"/>
  <c r="BW27" i="1" s="1"/>
  <c r="BW28" i="1" s="1"/>
  <c r="BW29" i="1" s="1"/>
  <c r="BW30" i="1" s="1"/>
  <c r="BW31" i="1" s="1"/>
  <c r="CD15" i="1"/>
  <c r="CD16" i="1" s="1"/>
  <c r="CD17" i="1" s="1"/>
  <c r="CD18" i="1" s="1"/>
  <c r="CD19" i="1" s="1"/>
  <c r="CD20" i="1" s="1"/>
  <c r="CD21" i="1" s="1"/>
  <c r="CD22" i="1" s="1"/>
  <c r="CD23" i="1" s="1"/>
  <c r="CD24" i="1" s="1"/>
  <c r="CD25" i="1" s="1"/>
  <c r="CD26" i="1" s="1"/>
  <c r="CD27" i="1" s="1"/>
  <c r="CD28" i="1" s="1"/>
  <c r="CD29" i="1" s="1"/>
  <c r="CD30" i="1" s="1"/>
  <c r="CD31" i="1" s="1"/>
  <c r="CD32" i="1" s="1"/>
  <c r="CD33" i="1" s="1"/>
  <c r="CD34" i="1" s="1"/>
  <c r="CD35" i="1" s="1"/>
  <c r="CD36" i="1" s="1"/>
  <c r="CI15" i="1"/>
  <c r="CI16" i="1" s="1"/>
  <c r="CI17" i="1" s="1"/>
  <c r="CI18" i="1" s="1"/>
  <c r="CI19" i="1" s="1"/>
  <c r="CI20" i="1" s="1"/>
  <c r="CI21" i="1" s="1"/>
  <c r="CI22" i="1" s="1"/>
  <c r="CI23" i="1" s="1"/>
  <c r="CI24" i="1" s="1"/>
  <c r="CI25" i="1" s="1"/>
  <c r="AN16" i="1"/>
  <c r="AO16" i="1" s="1"/>
  <c r="BD16" i="1"/>
  <c r="BL16" i="1"/>
  <c r="BO16" i="1"/>
  <c r="J17" i="1"/>
  <c r="X17" i="1"/>
  <c r="AN17" i="1"/>
  <c r="AO17" i="1" s="1"/>
  <c r="BT15" i="1"/>
  <c r="BU15" i="1"/>
  <c r="J18" i="1"/>
  <c r="BG18" i="1"/>
  <c r="BG21" i="1" s="1"/>
  <c r="BH21" i="1" s="1"/>
  <c r="J19" i="1"/>
  <c r="BO19" i="1"/>
  <c r="J20" i="1"/>
  <c r="AX20" i="1"/>
  <c r="BT18" i="1"/>
  <c r="J21" i="1"/>
  <c r="J22" i="1"/>
  <c r="J23" i="1"/>
  <c r="W23" i="1"/>
  <c r="CK23" i="1"/>
  <c r="J24" i="1"/>
  <c r="N29" i="1"/>
  <c r="J25" i="1"/>
  <c r="J26" i="1"/>
  <c r="BG26" i="1"/>
  <c r="J27" i="1"/>
  <c r="J28" i="1"/>
  <c r="H29" i="1"/>
  <c r="I29" i="1"/>
  <c r="BZ30" i="1"/>
  <c r="AS29" i="1"/>
  <c r="CF35" i="1"/>
  <c r="L28" i="20"/>
  <c r="C41" i="1"/>
  <c r="A6" i="21"/>
  <c r="A8" i="21"/>
  <c r="A9" i="21"/>
  <c r="C7" i="20"/>
  <c r="J7" i="20"/>
  <c r="L13" i="20"/>
  <c r="A16" i="20"/>
  <c r="C16" i="20"/>
  <c r="C17" i="20"/>
  <c r="C18" i="20"/>
  <c r="F18" i="20"/>
  <c r="J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C26" i="20"/>
  <c r="M28" i="20"/>
  <c r="F28" i="20"/>
  <c r="J28" i="20"/>
  <c r="J45" i="20" s="1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C30" i="20"/>
  <c r="C31" i="20"/>
  <c r="C32" i="20"/>
  <c r="C33" i="20"/>
  <c r="U33" i="20"/>
  <c r="C34" i="20"/>
  <c r="C35" i="20"/>
  <c r="C36" i="20"/>
  <c r="C37" i="20"/>
  <c r="C38" i="20"/>
  <c r="C39" i="20"/>
  <c r="AL39" i="20"/>
  <c r="C40" i="20"/>
  <c r="C41" i="20"/>
  <c r="C42" i="20"/>
  <c r="C43" i="20"/>
  <c r="C44" i="20"/>
  <c r="U54" i="20"/>
  <c r="Q55" i="20"/>
  <c r="U55" i="20"/>
  <c r="Q56" i="20"/>
  <c r="U56" i="20"/>
  <c r="U57" i="20"/>
  <c r="K58" i="20"/>
  <c r="K60" i="20" s="1"/>
  <c r="K49" i="20" s="1"/>
  <c r="L58" i="20"/>
  <c r="L60" i="20" s="1"/>
  <c r="L49" i="20" s="1"/>
  <c r="M58" i="20"/>
  <c r="M60" i="20" s="1"/>
  <c r="M49" i="20" s="1"/>
  <c r="N58" i="20"/>
  <c r="N60" i="20" s="1"/>
  <c r="N49" i="20" s="1"/>
  <c r="O58" i="20"/>
  <c r="O60" i="20" s="1"/>
  <c r="O49" i="20" s="1"/>
  <c r="R58" i="20"/>
  <c r="R60" i="20" s="1"/>
  <c r="R49" i="20" s="1"/>
  <c r="S58" i="20"/>
  <c r="S60" i="20" s="1"/>
  <c r="S49" i="20" s="1"/>
  <c r="T58" i="20"/>
  <c r="T60" i="20" s="1"/>
  <c r="T49" i="20" s="1"/>
  <c r="V58" i="20"/>
  <c r="V60" i="20" s="1"/>
  <c r="V49" i="20" s="1"/>
  <c r="W58" i="20"/>
  <c r="W60" i="20" s="1"/>
  <c r="W49" i="20" s="1"/>
  <c r="X58" i="20"/>
  <c r="X60" i="20" s="1"/>
  <c r="X49" i="20" s="1"/>
  <c r="Y58" i="20"/>
  <c r="Y60" i="20" s="1"/>
  <c r="Y49" i="20" s="1"/>
  <c r="Z58" i="20"/>
  <c r="Z60" i="20" s="1"/>
  <c r="AA58" i="20"/>
  <c r="AA60" i="20" s="1"/>
  <c r="AB58" i="20"/>
  <c r="AB60" i="20" s="1"/>
  <c r="U59" i="20"/>
  <c r="D41" i="20"/>
  <c r="AL41" i="20"/>
  <c r="D39" i="20"/>
  <c r="K28" i="20"/>
  <c r="AO18" i="1" l="1"/>
  <c r="M13" i="20"/>
  <c r="BH24" i="1"/>
  <c r="BH26" i="1" s="1"/>
  <c r="AA49" i="20"/>
  <c r="Z49" i="20"/>
  <c r="AB49" i="20"/>
  <c r="AI22" i="1"/>
  <c r="AI23" i="1" s="1"/>
  <c r="AI24" i="1" s="1"/>
  <c r="AI25" i="1" s="1"/>
  <c r="AI26" i="1" s="1"/>
  <c r="AI27" i="1" s="1"/>
  <c r="AI28" i="1" s="1"/>
  <c r="AI29" i="1" s="1"/>
  <c r="AI30" i="1" s="1"/>
  <c r="AC4" i="1"/>
  <c r="AH4" i="1" s="1"/>
  <c r="AO4" i="1" s="1"/>
  <c r="C23" i="21"/>
  <c r="A17" i="20"/>
  <c r="A18" i="20"/>
  <c r="F24" i="1"/>
  <c r="F25" i="1" s="1"/>
  <c r="F26" i="1" s="1"/>
  <c r="F27" i="1" s="1"/>
  <c r="F28" i="1" s="1"/>
  <c r="F29" i="1" s="1"/>
  <c r="F30" i="1" s="1"/>
  <c r="F31" i="1" s="1"/>
  <c r="BQ16" i="1"/>
  <c r="BP16" i="1" s="1"/>
  <c r="AK28" i="20"/>
  <c r="AL28" i="20" s="1"/>
  <c r="D59" i="20"/>
  <c r="D57" i="20"/>
  <c r="J47" i="20"/>
  <c r="I7" i="23" s="1"/>
  <c r="U45" i="20"/>
  <c r="BL22" i="1"/>
  <c r="BL24" i="1" s="1"/>
  <c r="BL28" i="1" s="1"/>
  <c r="BI18" i="1"/>
  <c r="BI19" i="1" s="1"/>
  <c r="U58" i="20"/>
  <c r="U60" i="20" s="1"/>
  <c r="C28" i="20"/>
  <c r="C45" i="20" s="1"/>
  <c r="L19" i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BV15" i="1"/>
  <c r="Q58" i="20"/>
  <c r="Q60" i="20" s="1"/>
  <c r="R16" i="23" s="1"/>
  <c r="E41" i="20"/>
  <c r="E39" i="20"/>
  <c r="C19" i="20"/>
  <c r="J29" i="1"/>
  <c r="D35" i="20"/>
  <c r="AL35" i="20"/>
  <c r="AL17" i="20"/>
  <c r="D17" i="20"/>
  <c r="U49" i="20" l="1"/>
  <c r="R20" i="23"/>
  <c r="P7" i="23"/>
  <c r="AT4" i="1"/>
  <c r="AY4" i="1" s="1"/>
  <c r="BD4" i="1" s="1"/>
  <c r="BH4" i="1" s="1"/>
  <c r="BL4" i="1" s="1"/>
  <c r="BQ4" i="1" s="1"/>
  <c r="BV4" i="1" s="1"/>
  <c r="CC4" i="1" s="1"/>
  <c r="CH4" i="1" s="1"/>
  <c r="CL4" i="1" s="1"/>
  <c r="CP4" i="1" s="1"/>
  <c r="CU4" i="1" s="1"/>
  <c r="CZ4" i="1" s="1"/>
  <c r="DE4" i="1" s="1"/>
  <c r="BV17" i="1"/>
  <c r="BV18" i="1" s="1"/>
  <c r="E23" i="21"/>
  <c r="D23" i="21"/>
  <c r="N13" i="20"/>
  <c r="V36" i="20"/>
  <c r="V43" i="20"/>
  <c r="Q49" i="20"/>
  <c r="U47" i="20"/>
  <c r="P20" i="23" s="1"/>
  <c r="AM20" i="23" s="1"/>
  <c r="X36" i="20"/>
  <c r="A19" i="20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BH27" i="1"/>
  <c r="F32" i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BQ19" i="1"/>
  <c r="Y36" i="20"/>
  <c r="G39" i="20"/>
  <c r="G41" i="20"/>
  <c r="W40" i="20"/>
  <c r="BL30" i="1"/>
  <c r="BI20" i="1"/>
  <c r="BI21" i="1" s="1"/>
  <c r="BI22" i="1" s="1"/>
  <c r="BI23" i="1" s="1"/>
  <c r="BI24" i="1" s="1"/>
  <c r="BI25" i="1" s="1"/>
  <c r="BI26" i="1" s="1"/>
  <c r="BI27" i="1" s="1"/>
  <c r="BI28" i="1" s="1"/>
  <c r="BI29" i="1" s="1"/>
  <c r="BI30" i="1" s="1"/>
  <c r="BI31" i="1" s="1"/>
  <c r="BI32" i="1" s="1"/>
  <c r="L38" i="1"/>
  <c r="AL26" i="20"/>
  <c r="D26" i="20"/>
  <c r="E17" i="20"/>
  <c r="E35" i="20"/>
  <c r="C47" i="20"/>
  <c r="F23" i="21" l="1"/>
  <c r="AI36" i="20" s="1"/>
  <c r="O13" i="20"/>
  <c r="W43" i="20"/>
  <c r="W45" i="20" s="1"/>
  <c r="V45" i="20"/>
  <c r="V47" i="20" s="1"/>
  <c r="P21" i="23" s="1"/>
  <c r="AM21" i="23" s="1"/>
  <c r="X43" i="20"/>
  <c r="X45" i="20" s="1"/>
  <c r="X47" i="20" s="1"/>
  <c r="P23" i="23" s="1"/>
  <c r="AM23" i="23" s="1"/>
  <c r="BQ20" i="1"/>
  <c r="L39" i="1"/>
  <c r="L40" i="1" s="1"/>
  <c r="L41" i="1" s="1"/>
  <c r="L42" i="1" s="1"/>
  <c r="L43" i="1" s="1"/>
  <c r="L44" i="1" s="1"/>
  <c r="L45" i="1" s="1"/>
  <c r="BL32" i="1"/>
  <c r="D40" i="20"/>
  <c r="E40" i="20" s="1"/>
  <c r="E26" i="20"/>
  <c r="G17" i="20"/>
  <c r="G35" i="20"/>
  <c r="D28" i="20"/>
  <c r="BV19" i="1"/>
  <c r="Y43" i="20"/>
  <c r="P13" i="20" l="1"/>
  <c r="W47" i="20"/>
  <c r="P22" i="23" s="1"/>
  <c r="AM22" i="23" s="1"/>
  <c r="Y45" i="20"/>
  <c r="AL40" i="20"/>
  <c r="G26" i="20"/>
  <c r="E28" i="20"/>
  <c r="G40" i="20"/>
  <c r="Q13" i="20" l="1"/>
  <c r="Y47" i="20"/>
  <c r="G28" i="20"/>
  <c r="R13" i="20" l="1"/>
  <c r="O41" i="1"/>
  <c r="S13" i="20" l="1"/>
  <c r="T13" i="20" l="1"/>
  <c r="U13" i="20" l="1"/>
  <c r="V13" i="20" l="1"/>
  <c r="W13" i="20" l="1"/>
  <c r="X13" i="20" l="1"/>
  <c r="Y13" i="20" l="1"/>
  <c r="F36" i="21"/>
  <c r="Z13" i="20" l="1"/>
  <c r="AI54" i="20"/>
  <c r="AA13" i="20" l="1"/>
  <c r="D54" i="20"/>
  <c r="AB13" i="20" l="1"/>
  <c r="AC13" i="20" l="1"/>
  <c r="AD13" i="20" l="1"/>
  <c r="AE13" i="20" l="1"/>
  <c r="AF13" i="20" l="1"/>
  <c r="AY14" i="1"/>
  <c r="AY16" i="1" s="1"/>
  <c r="AY18" i="1" s="1"/>
  <c r="AY20" i="1" l="1"/>
  <c r="T36" i="20"/>
  <c r="T43" i="20" l="1"/>
  <c r="T45" i="20" s="1"/>
  <c r="AY21" i="1"/>
  <c r="T47" i="20" l="1"/>
  <c r="P19" i="23" s="1"/>
  <c r="AM19" i="23" s="1"/>
  <c r="T32" i="1" l="1"/>
  <c r="N44" i="20" s="1"/>
  <c r="D44" i="20" l="1"/>
  <c r="E44" i="20" s="1"/>
  <c r="AL44" i="20" l="1"/>
  <c r="G44" i="20"/>
  <c r="D18" i="20" l="1"/>
  <c r="AL18" i="20"/>
  <c r="E18" i="20" l="1"/>
  <c r="I18" i="20" l="1"/>
  <c r="G18" i="20"/>
  <c r="T29" i="1" l="1"/>
  <c r="K16" i="20" l="1"/>
  <c r="K19" i="20" l="1"/>
  <c r="E20" i="1"/>
  <c r="E32" i="1" l="1"/>
  <c r="D41" i="1" s="1"/>
  <c r="K36" i="20" l="1"/>
  <c r="O14" i="22" l="1"/>
  <c r="O16" i="22" l="1"/>
  <c r="I48" i="1"/>
  <c r="AN23" i="1"/>
  <c r="N28" i="1"/>
  <c r="I52" i="1" l="1"/>
  <c r="C40" i="1"/>
  <c r="C22" i="21" l="1"/>
  <c r="D40" i="1"/>
  <c r="O18" i="22"/>
  <c r="C44" i="1"/>
  <c r="N30" i="1"/>
  <c r="E22" i="21" l="1"/>
  <c r="D22" i="21"/>
  <c r="D24" i="21" s="1"/>
  <c r="O20" i="22"/>
  <c r="K33" i="20"/>
  <c r="C26" i="21"/>
  <c r="D44" i="1"/>
  <c r="E42" i="1"/>
  <c r="N31" i="1"/>
  <c r="O21" i="22" l="1"/>
  <c r="O23" i="22" s="1"/>
  <c r="E26" i="21"/>
  <c r="D26" i="21"/>
  <c r="D28" i="21" s="1"/>
  <c r="E24" i="21"/>
  <c r="F22" i="21"/>
  <c r="E46" i="1"/>
  <c r="K42" i="20" s="1"/>
  <c r="E22" i="22" l="1"/>
  <c r="AH4" i="23" s="1"/>
  <c r="E28" i="21"/>
  <c r="AI33" i="20"/>
  <c r="F24" i="21"/>
  <c r="F26" i="21"/>
  <c r="AI42" i="20" s="1"/>
  <c r="E48" i="1"/>
  <c r="E49" i="1" s="1"/>
  <c r="F28" i="21" l="1"/>
  <c r="K43" i="20"/>
  <c r="K45" i="20" s="1"/>
  <c r="K47" i="20" s="1"/>
  <c r="E50" i="1"/>
  <c r="P10" i="23" l="1"/>
  <c r="AM10" i="23" s="1"/>
  <c r="M16" i="20"/>
  <c r="O25" i="1"/>
  <c r="O29" i="1" l="1"/>
  <c r="O28" i="1"/>
  <c r="O30" i="1"/>
  <c r="M19" i="20"/>
  <c r="M42" i="20" l="1"/>
  <c r="M36" i="20"/>
  <c r="M33" i="20"/>
  <c r="O31" i="1"/>
  <c r="O43" i="1" s="1"/>
  <c r="AK19" i="20"/>
  <c r="AL16" i="20"/>
  <c r="D16" i="20"/>
  <c r="AL19" i="20" l="1"/>
  <c r="O44" i="1"/>
  <c r="D19" i="20"/>
  <c r="E16" i="20"/>
  <c r="M43" i="20" l="1"/>
  <c r="M45" i="20" s="1"/>
  <c r="O45" i="1"/>
  <c r="E19" i="20"/>
  <c r="M47" i="20" l="1"/>
  <c r="P12" i="23" s="1"/>
  <c r="AM12" i="23" s="1"/>
  <c r="J52" i="1" l="1"/>
  <c r="J49" i="1"/>
  <c r="J48" i="1"/>
  <c r="L36" i="20" l="1"/>
  <c r="L33" i="20"/>
  <c r="K50" i="1"/>
  <c r="K53" i="1"/>
  <c r="L42" i="20"/>
  <c r="K55" i="1" l="1"/>
  <c r="K57" i="1" s="1"/>
  <c r="K58" i="1" l="1"/>
  <c r="L43" i="20"/>
  <c r="L45" i="20" s="1"/>
  <c r="L47" i="20" s="1"/>
  <c r="P11" i="23" l="1"/>
  <c r="AM11" i="23" s="1"/>
  <c r="AG16" i="1" l="1"/>
  <c r="AH15" i="1"/>
  <c r="AH16" i="1" s="1"/>
  <c r="AH18" i="1" l="1"/>
  <c r="AH19" i="1" s="1"/>
  <c r="Q36" i="20" l="1"/>
  <c r="Q43" i="20"/>
  <c r="AH21" i="1"/>
  <c r="Q45" i="20" l="1"/>
  <c r="Q47" i="20" s="1"/>
  <c r="P16" i="23" s="1"/>
  <c r="AM16" i="23" s="1"/>
  <c r="AN20" i="1" l="1"/>
  <c r="AN22" i="1" s="1"/>
  <c r="AN24" i="1" s="1"/>
  <c r="AO27" i="1" s="1"/>
  <c r="AO29" i="1" l="1"/>
  <c r="R33" i="20"/>
  <c r="R43" i="20" l="1"/>
  <c r="R45" i="20" s="1"/>
  <c r="R47" i="20" s="1"/>
  <c r="P17" i="23" s="1"/>
  <c r="AM17" i="23" s="1"/>
  <c r="AO30" i="1"/>
  <c r="CG21" i="1" l="1"/>
  <c r="CH22" i="1" s="1"/>
  <c r="CG26" i="1" l="1"/>
  <c r="CH27" i="1" s="1"/>
  <c r="CG16" i="1" l="1"/>
  <c r="CH17" i="1" s="1"/>
  <c r="CH30" i="1" s="1"/>
  <c r="CH31" i="1" s="1"/>
  <c r="CH32" i="1"/>
  <c r="CH33" i="1" l="1"/>
  <c r="CH35" i="1" l="1"/>
  <c r="AA36" i="20"/>
  <c r="AA43" i="20" l="1"/>
  <c r="AA45" i="20" s="1"/>
  <c r="AA47" i="20" s="1"/>
  <c r="P26" i="23" s="1"/>
  <c r="AM26" i="23" s="1"/>
  <c r="CH36" i="1"/>
  <c r="CA24" i="1" l="1"/>
  <c r="CA27" i="1" s="1"/>
  <c r="CC17" i="1"/>
  <c r="CC21" i="1"/>
  <c r="CC18" i="1"/>
  <c r="Z31" i="20" s="1"/>
  <c r="AK31" i="20" s="1"/>
  <c r="CC22" i="1"/>
  <c r="CC19" i="1"/>
  <c r="Z32" i="20" s="1"/>
  <c r="CC23" i="1"/>
  <c r="Z36" i="20" s="1"/>
  <c r="CC16" i="1"/>
  <c r="CC20" i="1"/>
  <c r="Z33" i="20" s="1"/>
  <c r="Z34" i="20" l="1"/>
  <c r="CB24" i="1"/>
  <c r="CC15" i="1"/>
  <c r="D31" i="20"/>
  <c r="E31" i="20" s="1"/>
  <c r="G31" i="20" s="1"/>
  <c r="AL31" i="20"/>
  <c r="CC24" i="1" l="1"/>
  <c r="Z30" i="20"/>
  <c r="CB27" i="1" l="1"/>
  <c r="CC27" i="1" s="1"/>
  <c r="CC29" i="1" s="1"/>
  <c r="CC26" i="1"/>
  <c r="Z42" i="20" l="1"/>
  <c r="CC30" i="1"/>
  <c r="Z43" i="20" l="1"/>
  <c r="Z45" i="20" s="1"/>
  <c r="Z47" i="20" s="1"/>
  <c r="P25" i="23" s="1"/>
  <c r="AM25" i="23" s="1"/>
  <c r="CC31" i="1"/>
  <c r="CU20" i="1" l="1"/>
  <c r="CS16" i="1"/>
  <c r="CT16" i="1" l="1"/>
  <c r="CU15" i="1"/>
  <c r="CU16" i="1" s="1"/>
  <c r="CU21" i="1" l="1"/>
  <c r="CU22" i="1" s="1"/>
  <c r="CU24" i="1" s="1"/>
  <c r="CT22" i="1"/>
  <c r="AD33" i="20" l="1"/>
  <c r="CU26" i="1"/>
  <c r="AD43" i="20" l="1"/>
  <c r="AD45" i="20" s="1"/>
  <c r="AD47" i="20" s="1"/>
  <c r="P29" i="23" s="1"/>
  <c r="AM29" i="23" s="1"/>
  <c r="CU28" i="1"/>
  <c r="CL17" i="1" l="1"/>
  <c r="CL19" i="1" s="1"/>
  <c r="CL21" i="1" s="1"/>
  <c r="AB36" i="20" l="1"/>
  <c r="CL23" i="1"/>
  <c r="AB43" i="20" l="1"/>
  <c r="AB45" i="20" s="1"/>
  <c r="AB47" i="20" s="1"/>
  <c r="P27" i="23" s="1"/>
  <c r="AM27" i="23" s="1"/>
  <c r="CL25" i="1"/>
  <c r="AT16" i="1" l="1"/>
  <c r="AT15" i="1"/>
  <c r="AT17" i="1" l="1"/>
  <c r="AT18" i="1" l="1"/>
  <c r="S30" i="20"/>
  <c r="AK30" i="20" s="1"/>
  <c r="AL30" i="20" l="1"/>
  <c r="D30" i="20"/>
  <c r="AT20" i="1" l="1"/>
  <c r="AT19" i="1"/>
  <c r="E30" i="20"/>
  <c r="S33" i="20" l="1"/>
  <c r="S32" i="20"/>
  <c r="AK32" i="20" s="1"/>
  <c r="G30" i="20"/>
  <c r="AT21" i="1"/>
  <c r="AK33" i="20" l="1"/>
  <c r="AL33" i="20" s="1"/>
  <c r="AT22" i="1"/>
  <c r="D32" i="20"/>
  <c r="AL32" i="20"/>
  <c r="AR24" i="1"/>
  <c r="AR27" i="1" s="1"/>
  <c r="D33" i="20" l="1"/>
  <c r="E33" i="20" s="1"/>
  <c r="S34" i="20"/>
  <c r="AK34" i="20" s="1"/>
  <c r="E32" i="20"/>
  <c r="G32" i="20" l="1"/>
  <c r="AL34" i="20"/>
  <c r="D34" i="20"/>
  <c r="AT23" i="1"/>
  <c r="AS24" i="1"/>
  <c r="S36" i="20" l="1"/>
  <c r="AK36" i="20" s="1"/>
  <c r="E34" i="20"/>
  <c r="AS26" i="1"/>
  <c r="AT26" i="1" s="1"/>
  <c r="AT24" i="1"/>
  <c r="S42" i="20" l="1"/>
  <c r="AS27" i="1"/>
  <c r="AT27" i="1"/>
  <c r="AT29" i="1" s="1"/>
  <c r="AL36" i="20"/>
  <c r="D36" i="20"/>
  <c r="G34" i="20"/>
  <c r="AK42" i="20" l="1"/>
  <c r="AL42" i="20" s="1"/>
  <c r="S43" i="20"/>
  <c r="S45" i="20" s="1"/>
  <c r="S47" i="20" s="1"/>
  <c r="P18" i="23" s="1"/>
  <c r="AM18" i="23" s="1"/>
  <c r="E36" i="20"/>
  <c r="AT30" i="1"/>
  <c r="D42" i="20" l="1"/>
  <c r="E42" i="20" s="1"/>
  <c r="F39" i="21"/>
  <c r="F19" i="21" l="1"/>
  <c r="D20" i="21"/>
  <c r="D30" i="21" s="1"/>
  <c r="D31" i="21" s="1"/>
  <c r="E42" i="21"/>
  <c r="F37" i="21"/>
  <c r="E20" i="21"/>
  <c r="E30" i="21" s="1"/>
  <c r="F18" i="21"/>
  <c r="E31" i="21" l="1"/>
  <c r="F31" i="21" s="1"/>
  <c r="F30" i="21"/>
  <c r="F20" i="21"/>
  <c r="AI37" i="20"/>
  <c r="D33" i="21"/>
  <c r="E33" i="21" l="1"/>
  <c r="F40" i="21"/>
  <c r="AI56" i="20" s="1"/>
  <c r="F38" i="21"/>
  <c r="AI43" i="20" l="1"/>
  <c r="D42" i="21"/>
  <c r="F33" i="21"/>
  <c r="AI55" i="20"/>
  <c r="F42" i="21"/>
  <c r="AI45" i="20" l="1"/>
  <c r="AI47" i="20" s="1"/>
  <c r="P38" i="23" s="1"/>
  <c r="AI58" i="20"/>
  <c r="AI60" i="20" s="1"/>
  <c r="AM38" i="23" l="1"/>
  <c r="AI49" i="20"/>
  <c r="AC27" i="1" l="1"/>
  <c r="AC14" i="1" l="1"/>
  <c r="AC20" i="1"/>
  <c r="AB22" i="1"/>
  <c r="AA29" i="1" l="1"/>
  <c r="AC28" i="1" l="1"/>
  <c r="AC29" i="1" s="1"/>
  <c r="AB29" i="1"/>
  <c r="P38" i="20" l="1"/>
  <c r="D38" i="20" l="1"/>
  <c r="AL38" i="20"/>
  <c r="E38" i="20" l="1"/>
  <c r="G38" i="20" l="1"/>
  <c r="AC16" i="1" l="1"/>
  <c r="AA18" i="1" l="1"/>
  <c r="AC21" i="1" l="1"/>
  <c r="AA22" i="1"/>
  <c r="AA24" i="1" s="1"/>
  <c r="AC15" i="1" l="1"/>
  <c r="AC22" i="1"/>
  <c r="AC31" i="1" l="1"/>
  <c r="P37" i="20" s="1"/>
  <c r="AC17" i="1" l="1"/>
  <c r="AB18" i="1"/>
  <c r="AB24" i="1" s="1"/>
  <c r="AC24" i="1" s="1"/>
  <c r="AC34" i="1" l="1"/>
  <c r="AC18" i="1"/>
  <c r="AC40" i="1" l="1"/>
  <c r="AC35" i="1"/>
  <c r="AL37" i="20"/>
  <c r="D37" i="20"/>
  <c r="P43" i="20" l="1"/>
  <c r="P45" i="20" s="1"/>
  <c r="P47" i="20" s="1"/>
  <c r="P15" i="23" s="1"/>
  <c r="AM15" i="23" s="1"/>
  <c r="AC36" i="1"/>
  <c r="E37" i="20"/>
  <c r="P55" i="20"/>
  <c r="G37" i="20" l="1"/>
  <c r="D55" i="20" l="1"/>
  <c r="P56" i="20" l="1"/>
  <c r="AC43" i="1"/>
  <c r="P58" i="20" l="1"/>
  <c r="P60" i="20" s="1"/>
  <c r="R15" i="23" l="1"/>
  <c r="P49" i="20"/>
  <c r="D56" i="20"/>
  <c r="AK58" i="20"/>
  <c r="AK60" i="20" s="1"/>
  <c r="D58" i="20" l="1"/>
  <c r="D60" i="20" s="1"/>
  <c r="AK49" i="20"/>
  <c r="D49" i="20" l="1"/>
  <c r="T17" i="1" l="1"/>
  <c r="T31" i="1" l="1"/>
  <c r="T21" i="1"/>
  <c r="N43" i="20" l="1"/>
  <c r="T34" i="1"/>
  <c r="N45" i="20" l="1"/>
  <c r="N47" i="20" s="1"/>
  <c r="P13" i="23" l="1"/>
  <c r="AM13" i="23" s="1"/>
  <c r="C59" i="20"/>
  <c r="E59" i="20" s="1"/>
  <c r="G59" i="20" s="1"/>
  <c r="AL59" i="20"/>
  <c r="C55" i="20" l="1"/>
  <c r="E55" i="20" s="1"/>
  <c r="G55" i="20" s="1"/>
  <c r="AL55" i="20"/>
  <c r="C56" i="20"/>
  <c r="E56" i="20" s="1"/>
  <c r="G56" i="20" s="1"/>
  <c r="AL56" i="20"/>
  <c r="AL57" i="20"/>
  <c r="C57" i="20"/>
  <c r="E57" i="20" s="1"/>
  <c r="G57" i="20" s="1"/>
  <c r="C54" i="20" l="1"/>
  <c r="J58" i="20"/>
  <c r="J60" i="20" s="1"/>
  <c r="AL54" i="20"/>
  <c r="AL58" i="20" s="1"/>
  <c r="AL60" i="20" s="1"/>
  <c r="W14" i="1" l="1"/>
  <c r="W16" i="1" s="1"/>
  <c r="X19" i="1" s="1"/>
  <c r="J49" i="20"/>
  <c r="K7" i="23" s="1"/>
  <c r="E54" i="20"/>
  <c r="C58" i="20"/>
  <c r="C60" i="20" s="1"/>
  <c r="R7" i="23" l="1"/>
  <c r="R35" i="23" s="1"/>
  <c r="R41" i="23" s="1"/>
  <c r="K35" i="23"/>
  <c r="K41" i="23" s="1"/>
  <c r="AJ16" i="23" s="1"/>
  <c r="G54" i="20"/>
  <c r="E58" i="20"/>
  <c r="E60" i="20" s="1"/>
  <c r="E14" i="22" s="1"/>
  <c r="X21" i="1"/>
  <c r="X23" i="1" s="1"/>
  <c r="C49" i="20"/>
  <c r="E49" i="20" s="1"/>
  <c r="G49" i="20" s="1"/>
  <c r="J51" i="20"/>
  <c r="C51" i="20" s="1"/>
  <c r="AL49" i="20"/>
  <c r="O43" i="20" l="1"/>
  <c r="AK43" i="20" s="1"/>
  <c r="X24" i="1"/>
  <c r="E17" i="22"/>
  <c r="G58" i="20"/>
  <c r="G60" i="20" s="1"/>
  <c r="W35" i="23" l="1"/>
  <c r="W41" i="23" s="1"/>
  <c r="O45" i="20"/>
  <c r="O47" i="20" s="1"/>
  <c r="D43" i="20" l="1"/>
  <c r="AL43" i="20"/>
  <c r="AL45" i="20" s="1"/>
  <c r="AL47" i="20" s="1"/>
  <c r="AK45" i="20"/>
  <c r="AK47" i="20" s="1"/>
  <c r="AL51" i="20" l="1"/>
  <c r="E43" i="20"/>
  <c r="D45" i="20"/>
  <c r="D47" i="20" s="1"/>
  <c r="E45" i="20" l="1"/>
  <c r="E47" i="20" s="1"/>
  <c r="E19" i="22" l="1"/>
  <c r="E51" i="20"/>
  <c r="E20" i="22" l="1"/>
  <c r="E23" i="22" s="1"/>
  <c r="F19" i="20" l="1"/>
  <c r="F42" i="20" l="1"/>
  <c r="G42" i="20" s="1"/>
  <c r="F36" i="20"/>
  <c r="G36" i="20" s="1"/>
  <c r="F33" i="20"/>
  <c r="F43" i="20"/>
  <c r="G43" i="20" s="1"/>
  <c r="I19" i="20"/>
  <c r="F16" i="20"/>
  <c r="I16" i="20" l="1"/>
  <c r="G16" i="20"/>
  <c r="G33" i="20"/>
  <c r="F45" i="20"/>
  <c r="F47" i="20" s="1"/>
  <c r="G45" i="20" l="1"/>
  <c r="G19" i="20"/>
  <c r="G47" i="20" l="1"/>
  <c r="G51" i="20" l="1"/>
  <c r="AI10" i="23" l="1"/>
  <c r="AH11" i="23" l="1"/>
  <c r="AH10" i="23" l="1"/>
  <c r="AJ11" i="23"/>
  <c r="AH12" i="23" l="1"/>
  <c r="AJ10" i="23"/>
  <c r="AJ12" i="23" l="1"/>
  <c r="AJ18" i="23" l="1"/>
  <c r="T38" i="23"/>
  <c r="T33" i="23"/>
  <c r="T11" i="23"/>
  <c r="AC13" i="23"/>
  <c r="T23" i="23"/>
  <c r="AC38" i="23"/>
  <c r="AC39" i="23"/>
  <c r="T16" i="23"/>
  <c r="AC21" i="23"/>
  <c r="AC32" i="23"/>
  <c r="T32" i="23"/>
  <c r="T25" i="23"/>
  <c r="T17" i="23"/>
  <c r="T27" i="23"/>
  <c r="T29" i="23"/>
  <c r="AC16" i="23"/>
  <c r="T19" i="23"/>
  <c r="T10" i="23"/>
  <c r="AC18" i="23"/>
  <c r="T31" i="23"/>
  <c r="AC28" i="23"/>
  <c r="AC15" i="23"/>
  <c r="AC10" i="23"/>
  <c r="T7" i="23"/>
  <c r="AC31" i="23"/>
  <c r="AC23" i="23"/>
  <c r="T20" i="23"/>
  <c r="T39" i="23"/>
  <c r="AC26" i="23"/>
  <c r="AC19" i="23"/>
  <c r="AC12" i="23"/>
  <c r="AC24" i="23"/>
  <c r="AC27" i="23"/>
  <c r="T13" i="23"/>
  <c r="T26" i="23"/>
  <c r="T15" i="23"/>
  <c r="AC11" i="23"/>
  <c r="M7" i="23"/>
  <c r="T21" i="23"/>
  <c r="T12" i="23"/>
  <c r="AC30" i="23"/>
  <c r="AC29" i="23"/>
  <c r="AC25" i="23"/>
  <c r="T30" i="23"/>
  <c r="T22" i="23"/>
  <c r="AC20" i="23"/>
  <c r="T18" i="23"/>
  <c r="AC22" i="23"/>
  <c r="T28" i="23"/>
  <c r="AC33" i="23"/>
  <c r="AC17" i="23"/>
  <c r="I24" i="23" l="1"/>
  <c r="P24" i="23" s="1"/>
  <c r="AM24" i="23" l="1"/>
  <c r="T24" i="23"/>
  <c r="I14" i="23" l="1"/>
  <c r="I35" i="23" l="1"/>
  <c r="Y14" i="23"/>
  <c r="Y35" i="23" l="1"/>
  <c r="Y41" i="23" s="1"/>
  <c r="AC41" i="23" s="1"/>
  <c r="AC14" i="23"/>
  <c r="P14" i="23"/>
  <c r="M35" i="23"/>
  <c r="I41" i="23"/>
  <c r="M41" i="23" s="1"/>
  <c r="T14" i="23" l="1"/>
  <c r="AM14" i="23"/>
  <c r="P35" i="23"/>
  <c r="AC35" i="23"/>
  <c r="AO31" i="23"/>
  <c r="AO39" i="23"/>
  <c r="T35" i="23" l="1"/>
  <c r="P41" i="23"/>
  <c r="T41" i="23" s="1"/>
  <c r="T43" i="23" s="1"/>
  <c r="M43" i="23" l="1"/>
</calcChain>
</file>

<file path=xl/sharedStrings.xml><?xml version="1.0" encoding="utf-8"?>
<sst xmlns="http://schemas.openxmlformats.org/spreadsheetml/2006/main" count="831" uniqueCount="483">
  <si>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</si>
  <si>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</si>
  <si>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</si>
  <si>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</si>
  <si>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</si>
  <si>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</si>
  <si>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</si>
  <si>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</si>
  <si>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</si>
  <si>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</si>
  <si>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</si>
  <si>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</si>
  <si>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</si>
  <si>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</si>
  <si>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</si>
  <si>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</si>
  <si>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</si>
  <si>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</si>
  <si>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</si>
  <si>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PUGET SOUND ENERGY-GAS</t>
  </si>
  <si>
    <t xml:space="preserve">PUGET SOUND ENERGY-GAS </t>
  </si>
  <si>
    <t>CONVERSION FACTOR</t>
  </si>
  <si>
    <t>RESULTS OF OPERATIONS</t>
  </si>
  <si>
    <t>LINE</t>
  </si>
  <si>
    <t>INCREASE</t>
  </si>
  <si>
    <t>ACTUAL RESULTS OF</t>
  </si>
  <si>
    <t xml:space="preserve">FEDERAL </t>
  </si>
  <si>
    <t>TAX BENEFIT OF</t>
  </si>
  <si>
    <t xml:space="preserve">BAD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</si>
  <si>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</si>
  <si>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</si>
  <si>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</si>
  <si>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</si>
  <si>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</si>
  <si>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</si>
  <si>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</si>
  <si>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</si>
  <si>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</si>
  <si>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</si>
  <si>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</si>
  <si>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</si>
  <si>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</si>
  <si>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</si>
  <si>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</si>
  <si>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</si>
  <si>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</si>
  <si>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</si>
  <si>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SALES</t>
  </si>
  <si>
    <t>INSURANCE</t>
  </si>
  <si>
    <t>PLAN</t>
  </si>
  <si>
    <t>EXPENSES</t>
  </si>
  <si>
    <t>RESULTS OF</t>
  </si>
  <si>
    <t>BASE</t>
  </si>
  <si>
    <t>RATE</t>
  </si>
  <si>
    <t>1</t>
  </si>
  <si>
    <t>-</t>
  </si>
  <si>
    <t>INCREASE (DECREASE) EXPENSE</t>
  </si>
  <si>
    <t>INCREASE(DECREASE) EXPENSE</t>
  </si>
  <si>
    <t>MUNICIPAL ADDITIONS</t>
  </si>
  <si>
    <t>INCREASE (DECREASE) FIT @</t>
  </si>
  <si>
    <t>PAYROLL TAXES ASSOC WITH MERIT PAY</t>
  </si>
  <si>
    <t>INCREASE(DECREASE) FIT @</t>
  </si>
  <si>
    <t>INCREASE(DECREASE) NOI</t>
  </si>
  <si>
    <t>INCREASE (DECREASE) NOI</t>
  </si>
  <si>
    <t>TRANSMISSION</t>
  </si>
  <si>
    <t>DISTRIBUTION</t>
  </si>
  <si>
    <t>CUSTOMER ACCTS</t>
  </si>
  <si>
    <t>CUSTOMER SERVICE</t>
  </si>
  <si>
    <t>ADMIN. &amp; GENERAL</t>
  </si>
  <si>
    <t>TOTAL WAGE INCREASE</t>
  </si>
  <si>
    <t>FEDERAL INCOME TAX</t>
  </si>
  <si>
    <t>OTHER POWER SUPPLY EXPENSES</t>
  </si>
  <si>
    <t xml:space="preserve">INCREASE(DECREASE) NOI </t>
  </si>
  <si>
    <t>COST OF</t>
  </si>
  <si>
    <t>COST %</t>
  </si>
  <si>
    <t>CAPITAL</t>
  </si>
  <si>
    <t>CUSTOMER ACCOUNT EXPENSES</t>
  </si>
  <si>
    <t xml:space="preserve">   </t>
  </si>
  <si>
    <t>AMORTIZATION OF PROPERTY LOSS</t>
  </si>
  <si>
    <t>CAPITAL %</t>
  </si>
  <si>
    <t>RATE BASE</t>
  </si>
  <si>
    <t>QUALIFIED RETIREMENT FUND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</si>
  <si>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</si>
  <si>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</si>
  <si>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</si>
  <si>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</si>
  <si>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</si>
  <si>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</si>
  <si>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</si>
  <si>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</si>
  <si>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INVESTMENT PLAN APPLICABLE TO MANAGEMENT</t>
  </si>
  <si>
    <t>TOTAL COMPANY CONTRIBUTION FOR MANAGEMENT</t>
  </si>
  <si>
    <t>PRO FORMA COSTS APPLICABLE TO OPERATIONS</t>
  </si>
  <si>
    <t xml:space="preserve">INCREASE (DECREASE) FIT @ </t>
  </si>
  <si>
    <t>WAGE</t>
  </si>
  <si>
    <t>RATE BASE:</t>
  </si>
  <si>
    <t xml:space="preserve">  ACCUMULATED DEPRECIATION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</si>
  <si>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</si>
  <si>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</si>
  <si>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</si>
  <si>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</si>
  <si>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</si>
  <si>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</si>
  <si>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</si>
  <si>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</si>
  <si>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</si>
  <si>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</si>
  <si>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</si>
  <si>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</si>
  <si>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INCREASE (DECREASE) FIT</t>
  </si>
  <si>
    <t>TAX BENEFIT OF PRO FORMA INTEREST</t>
  </si>
  <si>
    <t>BAD DEBTS</t>
  </si>
  <si>
    <t>WAGE INCREASE</t>
  </si>
  <si>
    <t>EMPLOYEE INSURANCE</t>
  </si>
  <si>
    <t>RATE CASE EXPENSES</t>
  </si>
  <si>
    <t>PROPERTY &amp; LIABILITY INSURANCE</t>
  </si>
  <si>
    <t>REVENUE &amp;</t>
  </si>
  <si>
    <t>PRO FORMA INTEREST</t>
  </si>
  <si>
    <t>PENSION PLAN</t>
  </si>
  <si>
    <t>PENSION</t>
  </si>
  <si>
    <t>GAS COSTS:</t>
  </si>
  <si>
    <t xml:space="preserve"> PURCHASED GAS</t>
  </si>
  <si>
    <t>PRO FORMA</t>
  </si>
  <si>
    <t>PRO FORMA COST OF CAPITAL</t>
  </si>
  <si>
    <t>PAYROLL TAXES</t>
  </si>
  <si>
    <t>@</t>
  </si>
  <si>
    <t>INCREASE (DECREASE) OPERATING EXPENSE</t>
  </si>
  <si>
    <t>Rate Increase</t>
  </si>
  <si>
    <t>DEPRECIATION</t>
  </si>
  <si>
    <t>PROFORMA BAD DEBT RATE</t>
  </si>
  <si>
    <t>PROFORMA BAD DEBTS</t>
  </si>
  <si>
    <t>UNCOLLECTIBLES CHARGED TO EXPENSE IN TEST YEAR</t>
  </si>
  <si>
    <t>INCENTIVE PAY</t>
  </si>
  <si>
    <t>OPERATING INCOME REQUIREMENT</t>
  </si>
  <si>
    <t>PRO FORMA OPERATING INCOME</t>
  </si>
  <si>
    <t>OPERATING INCOME DEFICIENCY</t>
  </si>
  <si>
    <t>NET</t>
  </si>
  <si>
    <t>GROSS</t>
  </si>
  <si>
    <t>WRITEOFFS</t>
  </si>
  <si>
    <t>REVENUES</t>
  </si>
  <si>
    <t>DEFERRED GAINS/</t>
  </si>
  <si>
    <t>LOSSES PROP SALES</t>
  </si>
  <si>
    <t>INCREASE (DECREASE) D&amp;O EXPENSE</t>
  </si>
  <si>
    <t>D&amp;O</t>
  </si>
  <si>
    <t xml:space="preserve">  OTHER</t>
  </si>
  <si>
    <t xml:space="preserve">  UTILITY PLANT IN SERVICE</t>
  </si>
  <si>
    <t>EXPENSES TO BE NORMALIZED:</t>
  </si>
  <si>
    <t>TOTAL INCREASE (DECREASE) EXPENSE</t>
  </si>
  <si>
    <t>INTEREST ON</t>
  </si>
  <si>
    <t>CUSTOMER DEPOSITS</t>
  </si>
  <si>
    <t>INTEREST ON CUSTOMER DEPOSITS</t>
  </si>
  <si>
    <t>DEFERRED GAINS/LOSSES ON PROPERTY SALES</t>
  </si>
  <si>
    <t>INCREASE (DECREASE) FIT @ 35%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</si>
  <si>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</si>
  <si>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</si>
  <si>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</si>
  <si>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</si>
  <si>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</si>
  <si>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</si>
  <si>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</si>
  <si>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</si>
  <si>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NET RATE BASE</t>
  </si>
  <si>
    <t>PROFORMA INTEREST</t>
  </si>
  <si>
    <t>INCOME TAXES</t>
  </si>
  <si>
    <t>TAXES OTHER THAN INCOME TAXES</t>
  </si>
  <si>
    <t>INCREASE (DECREASE) INCOME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</si>
  <si>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</si>
  <si>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</si>
  <si>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</si>
  <si>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</si>
  <si>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</si>
  <si>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</si>
  <si>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</si>
  <si>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</si>
  <si>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</si>
  <si>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</si>
  <si>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</si>
  <si>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</si>
  <si>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</si>
  <si>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</si>
  <si>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ADJUST REVENUE SENSITIVE ITEMS FOR REMOVAL OF REVENUE:</t>
  </si>
  <si>
    <t>PASS THROUGH REVENUE AND EXPENSE</t>
  </si>
  <si>
    <t>PASS THROUGH</t>
  </si>
  <si>
    <t>REVENUE &amp; EXPENSE</t>
  </si>
  <si>
    <t>SALES TO CUSTOMERS:</t>
  </si>
  <si>
    <t>OTHER ADJUSTMENTS</t>
  </si>
  <si>
    <t>TOTAL INCREASE (DECREASE) SALES TO CUSTOMERS</t>
  </si>
  <si>
    <t>TOTAL INCREASE (DECREASE) OTHER OPERATING REVENUE</t>
  </si>
  <si>
    <t>TOTAL INCREASE (DECREASE) REVENUES</t>
  </si>
  <si>
    <t>REVENUE AND EXPENSES</t>
  </si>
  <si>
    <t>OPERATING EXPENSES:</t>
  </si>
  <si>
    <t>PURCHASED GAS COSTS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</si>
  <si>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</si>
  <si>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</si>
  <si>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</si>
  <si>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</si>
  <si>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</si>
  <si>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INCREASE (DECREASE) IN OPERATING INCOME BEFORE TAXES</t>
  </si>
  <si>
    <t>OPERATING EXPENSES</t>
  </si>
  <si>
    <t>12 MOS ENDED</t>
  </si>
  <si>
    <t>TOTAL PURCHASE GAS COSTS</t>
  </si>
  <si>
    <t>SUM OF TAXES OTHER</t>
  </si>
  <si>
    <t>CONVERSION FACTOR EXCLUDING FEDERAL INCOME TAX ( 1 - LINE 5)</t>
  </si>
  <si>
    <t>FEDERAL INCOME TAX ( LINE 7 * 35%)</t>
  </si>
  <si>
    <t>TOTAL PROFORMA COSTS (LN 4 + LN 9 + LN 14 + LN 19)</t>
  </si>
  <si>
    <t>REVENUE REQUIREMENT DEFICIENCY</t>
  </si>
  <si>
    <t>CHARGED TO EXPENSE DURING TEST YEAR</t>
  </si>
  <si>
    <t xml:space="preserve">OTHER </t>
  </si>
  <si>
    <t>OPERATING</t>
  </si>
  <si>
    <t>NORMALIZE INJURIES AND DAMAGES</t>
  </si>
  <si>
    <t>ADJUSTMENT TO OPERATING EXPENSES</t>
  </si>
  <si>
    <t>ADJUSTMENT TO RATE BASE</t>
  </si>
  <si>
    <t>TOTAL  ADJUSTMENT TO RATEBASE</t>
  </si>
  <si>
    <t>RESTATED INSURANCE COSTS</t>
  </si>
  <si>
    <t>INCREASE/(DECREASE) IN EXPENSE</t>
  </si>
  <si>
    <t>AMORTIZATION OF DEFERRED NET GAIN FOR TEST YEAR</t>
  </si>
  <si>
    <t>PAY</t>
  </si>
  <si>
    <t>INCENTIVE</t>
  </si>
  <si>
    <t>LESS TEST YEAR EXPENSE</t>
  </si>
  <si>
    <r>
      <t xml:space="preserve">ANNUAL NORMALIZATION (LINE 3 </t>
    </r>
    <r>
      <rPr>
        <sz val="11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</si>
  <si>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t>MIGRATION ADJUSTMENT FOR SCHEDULE 41</t>
  </si>
  <si>
    <t xml:space="preserve">TOTAL DEFERRED NET GAIN TO AMORTIZE </t>
  </si>
  <si>
    <t>UNION EMPLOYEES</t>
  </si>
  <si>
    <t>APPLICABLE TO OPERATIONS @</t>
  </si>
  <si>
    <t>403 DEPRECIATION EXPENSE</t>
  </si>
  <si>
    <t>GENERAL RATE INCREASE</t>
  </si>
  <si>
    <t>TEST PERIOD REVENUES</t>
  </si>
  <si>
    <t>INTEREST EXPENSE AT MOST CURRENT INTEREST RATE</t>
  </si>
  <si>
    <t>ACCRUALS</t>
  </si>
  <si>
    <t>PAYMENTS IN EXCESS OF ACCRUALS</t>
  </si>
  <si>
    <t xml:space="preserve">  ACCUMULATED DEFERRED FIT</t>
  </si>
  <si>
    <t>D &amp; O INS. EXPENSE</t>
  </si>
  <si>
    <t>INCREASE (DECREASE) OPERATING  EXPENSE</t>
  </si>
  <si>
    <t>ASC 815</t>
  </si>
  <si>
    <t>3-YR AVERAGE OF NET WRITE OFF RATE</t>
  </si>
  <si>
    <t>ADD BACK:</t>
  </si>
  <si>
    <t xml:space="preserve">REMOVE SCH. 149 REVENUE </t>
  </si>
  <si>
    <t>REMOVE LOW INCOME RIDER - SCHEDULE 129</t>
  </si>
  <si>
    <t>REMOVE CONSERVATION TRACKER - SCHEDULE 120</t>
  </si>
  <si>
    <t>REMOVE PROPERTY TAX TRACKER - SCHEDULE 140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</si>
  <si>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</si>
  <si>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</si>
  <si>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</si>
  <si>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</si>
  <si>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REMOVE REVENUE ASSOC WITH PGA AMORTIZATION - SCH 106</t>
  </si>
  <si>
    <t>STUDY</t>
  </si>
  <si>
    <t>CURRENT FIT</t>
  </si>
  <si>
    <t>DEFERRED FIT</t>
  </si>
  <si>
    <t>TOTAL RESTATED FIT</t>
  </si>
  <si>
    <t>GENERAL RATE CASE</t>
  </si>
  <si>
    <t>TAXABLE INCOME (LOSS)  (NOTE 1)</t>
  </si>
  <si>
    <t>ENVIRONMENTAL REMEDIATION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</si>
  <si>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</si>
  <si>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PARTIES PAYMENTS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</si>
  <si>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</si>
  <si>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INCREASE (DECREASE) FIT @ 35% (LINE 11 X 35%)</t>
  </si>
  <si>
    <t>GAS ENVIRONMENTAL REMEDIATION</t>
  </si>
  <si>
    <t>TOTAL RATE YEAR AMORTIZATION GAS ENVIRONMENTAL (LINE 4 + LINE 9)</t>
  </si>
  <si>
    <t>ENVIRONMENTAL</t>
  </si>
  <si>
    <t>REMEDIATION</t>
  </si>
  <si>
    <t>INCENTIVE / MERIT PAY</t>
  </si>
  <si>
    <t>TOTAL INCENTIVE / MERIT PAY</t>
  </si>
  <si>
    <t>403 GAS DEPRECIATION EXPENSE</t>
  </si>
  <si>
    <t>403 GAS PORTION OF COMMON</t>
  </si>
  <si>
    <t>403 DEPR. EXP. ON ASSETS NOT INCLUDED IN STUDY</t>
  </si>
  <si>
    <t>SUBTOTAL DEPRECIATION EXPENSE 403</t>
  </si>
  <si>
    <t>SUBTOTAL DEPRECIATION EXPENSE 403.1</t>
  </si>
  <si>
    <t>TOTAL DEPRECIATION EXPENSE</t>
  </si>
  <si>
    <t>AMORTIZATION EXPENSE</t>
  </si>
  <si>
    <t>DEPRECIATION STUDY</t>
  </si>
  <si>
    <t>DEFERRED FIT - OTHER</t>
  </si>
  <si>
    <t>DEFERRED FIT - INV TAX CREDIT, NET OF AMORTIZATION</t>
  </si>
  <si>
    <t>FIT PER BOOKS:</t>
  </si>
  <si>
    <t>DEFERRED FIT DEBIT</t>
  </si>
  <si>
    <t>DEFERRED FIT- CREDIT</t>
  </si>
  <si>
    <t>TOTAL CHARGED TO EXPENSE</t>
  </si>
  <si>
    <t>INCREASE(DECREASE) FIT</t>
  </si>
  <si>
    <t>INCREASE(DECREASE) DEFERRED FIT</t>
  </si>
  <si>
    <t xml:space="preserve">INCREASE(DECREASE) ITC </t>
  </si>
  <si>
    <t>NON-UNION (INC. EXECUTIVES)</t>
  </si>
  <si>
    <t>ADJUSTMENT TO OPERATING REVENUES</t>
  </si>
  <si>
    <t>COST RECOVERY MECHANISM</t>
  </si>
  <si>
    <t>OTHER</t>
  </si>
  <si>
    <t>REMOVE SCHEDULE 141 EXPEDITED RATE FILING</t>
  </si>
  <si>
    <t>REMOVE SCHEDULE 142 DECOUPLING AND K-FACTOR</t>
  </si>
  <si>
    <t>REMOVE MERGER RATE CREDIT SCHEDULE 132</t>
  </si>
  <si>
    <t>ADJUST GAS COSTS FOR 2014 AND 2015 PGA RATE CHANGES</t>
  </si>
  <si>
    <t>REMOVE CARBON OFFSET AMORTIZATION EXP - SCHEDULE 137 (FERC 805)</t>
  </si>
  <si>
    <t>REMOVE CARBON OFFSET AMORTIZATION EXP - SCHEDULE 137 (FERC 908)</t>
  </si>
  <si>
    <t>SHORT &amp; LONG TERM DEBT</t>
  </si>
  <si>
    <t>EQUITY</t>
  </si>
  <si>
    <t>TOTAL COST OF CAPITAL</t>
  </si>
  <si>
    <t>AFTER TAX DEBT</t>
  </si>
  <si>
    <t>TOTAL AFTER TAX COST OF CAPITAL</t>
  </si>
  <si>
    <t>REMOVE OVEREARNINGS ACCRUALS</t>
  </si>
  <si>
    <t xml:space="preserve"> DAMAGES</t>
  </si>
  <si>
    <t>INJURIES &amp;</t>
  </si>
  <si>
    <t>RCVRY MECH</t>
  </si>
  <si>
    <t xml:space="preserve">COST </t>
  </si>
  <si>
    <t>FOR THE TWELVE MONTHS ENDED SEPTEMBER 30, 2016</t>
  </si>
  <si>
    <t>SOUTH KING SERVICE CENTER</t>
  </si>
  <si>
    <t>DEFERRED GAIN PENDING APPROVAL SINCE UG-111049</t>
  </si>
  <si>
    <t>DEFERRED LOSS PENDING APPROVAL SINCE UG-111049</t>
  </si>
  <si>
    <t>SOUTH KING SERVICE CENTER RATEBASE (AMA)</t>
  </si>
  <si>
    <t>UTILITY PLANT RATEBASE</t>
  </si>
  <si>
    <t xml:space="preserve">     DEFERRED FIT</t>
  </si>
  <si>
    <t>NET SOUTH KING RATEBASE</t>
  </si>
  <si>
    <t>OPERATING EXPENSE</t>
  </si>
  <si>
    <t xml:space="preserve">      DEPRECIATION EXPENSE</t>
  </si>
  <si>
    <t>SERVICE CENTER</t>
  </si>
  <si>
    <t xml:space="preserve">SOUTH KING  </t>
  </si>
  <si>
    <t>12ME Sept 30, 2016</t>
  </si>
  <si>
    <t>September</t>
  </si>
  <si>
    <t>May</t>
  </si>
  <si>
    <t>NORMALIZED TEST PERIOD REVENUES</t>
  </si>
  <si>
    <t>DEFERRED COSTS NET OF SITE SPECIFIC RECOVERIES AS OF SEPTEMBER 30. 2016</t>
  </si>
  <si>
    <t>SHARE OF DEFERRED UNASSIGNED RECOVERIES AS OF SEPTEMBER 30, 2016</t>
  </si>
  <si>
    <t>REMOVE PROPERTY TAX TRACKER-SCHEDULE 140, OTHER REVENUES</t>
  </si>
  <si>
    <t>ADD:  TEMPERATURE NORMALIZATION ADJUSTMENT</t>
  </si>
  <si>
    <t>MERGER RATE CREDIT SCHEDULE 132, RENTALS</t>
  </si>
  <si>
    <t>RESIDENTIAL (23)</t>
  </si>
  <si>
    <t>COMMERCIAL &amp; INDUSTRIAL (31)</t>
  </si>
  <si>
    <t>LARGE VOLUME (41)</t>
  </si>
  <si>
    <t>TRANSPORTATION -LARGE VOLUME (41T)</t>
  </si>
  <si>
    <t>TRANSPORTATION - GENERAL SERVICES (31T)</t>
  </si>
  <si>
    <t>INTERRUPTIBLE (85)</t>
  </si>
  <si>
    <t>TRASPORTATION INTERRUPTIBLE (85T)</t>
  </si>
  <si>
    <t>LIMITED INTERRUPTIBLE (86)</t>
  </si>
  <si>
    <t>TRANSPORTATION - LIMITED INTERRUPTIBLE (86T)</t>
  </si>
  <si>
    <t>NON EXCLUSIVE INTERRUPTIBLE (87)</t>
  </si>
  <si>
    <t>TRANSPORTATION - NON EXCLUSIVE INTERRUPT (87T)</t>
  </si>
  <si>
    <t>CONTRACTS</t>
  </si>
  <si>
    <t>ANNUALIZING PGA RATE CHANGES</t>
  </si>
  <si>
    <t>PlANT BALANCE -LEASEHOLD IMPROVEMENTS</t>
  </si>
  <si>
    <t xml:space="preserve">     ACCUMULATED AMORT ON LEASEHOLD</t>
  </si>
  <si>
    <t xml:space="preserve">      RENT</t>
  </si>
  <si>
    <t xml:space="preserve">      LEASEHOLD AMORT. EXPENSE EXPENSES</t>
  </si>
  <si>
    <t xml:space="preserve">     PLANT BALANCE BUILDING PURCHASE</t>
  </si>
  <si>
    <t xml:space="preserve">     ACCUMULATED DEPRECIATION ON BLG PURCH</t>
  </si>
  <si>
    <t xml:space="preserve">    ACC DEPR-NEW BLG-PORTION INC IN DEPR STUDY</t>
  </si>
  <si>
    <t xml:space="preserve">      DEPR EXP-PORTION INC DEP STUDY ADJ</t>
  </si>
  <si>
    <t>REMOVE LOW INCOME AMORTIZATION - SCHEDULE 129 (FERC 908)</t>
  </si>
  <si>
    <t>REMOVE CONSERVATION AMORTIZATION - SCHEDULE 120 (FERC 908)</t>
  </si>
  <si>
    <t>REMOVE PROPERTY TAX AMORTIZATION EXP - SCHEDULE 140 (FERC 4081)</t>
  </si>
  <si>
    <t>REMOVE PGA DEFERRAL AMORTIZATION EXP - SCHEDULE 106 (FERC 8051)</t>
  </si>
  <si>
    <t>REMOVE MUNICIPAL TAXES ASSOC WITH SALES TO CUSTOMERS (FERC 4081)</t>
  </si>
  <si>
    <t>PLANT</t>
  </si>
  <si>
    <t xml:space="preserve">RATE YEAR NON-UNION WAGE INCREASE </t>
  </si>
  <si>
    <t>NEW SERVICE AGREEMENT</t>
  </si>
  <si>
    <t xml:space="preserve">CUST REC &amp; COLLECTION EXPENSE </t>
  </si>
  <si>
    <t>INCREASE (DECREASE) IN EXPENSE</t>
  </si>
  <si>
    <t>DOCKET UE-160203 &amp; UG-160204 CREDIT CARD FEES</t>
  </si>
  <si>
    <t>ACCUM DEPRECIATION, CURRENT LEVEL</t>
  </si>
  <si>
    <t>A/D PORTION INCLUDED IN DEPRECIATION STUDY ADJ</t>
  </si>
  <si>
    <t>ADFIT PORTION INCLUDED IN DEPRECIATION STUDY ADJ</t>
  </si>
  <si>
    <t>PORTION INCLUDED IN DEPRECIATION STUDY ADJ</t>
  </si>
  <si>
    <t>AMORTIZATION OF DEFERRAL</t>
  </si>
  <si>
    <t>EXPECTED RATE YEAR LEVEL OF FEES</t>
  </si>
  <si>
    <t>NON-UNION EMPLOYEES</t>
  </si>
  <si>
    <t>ACCUMULATED DEFERRED INCOME TAXES</t>
  </si>
  <si>
    <t>WUTC FILING FEE</t>
  </si>
  <si>
    <t>EXCISE TAX</t>
  </si>
  <si>
    <t>EXCISE TAXES</t>
  </si>
  <si>
    <t>INCREASE(DECREASE) EXCISE AND WUTC FILING FEE</t>
  </si>
  <si>
    <t xml:space="preserve">INCREASE(DECREASE) OPERATING EXPENSE </t>
  </si>
  <si>
    <t>FILING FEE AND EXCISE TAX</t>
  </si>
  <si>
    <t>FOR TEST YEAR 9/30/16</t>
  </si>
  <si>
    <t>DEF TAX LIAB-PORT INC IN DEPR STUDY</t>
  </si>
  <si>
    <t>404 DEPR. EXP. ON ASSETS NOT INCLUDED IN STUDY</t>
  </si>
  <si>
    <t>403.1 DEPR. EXP- ASC 410 (RECOVERED IN RATES)</t>
  </si>
  <si>
    <t>403.1 DEPR. EXP - ASC 410 (NOT RECOVERED IN RATES)</t>
  </si>
  <si>
    <t>411.10 ACCRETION EXP. - ASC 410 (RECOVERED IN RATES)</t>
  </si>
  <si>
    <t>411.10 ACCRETION EXP. - ASC 410 (NOT RECOVERED IN RATES)</t>
  </si>
  <si>
    <t>SUBTOTAL ACCRETION EXPENSE 411.10</t>
  </si>
  <si>
    <t>DEPRECIATION EXPENSE 403 ASSOCIATED WITH FLEET</t>
  </si>
  <si>
    <t>REMOVE DECOUPLING AMORTIZATION</t>
  </si>
  <si>
    <t>REMOVE CURRENT/PRIOR PERIOD DECOUPLING DEFERRALS</t>
  </si>
  <si>
    <t>INCREASE(DECREASE) OPERATING EXPENSE (LINE 2)</t>
  </si>
  <si>
    <t>Adj. 07.01</t>
  </si>
  <si>
    <t>Exhibit No. ___(SEF-7)</t>
  </si>
  <si>
    <t xml:space="preserve"> ADJUSTED DEPRECIATION EXPENSE</t>
  </si>
  <si>
    <t>PAYMENT</t>
  </si>
  <si>
    <t>PROCESSING COSTS</t>
  </si>
  <si>
    <t>PAYMENT PROCESSING COSTS</t>
  </si>
  <si>
    <t>ESTIMATED 2009 AND 2011 GRC EXPENSES TO BE NORMALIZED</t>
  </si>
  <si>
    <t>WEIGHTED  AVERAGE COST OF DEBT</t>
  </si>
  <si>
    <t>ADJUSTMENT TO ACCUM. DEPREC. AT 50% DEPREC. EXPENSE LINE 21</t>
  </si>
  <si>
    <t>INCREASE/(DECREASE) IN OPERATING EXPENSE (LINE  3)</t>
  </si>
  <si>
    <t>DIRECTORS AND OFFICERS INSURANCE</t>
  </si>
  <si>
    <t>DEFERRED GAIN RECORDED FOR UG-111049,  at 12/31/2017</t>
  </si>
  <si>
    <t>DEFERRED LOSS RECORDED FOR UG-111049,  at 12/31/2017</t>
  </si>
  <si>
    <t>NET LOSS PENDING APPROVAL (LINE 5 + LINE 6)</t>
  </si>
  <si>
    <t>NET LOSS (LINE 3 + LINE 7)</t>
  </si>
  <si>
    <t>ANNUAL AMORTIZATION (LINE 9 ÷ 36 MONTHS) x 12</t>
  </si>
  <si>
    <t>INCREASE(DECREASE) OPERATING EXPENSE (LINES 3 &amp; 9)</t>
  </si>
  <si>
    <t>Page 1 of 1</t>
  </si>
  <si>
    <t>Parameters</t>
  </si>
  <si>
    <t xml:space="preserve">Rev. Req. </t>
  </si>
  <si>
    <t>Pre-Tax</t>
  </si>
  <si>
    <t xml:space="preserve">Adj. </t>
  </si>
  <si>
    <t xml:space="preserve">Net Oper. </t>
  </si>
  <si>
    <t xml:space="preserve">Def. / </t>
  </si>
  <si>
    <t>Revenue Conversion</t>
  </si>
  <si>
    <t>Line</t>
  </si>
  <si>
    <t xml:space="preserve">No. </t>
  </si>
  <si>
    <t>Description</t>
  </si>
  <si>
    <t>Income</t>
  </si>
  <si>
    <t>Rate Base</t>
  </si>
  <si>
    <t>(Suf.)</t>
  </si>
  <si>
    <t>Tax Rate</t>
  </si>
  <si>
    <t>Per Book Results (Y/E Sep. 30, 2016)</t>
  </si>
  <si>
    <t>Cost of Capital</t>
  </si>
  <si>
    <t>Capital</t>
  </si>
  <si>
    <t>Weighted</t>
  </si>
  <si>
    <t>Restating Adjustments:</t>
  </si>
  <si>
    <t>Component</t>
  </si>
  <si>
    <t>Structure</t>
  </si>
  <si>
    <t>Cost</t>
  </si>
  <si>
    <t>Total Debt</t>
  </si>
  <si>
    <t>Common</t>
  </si>
  <si>
    <t>Total</t>
  </si>
  <si>
    <t>Restated Results</t>
  </si>
  <si>
    <t>Pro Forma Adjustments</t>
  </si>
  <si>
    <t>Pro Forma Results</t>
  </si>
  <si>
    <t>IN-2</t>
  </si>
  <si>
    <t>Plant Held For Future Use</t>
  </si>
  <si>
    <t>IN-4</t>
  </si>
  <si>
    <t>Gas Revenue Requirement Summary ($000)</t>
  </si>
  <si>
    <t>Adj. IN-4</t>
  </si>
  <si>
    <t>PLANT HELD FOR FUTURE USE</t>
  </si>
  <si>
    <t>TEST PERIOD</t>
  </si>
  <si>
    <t>FERC 105 - PLANT HELD FOR FUTURE USE</t>
  </si>
  <si>
    <t>NET OPERATING LOSS CARRYFORWARD</t>
  </si>
  <si>
    <t>Adj. IN-2</t>
  </si>
  <si>
    <t>190.433-NET OPERATING LOSS CARRYFORWARD</t>
  </si>
  <si>
    <t>NWIGU Position</t>
  </si>
  <si>
    <t>NWIGU Neutral</t>
  </si>
  <si>
    <t>NWIGU Oppose</t>
  </si>
  <si>
    <t>NWIGU Proposed</t>
  </si>
  <si>
    <t>IN-5</t>
  </si>
  <si>
    <t>Greenwood Natural Gas Explosion</t>
  </si>
  <si>
    <t>GREENWOOD NATURAL GAS EXPLOSION</t>
  </si>
  <si>
    <t>NOL</t>
  </si>
  <si>
    <t>C/F</t>
  </si>
  <si>
    <t>PLANT HELD FOR</t>
  </si>
  <si>
    <t>FUTURE USE</t>
  </si>
  <si>
    <t xml:space="preserve">GREENWOOD </t>
  </si>
  <si>
    <t>EXPLOSION</t>
  </si>
  <si>
    <t>`</t>
  </si>
  <si>
    <t>NWIGU Updated</t>
  </si>
  <si>
    <t>Revenue &amp; Expenses</t>
  </si>
  <si>
    <t>Temperature Normalization</t>
  </si>
  <si>
    <t>Pass Through Revenue &amp; Expense</t>
  </si>
  <si>
    <t>Federal Income Tax</t>
  </si>
  <si>
    <t>Tax Benefit Of Pro Forma Interest</t>
  </si>
  <si>
    <t>Depreciation Study</t>
  </si>
  <si>
    <t>Injuries &amp; Damages</t>
  </si>
  <si>
    <t>Bad Debts</t>
  </si>
  <si>
    <t>Incentive Pay</t>
  </si>
  <si>
    <t>D&amp;O Insurance</t>
  </si>
  <si>
    <t>Interest On Customer Deposits</t>
  </si>
  <si>
    <t>Rate Case Expenses</t>
  </si>
  <si>
    <t>Deferred Gains/ Losses Prop Sales</t>
  </si>
  <si>
    <t>Property&amp; Liability Ins</t>
  </si>
  <si>
    <t>Pension Plan</t>
  </si>
  <si>
    <t>Wage Increase</t>
  </si>
  <si>
    <t>Investment Plan</t>
  </si>
  <si>
    <t>Employee Insurance</t>
  </si>
  <si>
    <t>Environmental Remediation</t>
  </si>
  <si>
    <t>Payment Processing Costs</t>
  </si>
  <si>
    <t>South King Service Center</t>
  </si>
  <si>
    <t>Cost Rcvry Mech</t>
  </si>
  <si>
    <t>WUTC Filing Fee Excise Tax</t>
  </si>
  <si>
    <t>Filed Rate Of Return</t>
  </si>
  <si>
    <t>Filed Rate Base</t>
  </si>
  <si>
    <t>Rate of Return Impact</t>
  </si>
  <si>
    <t>Pro Forma Net Operating Loss Carryfwd</t>
  </si>
  <si>
    <t>FERC 923, 880 - GREENWOOD NATURAL GAS EXPLOSION</t>
  </si>
  <si>
    <t>PRE-TAX EXPENSE</t>
  </si>
  <si>
    <t xml:space="preserve">ADJUSTED RESULTS DETAIL </t>
  </si>
  <si>
    <t xml:space="preserve">PUGET SOUND ENERGY - GAS REVENUE REQUIREMENT CALCULATIONS </t>
  </si>
  <si>
    <t>Company Filing @ ICNU Cost of Capital</t>
  </si>
  <si>
    <t>Impact of NWIGU Adjustments: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</si>
</sst>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;\(#,##0\)"/>
    <numFmt numFmtId="171" formatCode="yyyy"/>
    <numFmt numFmtId="172" formatCode="0."/>
    <numFmt numFmtId="173" formatCode=".0000000"/>
    <numFmt numFmtId="174" formatCode="&quot;$&quot;#,##0_);\(#,##0\)"/>
    <numFmt numFmtId="175" formatCode="#,##0.0_);\(#,##0.0\)"/>
    <numFmt numFmtId="176" formatCode="_(* #,##0_);_(* \(#,##0\);_(* &quot;-&quot;??_);_(@_)"/>
    <numFmt numFmtId="177" formatCode="_(&quot;$&quot;* #,##0_);_(&quot;$&quot;* \(#,##0\);_(&quot;$&quot;* &quot;-&quot;??_);_(@_)"/>
    <numFmt numFmtId="178" formatCode="_(* #,##0_);[Red]_(* \(#,##0\);_(* &quot;-&quot;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0.0000%"/>
    <numFmt numFmtId="182" formatCode="_(* #,##0.000000_);_(* \(#,##0.000000\);_(* &quot;-&quot;?????_);_(@_)"/>
    <numFmt numFmtId="183" formatCode="_(* #,##0.000000_);_(* \(#,##0.000000\);_(* &quot;-&quot;??????_);_(@_)"/>
    <numFmt numFmtId="184" formatCode="0.000000_);[Red]\(0.000000\)"/>
    <numFmt numFmtId="185" formatCode="#,##0.00000000;\(#,##0.00000000\)"/>
    <numFmt numFmtId="186" formatCode="#,##0.000000_);\(#,##0.000000\)"/>
    <numFmt numFmtId="187" formatCode="&quot;Adj.&quot;\ 0.00"/>
    <numFmt numFmtId="188" formatCode="0.000"/>
    <numFmt numFmtId="189" formatCode="_(* #,##0.00_);_(* \(#,##0.00\);_(* &quot;-&quot;_);_(@_)"/>
  </numFmts>
  <fonts count="31">
    <font>
      <sz val="8"/>
      <name val="Helv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Helv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Symbol"/>
      <family val="1"/>
      <charset val="2"/>
    </font>
    <font>
      <sz val="11"/>
      <color indexed="62"/>
      <name val="Calibri"/>
      <family val="2"/>
    </font>
    <font>
      <sz val="1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sz val="11"/>
      <color indexed="8"/>
      <name val="Calibri"/>
      <family val="2"/>
      <scheme val="minor"/>
    </font>
    <font>
      <sz val="8.8000000000000007"/>
      <name val="Symbol"/>
      <family val="1"/>
      <charset val="2"/>
    </font>
    <font>
      <sz val="8"/>
      <color rgb="FFFF0000"/>
      <name val="Times New Roman"/>
      <family val="1"/>
    </font>
    <font>
      <sz val="10"/>
      <name val="Geneva"/>
    </font>
    <font>
      <i/>
      <sz val="10"/>
      <name val="Times New Roman"/>
      <family val="1"/>
    </font>
    <font>
      <i/>
      <u/>
      <sz val="10"/>
      <name val="Times New Roman"/>
      <family val="1"/>
    </font>
    <font>
      <b/>
      <sz val="10"/>
      <color theme="1"/>
      <name val="Times New Roman"/>
      <family val="1"/>
    </font>
    <font>
      <b/>
      <u/>
      <sz val="10"/>
      <name val="Times New Roman"/>
      <family val="1"/>
    </font>
    <font>
      <sz val="10"/>
      <color theme="0" tint="-0.249977111117893"/>
      <name val="Times New Roman"/>
      <family val="1"/>
    </font>
    <font>
      <sz val="10"/>
      <color rgb="FF002F3A"/>
      <name val="Times New Roman"/>
      <family val="1"/>
    </font>
    <font>
      <sz val="10"/>
      <color rgb="FF005B70"/>
      <name val="Times New Roman"/>
      <family val="1"/>
    </font>
    <font>
      <i/>
      <sz val="10"/>
      <color rgb="FF005B70"/>
      <name val="Times New Roman"/>
      <family val="1"/>
    </font>
    <font>
      <b/>
      <sz val="10"/>
      <color rgb="FF005B7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169" fontId="0" fillId="0" borderId="0">
      <alignment horizontal="left" wrapText="1"/>
    </xf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86" fontId="5" fillId="0" borderId="0">
      <alignment horizontal="left" wrapText="1"/>
    </xf>
    <xf numFmtId="0" fontId="18" fillId="0" borderId="0"/>
    <xf numFmtId="169" fontId="5" fillId="0" borderId="0">
      <alignment horizontal="left" wrapText="1"/>
    </xf>
    <xf numFmtId="10" fontId="2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9" fontId="5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5" fillId="0" borderId="0">
      <alignment horizontal="left" wrapText="1"/>
    </xf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554">
    <xf numFmtId="0" fontId="0" fillId="0" borderId="0" xfId="0" applyNumberFormat="1" applyAlignment="1"/>
    <xf numFmtId="0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fill"/>
    </xf>
    <xf numFmtId="0" fontId="3" fillId="0" borderId="0" xfId="0" applyNumberFormat="1" applyFont="1" applyFill="1" applyAlignment="1">
      <alignment horizontal="centerContinuous"/>
    </xf>
    <xf numFmtId="10" fontId="2" fillId="0" borderId="0" xfId="0" applyNumberFormat="1" applyFont="1" applyFill="1" applyAlignment="1"/>
    <xf numFmtId="42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 applyProtection="1">
      <protection locked="0"/>
    </xf>
    <xf numFmtId="9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Alignment="1"/>
    <xf numFmtId="0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 applyProtection="1">
      <alignment horizontal="center"/>
      <protection locked="0"/>
    </xf>
    <xf numFmtId="42" fontId="2" fillId="0" borderId="0" xfId="0" applyNumberFormat="1" applyFont="1" applyFill="1" applyAlignment="1"/>
    <xf numFmtId="42" fontId="2" fillId="0" borderId="0" xfId="0" applyNumberFormat="1" applyFont="1" applyFill="1" applyAlignment="1"/>
    <xf numFmtId="42" fontId="2" fillId="0" borderId="0" xfId="0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/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0" fontId="3" fillId="0" borderId="3" xfId="0" applyNumberFormat="1" applyFont="1" applyFill="1" applyBorder="1" applyAlignment="1"/>
    <xf numFmtId="0" fontId="3" fillId="0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70" fontId="2" fillId="0" borderId="0" xfId="0" applyNumberFormat="1" applyFont="1" applyFill="1" applyAlignment="1">
      <alignment vertical="top"/>
    </xf>
    <xf numFmtId="17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Alignment="1" applyProtection="1">
      <alignment horizontal="center"/>
      <protection locked="0"/>
    </xf>
    <xf numFmtId="42" fontId="2" fillId="0" borderId="4" xfId="0" applyNumberFormat="1" applyFont="1" applyFill="1" applyBorder="1" applyAlignment="1" applyProtection="1">
      <protection locked="0"/>
    </xf>
    <xf numFmtId="42" fontId="2" fillId="0" borderId="4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3" xfId="0" applyNumberFormat="1" applyFont="1" applyFill="1" applyBorder="1" applyAlignment="1"/>
    <xf numFmtId="41" fontId="2" fillId="0" borderId="0" xfId="0" applyNumberFormat="1" applyFont="1" applyFill="1" applyAlignment="1">
      <alignment vertical="center"/>
    </xf>
    <xf numFmtId="42" fontId="2" fillId="0" borderId="0" xfId="0" applyNumberFormat="1" applyFont="1" applyFill="1" applyBorder="1" applyAlignment="1"/>
    <xf numFmtId="41" fontId="2" fillId="0" borderId="0" xfId="0" applyNumberFormat="1" applyFont="1" applyFill="1" applyAlignment="1" applyProtection="1">
      <protection locked="0"/>
    </xf>
    <xf numFmtId="0" fontId="3" fillId="0" borderId="0" xfId="0" quotePrefix="1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/>
    <xf numFmtId="0" fontId="2" fillId="0" borderId="0" xfId="0" applyNumberFormat="1" applyFont="1" applyFill="1" applyAlignment="1" applyProtection="1">
      <protection locked="0"/>
    </xf>
    <xf numFmtId="41" fontId="2" fillId="0" borderId="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/>
    <xf numFmtId="10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/>
    <xf numFmtId="170" fontId="2" fillId="0" borderId="0" xfId="0" applyNumberFormat="1" applyFont="1" applyFill="1" applyAlignment="1" applyProtection="1">
      <protection locked="0"/>
    </xf>
    <xf numFmtId="170" fontId="2" fillId="0" borderId="0" xfId="0" applyNumberFormat="1" applyFont="1" applyFill="1" applyAlignment="1" applyProtection="1">
      <alignment horizontal="center"/>
      <protection locked="0"/>
    </xf>
    <xf numFmtId="17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 vertical="top"/>
    </xf>
    <xf numFmtId="15" fontId="2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fill"/>
    </xf>
    <xf numFmtId="42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3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/>
    <xf numFmtId="41" fontId="2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3" fontId="3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/>
    <xf numFmtId="164" fontId="2" fillId="0" borderId="0" xfId="0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fill"/>
    </xf>
    <xf numFmtId="37" fontId="2" fillId="0" borderId="0" xfId="0" applyNumberFormat="1" applyFont="1" applyFill="1" applyAlignment="1"/>
    <xf numFmtId="37" fontId="2" fillId="0" borderId="3" xfId="0" applyNumberFormat="1" applyFont="1" applyFill="1" applyBorder="1" applyAlignment="1"/>
    <xf numFmtId="41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left" vertical="top"/>
    </xf>
    <xf numFmtId="42" fontId="2" fillId="0" borderId="0" xfId="0" applyNumberFormat="1" applyFont="1" applyFill="1" applyBorder="1" applyAlignment="1" applyProtection="1">
      <alignment vertical="top"/>
      <protection locked="0"/>
    </xf>
    <xf numFmtId="168" fontId="2" fillId="0" borderId="0" xfId="0" applyNumberFormat="1" applyFont="1" applyFill="1" applyBorder="1" applyAlignment="1"/>
    <xf numFmtId="170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/>
    <xf numFmtId="6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/>
    <xf numFmtId="17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 applyProtection="1">
      <protection locked="0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175" fontId="2" fillId="0" borderId="0" xfId="0" applyNumberFormat="1" applyFont="1" applyFill="1" applyBorder="1" applyAlignment="1"/>
    <xf numFmtId="7" fontId="2" fillId="0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centerContinuous"/>
    </xf>
    <xf numFmtId="174" fontId="2" fillId="0" borderId="0" xfId="0" applyNumberFormat="1" applyFont="1" applyFill="1" applyBorder="1" applyAlignment="1">
      <alignment horizontal="centerContinuous"/>
    </xf>
    <xf numFmtId="16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/>
    <xf numFmtId="174" fontId="2" fillId="0" borderId="0" xfId="0" applyNumberFormat="1" applyFont="1" applyFill="1" applyBorder="1" applyAlignment="1"/>
    <xf numFmtId="41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Alignment="1"/>
    <xf numFmtId="9" fontId="2" fillId="0" borderId="0" xfId="0" applyNumberFormat="1" applyFont="1" applyFill="1" applyAlignment="1">
      <alignment horizontal="left"/>
    </xf>
    <xf numFmtId="9" fontId="2" fillId="0" borderId="0" xfId="0" applyNumberFormat="1" applyFont="1" applyFill="1" applyBorder="1" applyAlignment="1" applyProtection="1">
      <alignment horizontal="left"/>
      <protection locked="0"/>
    </xf>
    <xf numFmtId="9" fontId="2" fillId="0" borderId="0" xfId="0" applyNumberFormat="1" applyFont="1" applyFill="1" applyAlignment="1"/>
    <xf numFmtId="10" fontId="2" fillId="0" borderId="0" xfId="0" applyNumberFormat="1" applyFont="1" applyFill="1" applyBorder="1" applyAlignment="1"/>
    <xf numFmtId="41" fontId="2" fillId="0" borderId="6" xfId="0" applyNumberFormat="1" applyFont="1" applyFill="1" applyBorder="1" applyAlignment="1">
      <alignment horizontal="right"/>
    </xf>
    <xf numFmtId="42" fontId="2" fillId="0" borderId="0" xfId="0" applyNumberFormat="1" applyFont="1" applyFill="1" applyAlignment="1">
      <alignment vertical="center"/>
    </xf>
    <xf numFmtId="0" fontId="3" fillId="0" borderId="0" xfId="0" quotePrefix="1" applyNumberFormat="1" applyFont="1" applyFill="1" applyBorder="1" applyAlignment="1">
      <alignment horizontal="centerContinuous"/>
    </xf>
    <xf numFmtId="177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3" fillId="0" borderId="0" xfId="0" applyNumberFormat="1" applyFont="1" applyFill="1" applyAlignment="1">
      <alignment horizontal="centerContinuous" vertical="center"/>
    </xf>
    <xf numFmtId="42" fontId="2" fillId="0" borderId="0" xfId="0" applyNumberFormat="1" applyFont="1" applyFill="1" applyAlignment="1">
      <alignment horizontal="right"/>
    </xf>
    <xf numFmtId="171" fontId="2" fillId="0" borderId="0" xfId="0" quotePrefix="1" applyNumberFormat="1" applyFont="1" applyFill="1" applyAlignment="1">
      <alignment horizontal="left"/>
    </xf>
    <xf numFmtId="17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/>
    <xf numFmtId="3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indent="2"/>
    </xf>
    <xf numFmtId="170" fontId="3" fillId="0" borderId="3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10" fontId="2" fillId="0" borderId="3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/>
    <xf numFmtId="0" fontId="3" fillId="0" borderId="3" xfId="0" quotePrefix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/>
    <xf numFmtId="41" fontId="2" fillId="0" borderId="4" xfId="0" applyNumberFormat="1" applyFont="1" applyFill="1" applyBorder="1" applyAlignment="1"/>
    <xf numFmtId="169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left"/>
    </xf>
    <xf numFmtId="169" fontId="3" fillId="0" borderId="0" xfId="0" applyFont="1" applyFill="1" applyAlignment="1"/>
    <xf numFmtId="169" fontId="2" fillId="0" borderId="0" xfId="0" applyFont="1" applyFill="1" applyAlignment="1"/>
    <xf numFmtId="169" fontId="3" fillId="0" borderId="0" xfId="0" applyFont="1" applyFill="1" applyAlignment="1">
      <alignment horizontal="right"/>
    </xf>
    <xf numFmtId="169" fontId="3" fillId="0" borderId="0" xfId="0" applyFont="1" applyFill="1" applyAlignment="1">
      <alignment horizontal="left"/>
    </xf>
    <xf numFmtId="169" fontId="3" fillId="0" borderId="0" xfId="0" applyFont="1" applyFill="1" applyAlignment="1" applyProtection="1">
      <alignment horizontal="centerContinuous"/>
      <protection locked="0"/>
    </xf>
    <xf numFmtId="169" fontId="3" fillId="0" borderId="0" xfId="0" applyFont="1" applyFill="1" applyAlignment="1">
      <alignment horizontal="centerContinuous"/>
    </xf>
    <xf numFmtId="169" fontId="3" fillId="0" borderId="0" xfId="0" applyFont="1" applyFill="1" applyBorder="1" applyAlignment="1">
      <alignment horizontal="centerContinuous"/>
    </xf>
    <xf numFmtId="169" fontId="3" fillId="0" borderId="0" xfId="0" applyFont="1" applyFill="1" applyAlignment="1" applyProtection="1">
      <alignment horizontal="left"/>
      <protection locked="0"/>
    </xf>
    <xf numFmtId="169" fontId="3" fillId="0" borderId="0" xfId="0" applyFont="1" applyFill="1" applyAlignment="1">
      <alignment horizontal="center"/>
    </xf>
    <xf numFmtId="169" fontId="3" fillId="0" borderId="3" xfId="0" applyFont="1" applyFill="1" applyBorder="1" applyAlignment="1">
      <alignment horizontal="center"/>
    </xf>
    <xf numFmtId="169" fontId="3" fillId="0" borderId="3" xfId="0" applyFont="1" applyFill="1" applyBorder="1" applyAlignment="1">
      <alignment horizontal="left"/>
    </xf>
    <xf numFmtId="169" fontId="2" fillId="0" borderId="0" xfId="0" applyFont="1" applyFill="1" applyAlignment="1">
      <alignment horizontal="fill"/>
    </xf>
    <xf numFmtId="42" fontId="2" fillId="0" borderId="0" xfId="0" applyNumberFormat="1" applyFont="1" applyFill="1" applyAlignment="1" applyProtection="1">
      <alignment horizontal="right"/>
      <protection locked="0"/>
    </xf>
    <xf numFmtId="170" fontId="2" fillId="0" borderId="4" xfId="0" applyNumberFormat="1" applyFont="1" applyFill="1" applyBorder="1" applyAlignment="1" applyProtection="1">
      <alignment horizontal="right"/>
      <protection locked="0"/>
    </xf>
    <xf numFmtId="169" fontId="2" fillId="0" borderId="0" xfId="0" applyFont="1" applyFill="1" applyAlignment="1">
      <alignment horizontal="right"/>
    </xf>
    <xf numFmtId="169" fontId="3" fillId="0" borderId="3" xfId="0" applyFont="1" applyFill="1" applyBorder="1" applyAlignment="1"/>
    <xf numFmtId="42" fontId="2" fillId="0" borderId="0" xfId="0" applyNumberFormat="1" applyFont="1" applyFill="1" applyBorder="1" applyProtection="1">
      <alignment horizontal="left" wrapText="1"/>
      <protection locked="0"/>
    </xf>
    <xf numFmtId="169" fontId="2" fillId="0" borderId="0" xfId="0" applyFont="1" applyFill="1" applyBorder="1" applyAlignment="1">
      <alignment horizontal="right"/>
    </xf>
    <xf numFmtId="0" fontId="2" fillId="0" borderId="0" xfId="0" applyNumberFormat="1" applyFont="1" applyFill="1">
      <alignment horizontal="left" wrapText="1"/>
    </xf>
    <xf numFmtId="0" fontId="2" fillId="0" borderId="0" xfId="0" applyNumberFormat="1" applyFont="1" applyFill="1" applyAlignment="1">
      <alignment horizontal="left" vertical="center" indent="2"/>
    </xf>
    <xf numFmtId="169" fontId="2" fillId="0" borderId="0" xfId="0" applyFont="1" applyFill="1" applyAlignment="1">
      <alignment vertical="center"/>
    </xf>
    <xf numFmtId="37" fontId="2" fillId="0" borderId="0" xfId="0" applyNumberFormat="1" applyFont="1" applyFill="1" applyBorder="1" applyProtection="1">
      <alignment horizontal="left" wrapText="1"/>
      <protection locked="0"/>
    </xf>
    <xf numFmtId="169" fontId="2" fillId="0" borderId="0" xfId="0" applyFont="1" applyFill="1" applyAlignment="1">
      <alignment vertical="top"/>
    </xf>
    <xf numFmtId="37" fontId="2" fillId="0" borderId="0" xfId="0" applyNumberFormat="1" applyFont="1" applyFill="1" applyBorder="1">
      <alignment horizontal="left" wrapText="1"/>
    </xf>
    <xf numFmtId="9" fontId="2" fillId="0" borderId="0" xfId="0" applyNumberFormat="1" applyFont="1" applyFill="1" applyBorder="1">
      <alignment horizontal="left" wrapText="1"/>
    </xf>
    <xf numFmtId="41" fontId="2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2" fontId="2" fillId="0" borderId="0" xfId="0" applyNumberFormat="1" applyFont="1" applyFill="1" applyAlignment="1" applyProtection="1"/>
    <xf numFmtId="41" fontId="2" fillId="0" borderId="0" xfId="0" applyNumberFormat="1" applyFont="1" applyFill="1" applyAlignment="1" applyProtection="1">
      <alignment horizontal="left"/>
    </xf>
    <xf numFmtId="179" fontId="2" fillId="0" borderId="0" xfId="0" applyNumberFormat="1" applyFont="1" applyFill="1" applyAlignment="1" applyProtection="1">
      <alignment horizontal="left"/>
    </xf>
    <xf numFmtId="41" fontId="2" fillId="0" borderId="0" xfId="0" applyNumberFormat="1" applyFont="1" applyFill="1" applyBorder="1" applyAlignment="1" applyProtection="1"/>
    <xf numFmtId="42" fontId="2" fillId="0" borderId="0" xfId="0" applyNumberFormat="1" applyFont="1" applyFill="1" applyBorder="1" applyAlignment="1" applyProtection="1"/>
    <xf numFmtId="178" fontId="2" fillId="0" borderId="0" xfId="0" applyNumberFormat="1" applyFont="1" applyFill="1" applyAlignment="1" applyProtection="1">
      <alignment horizontal="left"/>
    </xf>
    <xf numFmtId="10" fontId="2" fillId="0" borderId="0" xfId="0" applyNumberFormat="1" applyFont="1" applyFill="1" applyAlignment="1" applyProtection="1"/>
    <xf numFmtId="42" fontId="2" fillId="0" borderId="7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176" fontId="2" fillId="0" borderId="0" xfId="0" applyNumberFormat="1" applyFont="1" applyBorder="1" applyAlignment="1"/>
    <xf numFmtId="169" fontId="2" fillId="0" borderId="4" xfId="0" applyFont="1" applyFill="1" applyBorder="1" applyAlignment="1"/>
    <xf numFmtId="41" fontId="2" fillId="0" borderId="0" xfId="0" applyNumberFormat="1" applyFont="1" applyFill="1" applyAlignment="1">
      <alignment horizontal="left" vertical="top"/>
    </xf>
    <xf numFmtId="169" fontId="2" fillId="0" borderId="0" xfId="0" applyFont="1" applyFill="1" applyAlignment="1">
      <alignment horizontal="center"/>
    </xf>
    <xf numFmtId="169" fontId="2" fillId="0" borderId="0" xfId="0" applyFont="1" applyFill="1">
      <alignment horizontal="left" wrapText="1"/>
    </xf>
    <xf numFmtId="170" fontId="2" fillId="0" borderId="0" xfId="0" applyNumberFormat="1" applyFont="1" applyFill="1">
      <alignment horizontal="left" wrapText="1"/>
    </xf>
    <xf numFmtId="15" fontId="2" fillId="0" borderId="0" xfId="0" applyNumberFormat="1" applyFont="1" applyFill="1">
      <alignment horizontal="left" wrapText="1"/>
    </xf>
    <xf numFmtId="169" fontId="2" fillId="0" borderId="0" xfId="0" applyFont="1" applyFill="1" applyAlignment="1">
      <alignment horizontal="left" vertical="center"/>
    </xf>
    <xf numFmtId="169" fontId="2" fillId="0" borderId="0" xfId="0" applyFont="1" applyFill="1" applyAlignment="1">
      <alignment horizontal="center" vertical="center"/>
    </xf>
    <xf numFmtId="169" fontId="2" fillId="0" borderId="4" xfId="0" applyFont="1" applyFill="1" applyBorder="1">
      <alignment horizontal="left" wrapText="1"/>
    </xf>
    <xf numFmtId="37" fontId="2" fillId="0" borderId="4" xfId="0" applyNumberFormat="1" applyFont="1" applyFill="1" applyBorder="1" applyAlignment="1">
      <alignment vertical="top"/>
    </xf>
    <xf numFmtId="1" fontId="3" fillId="2" borderId="0" xfId="0" applyNumberFormat="1" applyFont="1" applyFill="1" applyAlignment="1"/>
    <xf numFmtId="169" fontId="3" fillId="0" borderId="0" xfId="0" applyFont="1" applyFill="1" applyBorder="1" applyAlignment="1">
      <alignment horizontal="center"/>
    </xf>
    <xf numFmtId="169" fontId="2" fillId="0" borderId="0" xfId="0" applyFont="1" applyFill="1" applyBorder="1" applyAlignment="1">
      <alignment horizontal="left"/>
    </xf>
    <xf numFmtId="169" fontId="3" fillId="0" borderId="0" xfId="0" applyFont="1" applyFill="1">
      <alignment horizontal="left" wrapText="1"/>
    </xf>
    <xf numFmtId="42" fontId="2" fillId="0" borderId="7" xfId="0" applyNumberFormat="1" applyFont="1" applyFill="1" applyBorder="1" applyProtection="1">
      <alignment horizontal="left" wrapText="1"/>
      <protection locked="0"/>
    </xf>
    <xf numFmtId="177" fontId="2" fillId="0" borderId="2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>
      <alignment horizontal="right"/>
    </xf>
    <xf numFmtId="169" fontId="2" fillId="0" borderId="0" xfId="0" quotePrefix="1" applyFont="1" applyFill="1" applyAlignment="1">
      <alignment horizontal="center"/>
    </xf>
    <xf numFmtId="169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69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/>
    <xf numFmtId="42" fontId="2" fillId="0" borderId="0" xfId="0" applyNumberFormat="1" applyFont="1" applyFill="1" applyAlignment="1"/>
    <xf numFmtId="37" fontId="2" fillId="0" borderId="0" xfId="0" applyNumberFormat="1" applyFont="1" applyFill="1" applyBorder="1" applyAlignment="1"/>
    <xf numFmtId="169" fontId="2" fillId="0" borderId="0" xfId="0" quotePrefix="1" applyFont="1" applyFill="1" applyAlignment="1">
      <alignment horizontal="left"/>
    </xf>
    <xf numFmtId="169" fontId="4" fillId="0" borderId="0" xfId="0" applyFont="1" applyFill="1" applyAlignment="1">
      <alignment horizontal="center"/>
    </xf>
    <xf numFmtId="169" fontId="2" fillId="0" borderId="0" xfId="0" applyFont="1" applyFill="1" applyBorder="1" applyAlignment="1"/>
    <xf numFmtId="37" fontId="2" fillId="0" borderId="0" xfId="0" applyNumberFormat="1" applyFont="1" applyAlignment="1">
      <alignment horizontal="right"/>
    </xf>
    <xf numFmtId="169" fontId="3" fillId="0" borderId="0" xfId="0" applyFont="1" applyFill="1" applyAlignment="1" applyProtection="1">
      <alignment horizontal="center"/>
      <protection locked="0"/>
    </xf>
    <xf numFmtId="18" fontId="3" fillId="0" borderId="0" xfId="0" applyNumberFormat="1" applyFont="1" applyFill="1">
      <alignment horizontal="left" wrapText="1"/>
    </xf>
    <xf numFmtId="169" fontId="3" fillId="0" borderId="0" xfId="0" applyFont="1" applyFill="1" applyProtection="1">
      <alignment horizontal="left" wrapText="1"/>
      <protection locked="0"/>
    </xf>
    <xf numFmtId="169" fontId="3" fillId="0" borderId="3" xfId="0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Alignment="1"/>
    <xf numFmtId="169" fontId="2" fillId="0" borderId="0" xfId="0" applyFont="1" applyFill="1" applyBorder="1" applyAlignment="1">
      <alignment horizontal="left" indent="1"/>
    </xf>
    <xf numFmtId="169" fontId="2" fillId="0" borderId="0" xfId="0" applyFont="1" applyFill="1" applyAlignment="1">
      <alignment horizontal="left" indent="2"/>
    </xf>
    <xf numFmtId="37" fontId="2" fillId="0" borderId="4" xfId="0" applyNumberFormat="1" applyFont="1" applyFill="1" applyBorder="1" applyAlignment="1"/>
    <xf numFmtId="169" fontId="11" fillId="0" borderId="3" xfId="0" applyFont="1" applyFill="1" applyBorder="1" applyAlignment="1">
      <alignment horizontal="centerContinuous"/>
    </xf>
    <xf numFmtId="9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 applyProtection="1">
      <alignment horizontal="center"/>
      <protection locked="0"/>
    </xf>
    <xf numFmtId="169" fontId="4" fillId="0" borderId="0" xfId="0" applyFont="1" applyFill="1" applyAlignment="1">
      <alignment horizontal="left"/>
    </xf>
    <xf numFmtId="170" fontId="4" fillId="0" borderId="0" xfId="0" applyNumberFormat="1" applyFont="1" applyFill="1" applyBorder="1" applyAlignment="1" applyProtection="1">
      <protection locked="0"/>
    </xf>
    <xf numFmtId="170" fontId="2" fillId="0" borderId="4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 applyProtection="1">
      <protection locked="0"/>
    </xf>
    <xf numFmtId="44" fontId="2" fillId="0" borderId="0" xfId="0" applyNumberFormat="1" applyFont="1" applyFill="1" applyAlignment="1"/>
    <xf numFmtId="9" fontId="2" fillId="0" borderId="0" xfId="0" applyNumberFormat="1" applyFont="1" applyFill="1" applyAlignment="1"/>
    <xf numFmtId="177" fontId="2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Continuous"/>
      <protection locked="0"/>
    </xf>
    <xf numFmtId="177" fontId="2" fillId="0" borderId="7" xfId="0" applyNumberFormat="1" applyFont="1" applyFill="1" applyBorder="1" applyAlignment="1"/>
    <xf numFmtId="42" fontId="2" fillId="0" borderId="0" xfId="0" applyNumberFormat="1" applyFont="1" applyFill="1" applyAlignment="1" applyProtection="1">
      <protection locked="0"/>
    </xf>
    <xf numFmtId="42" fontId="2" fillId="0" borderId="1" xfId="0" applyNumberFormat="1" applyFont="1" applyFill="1" applyBorder="1" applyAlignment="1" applyProtection="1">
      <protection locked="0"/>
    </xf>
    <xf numFmtId="169" fontId="2" fillId="0" borderId="0" xfId="0" applyFont="1" applyFill="1" applyAlignment="1"/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9" fontId="2" fillId="0" borderId="0" xfId="0" applyNumberFormat="1" applyFont="1" applyFill="1" applyAlignment="1">
      <alignment horizontal="right"/>
    </xf>
    <xf numFmtId="169" fontId="2" fillId="0" borderId="0" xfId="0" applyFont="1" applyFill="1" applyBorder="1">
      <alignment horizontal="left" wrapText="1"/>
    </xf>
    <xf numFmtId="0" fontId="2" fillId="0" borderId="0" xfId="0" applyNumberFormat="1" applyFont="1" applyFill="1" applyAlignment="1" applyProtection="1">
      <alignment horizontal="left" indent="1"/>
      <protection locked="0"/>
    </xf>
    <xf numFmtId="182" fontId="2" fillId="0" borderId="0" xfId="0" applyNumberFormat="1" applyFont="1" applyFill="1" applyAlignment="1"/>
    <xf numFmtId="182" fontId="2" fillId="0" borderId="4" xfId="0" applyNumberFormat="1" applyFont="1" applyFill="1" applyBorder="1" applyAlignment="1"/>
    <xf numFmtId="182" fontId="2" fillId="0" borderId="0" xfId="0" applyNumberFormat="1" applyFont="1" applyFill="1" applyBorder="1" applyAlignment="1"/>
    <xf numFmtId="181" fontId="2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/>
    <xf numFmtId="169" fontId="2" fillId="0" borderId="0" xfId="0" applyNumberFormat="1" applyFont="1" applyFill="1" applyAlignment="1">
      <alignment horizontal="left" indent="1"/>
    </xf>
    <xf numFmtId="169" fontId="2" fillId="0" borderId="0" xfId="0" applyNumberFormat="1" applyFont="1" applyFill="1" applyAlignment="1">
      <alignment horizontal="left"/>
    </xf>
    <xf numFmtId="42" fontId="2" fillId="0" borderId="1" xfId="0" applyNumberFormat="1" applyFont="1" applyFill="1" applyBorder="1" applyAlignment="1">
      <alignment horizontal="right"/>
    </xf>
    <xf numFmtId="182" fontId="2" fillId="0" borderId="0" xfId="0" applyNumberFormat="1" applyFont="1" applyFill="1" applyAlignment="1"/>
    <xf numFmtId="166" fontId="2" fillId="0" borderId="0" xfId="0" applyNumberFormat="1" applyFont="1" applyFill="1" applyAlignment="1"/>
    <xf numFmtId="183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Continuous"/>
    </xf>
    <xf numFmtId="169" fontId="10" fillId="0" borderId="0" xfId="0" applyFont="1" applyFill="1" applyBorder="1" applyAlignment="1">
      <alignment horizontal="center"/>
    </xf>
    <xf numFmtId="169" fontId="4" fillId="0" borderId="0" xfId="0" applyFont="1" applyFill="1" applyAlignment="1"/>
    <xf numFmtId="169" fontId="2" fillId="0" borderId="3" xfId="0" applyFont="1" applyFill="1" applyBorder="1" applyAlignment="1">
      <alignment horizontal="left"/>
    </xf>
    <xf numFmtId="169" fontId="2" fillId="0" borderId="3" xfId="0" applyFont="1" applyFill="1" applyBorder="1" applyAlignment="1">
      <alignment horizontal="left" vertical="top"/>
    </xf>
    <xf numFmtId="41" fontId="10" fillId="0" borderId="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right" wrapText="1"/>
    </xf>
    <xf numFmtId="184" fontId="2" fillId="0" borderId="0" xfId="0" applyNumberFormat="1" applyFont="1" applyFill="1" applyAlignment="1"/>
    <xf numFmtId="42" fontId="2" fillId="0" borderId="0" xfId="0" applyNumberFormat="1" applyFont="1" applyFill="1" applyAlignment="1" applyProtection="1">
      <alignment vertical="center"/>
      <protection locked="0"/>
    </xf>
    <xf numFmtId="5" fontId="2" fillId="0" borderId="2" xfId="0" applyNumberFormat="1" applyFont="1" applyFill="1" applyBorder="1" applyAlignment="1"/>
    <xf numFmtId="41" fontId="2" fillId="0" borderId="3" xfId="0" applyNumberFormat="1" applyFont="1" applyFill="1" applyBorder="1" applyAlignment="1" applyProtection="1">
      <protection locked="0"/>
    </xf>
    <xf numFmtId="5" fontId="2" fillId="0" borderId="0" xfId="0" applyNumberFormat="1" applyFont="1" applyFill="1" applyAlignment="1"/>
    <xf numFmtId="42" fontId="2" fillId="0" borderId="0" xfId="0" applyNumberFormat="1" applyFont="1" applyFill="1" applyBorder="1" applyAlignment="1" applyProtection="1">
      <alignment horizontal="right"/>
      <protection locked="0"/>
    </xf>
    <xf numFmtId="10" fontId="2" fillId="0" borderId="3" xfId="0" applyNumberFormat="1" applyFont="1" applyFill="1" applyBorder="1" applyAlignment="1">
      <alignment horizontal="right"/>
    </xf>
    <xf numFmtId="42" fontId="2" fillId="0" borderId="2" xfId="0" applyNumberFormat="1" applyFont="1" applyFill="1" applyBorder="1" applyAlignment="1">
      <alignment horizontal="right"/>
    </xf>
    <xf numFmtId="6" fontId="2" fillId="0" borderId="4" xfId="0" applyNumberFormat="1" applyFont="1" applyFill="1" applyBorder="1" applyAlignment="1" applyProtection="1">
      <protection locked="0"/>
    </xf>
    <xf numFmtId="42" fontId="2" fillId="0" borderId="0" xfId="0" applyNumberFormat="1" applyFont="1" applyAlignment="1" applyProtection="1">
      <alignment horizontal="right"/>
      <protection locked="0"/>
    </xf>
    <xf numFmtId="6" fontId="2" fillId="0" borderId="0" xfId="0" applyNumberFormat="1" applyFont="1" applyFill="1" applyAlignment="1"/>
    <xf numFmtId="10" fontId="2" fillId="0" borderId="0" xfId="0" applyNumberFormat="1" applyFont="1" applyFill="1" applyAlignment="1"/>
    <xf numFmtId="1" fontId="2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176" fontId="2" fillId="0" borderId="4" xfId="0" applyNumberFormat="1" applyFont="1" applyFill="1" applyBorder="1" applyAlignment="1"/>
    <xf numFmtId="165" fontId="10" fillId="0" borderId="8" xfId="0" applyNumberFormat="1" applyFont="1" applyFill="1" applyBorder="1" applyAlignment="1"/>
    <xf numFmtId="165" fontId="10" fillId="0" borderId="8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 applyProtection="1">
      <protection locked="0"/>
    </xf>
    <xf numFmtId="165" fontId="10" fillId="0" borderId="9" xfId="0" applyNumberFormat="1" applyFont="1" applyFill="1" applyBorder="1" applyAlignment="1" applyProtection="1">
      <protection locked="0"/>
    </xf>
    <xf numFmtId="182" fontId="2" fillId="0" borderId="0" xfId="0" applyNumberFormat="1" applyFont="1" applyFill="1" applyBorder="1" applyAlignment="1" applyProtection="1">
      <protection locked="0"/>
    </xf>
    <xf numFmtId="42" fontId="2" fillId="0" borderId="7" xfId="0" applyNumberFormat="1" applyFont="1" applyFill="1" applyBorder="1" applyAlignment="1" applyProtection="1">
      <alignment vertical="top"/>
    </xf>
    <xf numFmtId="176" fontId="2" fillId="0" borderId="0" xfId="0" applyNumberFormat="1" applyFont="1" applyFill="1" applyBorder="1" applyAlignment="1"/>
    <xf numFmtId="3" fontId="13" fillId="0" borderId="0" xfId="0" applyNumberFormat="1" applyFont="1" applyFill="1" applyAlignment="1"/>
    <xf numFmtId="3" fontId="2" fillId="0" borderId="0" xfId="0" applyNumberFormat="1" applyFont="1" applyFill="1" applyAlignment="1">
      <alignment vertical="top"/>
    </xf>
    <xf numFmtId="6" fontId="2" fillId="0" borderId="0" xfId="0" applyNumberFormat="1" applyFont="1" applyFill="1" applyBorder="1" applyAlignment="1"/>
    <xf numFmtId="6" fontId="2" fillId="0" borderId="4" xfId="0" applyNumberFormat="1" applyFont="1" applyFill="1" applyBorder="1" applyAlignment="1"/>
    <xf numFmtId="176" fontId="14" fillId="0" borderId="0" xfId="0" applyNumberFormat="1" applyFont="1" applyFill="1" applyAlignment="1"/>
    <xf numFmtId="169" fontId="2" fillId="0" borderId="0" xfId="0" applyFont="1" applyFill="1" applyAlignment="1">
      <alignment horizontal="left"/>
    </xf>
    <xf numFmtId="42" fontId="2" fillId="0" borderId="7" xfId="0" applyNumberFormat="1" applyFont="1" applyFill="1" applyBorder="1" applyAlignment="1"/>
    <xf numFmtId="5" fontId="2" fillId="0" borderId="0" xfId="0" applyNumberFormat="1" applyFont="1" applyFill="1" applyBorder="1" applyAlignment="1"/>
    <xf numFmtId="169" fontId="3" fillId="0" borderId="0" xfId="0" applyFont="1" applyFill="1" applyBorder="1" applyAlignment="1">
      <alignment horizontal="right"/>
    </xf>
    <xf numFmtId="22" fontId="2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left"/>
    </xf>
    <xf numFmtId="181" fontId="2" fillId="0" borderId="3" xfId="0" applyNumberFormat="1" applyFont="1" applyFill="1" applyBorder="1" applyAlignment="1"/>
    <xf numFmtId="181" fontId="2" fillId="0" borderId="0" xfId="0" applyNumberFormat="1" applyFont="1" applyFill="1" applyAlignment="1"/>
    <xf numFmtId="42" fontId="2" fillId="0" borderId="7" xfId="0" applyNumberFormat="1" applyFont="1" applyFill="1" applyBorder="1" applyAlignment="1">
      <alignment horizontal="right"/>
    </xf>
    <xf numFmtId="42" fontId="2" fillId="0" borderId="7" xfId="0" applyNumberFormat="1" applyFont="1" applyFill="1" applyBorder="1" applyAlignment="1" applyProtection="1">
      <protection locked="0"/>
    </xf>
    <xf numFmtId="42" fontId="2" fillId="0" borderId="7" xfId="0" applyNumberFormat="1" applyFont="1" applyFill="1" applyBorder="1" applyAlignment="1" applyProtection="1">
      <protection locked="0"/>
    </xf>
    <xf numFmtId="42" fontId="2" fillId="0" borderId="3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/>
    <xf numFmtId="42" fontId="2" fillId="0" borderId="4" xfId="0" applyNumberFormat="1" applyFont="1" applyFill="1" applyBorder="1" applyAlignment="1"/>
    <xf numFmtId="44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Alignment="1"/>
    <xf numFmtId="42" fontId="2" fillId="0" borderId="3" xfId="0" applyNumberFormat="1" applyFont="1" applyFill="1" applyBorder="1" applyAlignment="1"/>
    <xf numFmtId="42" fontId="2" fillId="0" borderId="0" xfId="0" applyNumberFormat="1" applyFont="1" applyFill="1" applyBorder="1" applyAlignment="1"/>
    <xf numFmtId="42" fontId="2" fillId="0" borderId="3" xfId="0" applyNumberFormat="1" applyFont="1" applyFill="1" applyBorder="1" applyAlignment="1"/>
    <xf numFmtId="42" fontId="2" fillId="0" borderId="3" xfId="0" applyNumberFormat="1" applyFont="1" applyFill="1" applyBorder="1" applyAlignment="1" applyProtection="1">
      <protection locked="0"/>
    </xf>
    <xf numFmtId="177" fontId="2" fillId="0" borderId="3" xfId="0" applyNumberFormat="1" applyFont="1" applyFill="1" applyBorder="1" applyAlignment="1" applyProtection="1">
      <protection locked="0"/>
    </xf>
    <xf numFmtId="5" fontId="2" fillId="0" borderId="3" xfId="0" applyNumberFormat="1" applyFont="1" applyFill="1" applyBorder="1" applyAlignment="1"/>
    <xf numFmtId="42" fontId="2" fillId="0" borderId="2" xfId="0" applyNumberFormat="1" applyFont="1" applyFill="1" applyBorder="1" applyAlignment="1" applyProtection="1">
      <protection locked="0"/>
    </xf>
    <xf numFmtId="42" fontId="2" fillId="0" borderId="2" xfId="0" applyNumberFormat="1" applyFont="1" applyFill="1" applyBorder="1" applyAlignment="1"/>
    <xf numFmtId="0" fontId="15" fillId="0" borderId="0" xfId="0" applyNumberFormat="1" applyFont="1" applyFill="1" applyAlignment="1"/>
    <xf numFmtId="0" fontId="16" fillId="0" borderId="0" xfId="0" applyNumberFormat="1" applyFont="1" applyFill="1" applyAlignment="1">
      <alignment horizontal="right"/>
    </xf>
    <xf numFmtId="14" fontId="17" fillId="0" borderId="0" xfId="0" applyNumberFormat="1" applyFont="1" applyFill="1" applyAlignment="1">
      <alignment horizontal="left"/>
    </xf>
    <xf numFmtId="169" fontId="16" fillId="0" borderId="0" xfId="0" applyFont="1" applyFill="1" applyAlignment="1">
      <alignment horizontal="right"/>
    </xf>
    <xf numFmtId="169" fontId="2" fillId="0" borderId="0" xfId="0" applyNumberFormat="1" applyFont="1" applyFill="1" applyBorder="1" applyAlignment="1"/>
    <xf numFmtId="17" fontId="2" fillId="0" borderId="0" xfId="0" applyNumberFormat="1" applyFont="1" applyFill="1" applyAlignment="1">
      <alignment horizontal="center"/>
    </xf>
    <xf numFmtId="182" fontId="2" fillId="0" borderId="7" xfId="0" applyNumberFormat="1" applyFont="1" applyFill="1" applyBorder="1" applyAlignment="1" applyProtection="1">
      <protection locked="0"/>
    </xf>
    <xf numFmtId="165" fontId="2" fillId="0" borderId="0" xfId="0" applyNumberFormat="1" applyFont="1" applyFill="1" applyAlignment="1" applyProtection="1">
      <protection locked="0"/>
    </xf>
    <xf numFmtId="185" fontId="2" fillId="0" borderId="0" xfId="0" applyNumberFormat="1" applyFont="1" applyFill="1" applyBorder="1" applyAlignment="1" applyProtection="1">
      <protection locked="0"/>
    </xf>
    <xf numFmtId="169" fontId="2" fillId="0" borderId="0" xfId="3" applyFont="1" applyFill="1" applyBorder="1" applyAlignment="1" applyProtection="1">
      <alignment horizontal="left"/>
      <protection locked="0"/>
    </xf>
    <xf numFmtId="169" fontId="2" fillId="0" borderId="0" xfId="3" applyFont="1" applyFill="1" applyAlignment="1"/>
    <xf numFmtId="169" fontId="2" fillId="0" borderId="0" xfId="3" applyFont="1" applyFill="1" applyAlignment="1">
      <alignment horizontal="left" indent="1"/>
    </xf>
    <xf numFmtId="169" fontId="2" fillId="0" borderId="0" xfId="0" applyFont="1" applyFill="1" applyAlignment="1">
      <alignment horizontal="left" wrapText="1"/>
    </xf>
    <xf numFmtId="169" fontId="2" fillId="0" borderId="0" xfId="3" applyFont="1" applyFill="1" applyAlignment="1">
      <alignment horizontal="left" wrapText="1"/>
    </xf>
    <xf numFmtId="176" fontId="2" fillId="0" borderId="0" xfId="2" applyNumberFormat="1" applyFont="1" applyAlignment="1"/>
    <xf numFmtId="41" fontId="2" fillId="0" borderId="0" xfId="0" applyNumberFormat="1" applyFont="1" applyAlignment="1"/>
    <xf numFmtId="0" fontId="2" fillId="0" borderId="0" xfId="4" applyFont="1" applyFill="1" applyAlignment="1">
      <alignment horizontal="left" indent="1"/>
    </xf>
    <xf numFmtId="176" fontId="2" fillId="0" borderId="0" xfId="2" applyNumberFormat="1" applyFont="1" applyFill="1" applyAlignment="1"/>
    <xf numFmtId="42" fontId="2" fillId="0" borderId="0" xfId="2" applyNumberFormat="1" applyFont="1" applyBorder="1"/>
    <xf numFmtId="176" fontId="2" fillId="0" borderId="3" xfId="2" applyNumberFormat="1" applyFont="1" applyFill="1" applyBorder="1" applyAlignment="1"/>
    <xf numFmtId="42" fontId="2" fillId="0" borderId="0" xfId="0" applyNumberFormat="1" applyFont="1" applyAlignment="1"/>
    <xf numFmtId="9" fontId="2" fillId="0" borderId="0" xfId="0" applyNumberFormat="1" applyFont="1" applyFill="1" applyAlignment="1">
      <alignment vertical="center"/>
    </xf>
    <xf numFmtId="42" fontId="2" fillId="0" borderId="0" xfId="0" applyNumberFormat="1" applyFont="1" applyFill="1" applyAlignment="1" applyProtection="1">
      <alignment horizontal="centerContinuous"/>
      <protection locked="0"/>
    </xf>
    <xf numFmtId="42" fontId="2" fillId="0" borderId="4" xfId="0" applyNumberFormat="1" applyFont="1" applyFill="1" applyBorder="1" applyAlignment="1">
      <alignment horizontal="right"/>
    </xf>
    <xf numFmtId="169" fontId="7" fillId="0" borderId="0" xfId="6" applyNumberFormat="1" applyFont="1" applyFill="1" applyBorder="1" applyAlignment="1"/>
    <xf numFmtId="37" fontId="2" fillId="0" borderId="0" xfId="7" applyNumberFormat="1" applyFont="1" applyFill="1" applyBorder="1" applyAlignment="1"/>
    <xf numFmtId="42" fontId="2" fillId="0" borderId="3" xfId="8" applyNumberFormat="1" applyFont="1" applyFill="1" applyBorder="1" applyAlignment="1"/>
    <xf numFmtId="169" fontId="2" fillId="0" borderId="0" xfId="6" applyNumberFormat="1" applyFont="1" applyFill="1" applyAlignment="1"/>
    <xf numFmtId="169" fontId="2" fillId="0" borderId="0" xfId="6" applyNumberFormat="1" applyFont="1" applyFill="1" applyBorder="1" applyAlignment="1"/>
    <xf numFmtId="42" fontId="20" fillId="0" borderId="0" xfId="8" applyNumberFormat="1" applyFont="1" applyFill="1" applyBorder="1" applyAlignment="1">
      <alignment horizontal="right"/>
    </xf>
    <xf numFmtId="43" fontId="20" fillId="0" borderId="0" xfId="7" applyFont="1" applyFill="1" applyAlignment="1"/>
    <xf numFmtId="169" fontId="2" fillId="0" borderId="0" xfId="6" applyNumberFormat="1" applyFont="1" applyFill="1" applyAlignment="1">
      <alignment horizontal="left"/>
    </xf>
    <xf numFmtId="181" fontId="2" fillId="0" borderId="0" xfId="9" applyNumberFormat="1" applyFont="1" applyFill="1"/>
    <xf numFmtId="42" fontId="2" fillId="0" borderId="0" xfId="8" applyNumberFormat="1" applyFont="1" applyFill="1" applyAlignment="1">
      <alignment horizontal="right"/>
    </xf>
    <xf numFmtId="41" fontId="2" fillId="0" borderId="0" xfId="6" applyNumberFormat="1" applyFont="1" applyFill="1" applyBorder="1" applyAlignment="1">
      <alignment horizontal="right"/>
    </xf>
    <xf numFmtId="41" fontId="2" fillId="0" borderId="0" xfId="6" applyNumberFormat="1" applyFont="1" applyFill="1" applyAlignment="1"/>
    <xf numFmtId="169" fontId="2" fillId="0" borderId="0" xfId="6" quotePrefix="1" applyNumberFormat="1" applyFont="1" applyFill="1" applyAlignment="1">
      <alignment horizontal="left"/>
    </xf>
    <xf numFmtId="0" fontId="2" fillId="0" borderId="0" xfId="10" applyFont="1" applyFill="1"/>
    <xf numFmtId="37" fontId="2" fillId="0" borderId="4" xfId="6" applyNumberFormat="1" applyFont="1" applyFill="1" applyBorder="1" applyAlignment="1"/>
    <xf numFmtId="181" fontId="2" fillId="0" borderId="0" xfId="11" applyNumberFormat="1" applyFont="1" applyFill="1">
      <alignment horizontal="left" wrapText="1"/>
    </xf>
    <xf numFmtId="37" fontId="2" fillId="0" borderId="0" xfId="6" applyNumberFormat="1" applyFont="1" applyFill="1" applyBorder="1" applyAlignment="1"/>
    <xf numFmtId="42" fontId="2" fillId="0" borderId="0" xfId="8" applyNumberFormat="1" applyFont="1" applyFill="1" applyBorder="1" applyAlignment="1"/>
    <xf numFmtId="37" fontId="2" fillId="0" borderId="0" xfId="6" applyNumberFormat="1" applyFont="1" applyFill="1" applyAlignment="1"/>
    <xf numFmtId="9" fontId="2" fillId="0" borderId="0" xfId="9" applyFont="1" applyFill="1"/>
    <xf numFmtId="41" fontId="2" fillId="0" borderId="0" xfId="6" applyNumberFormat="1" applyFont="1" applyFill="1" applyBorder="1" applyAlignment="1"/>
    <xf numFmtId="42" fontId="2" fillId="0" borderId="2" xfId="8" applyNumberFormat="1" applyFont="1" applyFill="1" applyBorder="1" applyAlignment="1"/>
    <xf numFmtId="37" fontId="2" fillId="0" borderId="0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 applyProtection="1">
      <protection locked="0"/>
    </xf>
    <xf numFmtId="169" fontId="2" fillId="0" borderId="0" xfId="0" applyFont="1" applyBorder="1" applyAlignment="1"/>
    <xf numFmtId="0" fontId="2" fillId="0" borderId="4" xfId="0" applyNumberFormat="1" applyFont="1" applyFill="1" applyBorder="1" applyAlignment="1"/>
    <xf numFmtId="0" fontId="3" fillId="0" borderId="3" xfId="0" applyNumberFormat="1" applyFont="1" applyFill="1" applyBorder="1" applyAlignment="1" applyProtection="1">
      <alignment horizontal="centerContinuous"/>
      <protection locked="0"/>
    </xf>
    <xf numFmtId="169" fontId="2" fillId="0" borderId="0" xfId="13" applyNumberFormat="1" applyFont="1" applyFill="1" applyAlignment="1">
      <alignment horizontal="left"/>
    </xf>
    <xf numFmtId="10" fontId="5" fillId="0" borderId="0" xfId="14" applyFont="1" applyAlignment="1" applyProtection="1">
      <alignment horizontal="left" indent="2"/>
    </xf>
    <xf numFmtId="0" fontId="2" fillId="0" borderId="4" xfId="0" applyNumberFormat="1" applyFont="1" applyFill="1" applyBorder="1" applyAlignment="1">
      <alignment vertical="top"/>
    </xf>
    <xf numFmtId="0" fontId="2" fillId="0" borderId="0" xfId="0" quotePrefix="1" applyNumberFormat="1" applyFont="1" applyFill="1" applyBorder="1" applyAlignment="1">
      <alignment vertical="top"/>
    </xf>
    <xf numFmtId="169" fontId="2" fillId="0" borderId="0" xfId="16" applyNumberFormat="1" applyFont="1" applyFill="1" applyAlignment="1">
      <alignment horizontal="left" indent="1"/>
    </xf>
    <xf numFmtId="169" fontId="14" fillId="0" borderId="0" xfId="0" applyFont="1" applyFill="1" applyBorder="1" applyAlignment="1"/>
    <xf numFmtId="169" fontId="14" fillId="0" borderId="0" xfId="0" applyFont="1" applyFill="1" applyBorder="1" applyAlignment="1">
      <alignment horizontal="center"/>
    </xf>
    <xf numFmtId="0" fontId="0" fillId="0" borderId="0" xfId="0" applyNumberFormat="1" applyFont="1" applyAlignment="1"/>
    <xf numFmtId="169" fontId="2" fillId="0" borderId="0" xfId="0" applyNumberFormat="1" applyFont="1" applyFill="1" applyAlignment="1"/>
    <xf numFmtId="0" fontId="0" fillId="0" borderId="4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0" fontId="22" fillId="0" borderId="0" xfId="0" applyNumberFormat="1" applyFont="1" applyFill="1" applyAlignment="1">
      <alignment horizontal="left"/>
    </xf>
    <xf numFmtId="169" fontId="4" fillId="0" borderId="0" xfId="0" applyFont="1" applyFill="1" applyBorder="1" applyAlignment="1">
      <alignment horizontal="left" indent="1"/>
    </xf>
    <xf numFmtId="0" fontId="22" fillId="0" borderId="0" xfId="0" applyNumberFormat="1" applyFont="1" applyFill="1" applyAlignment="1">
      <alignment horizontal="center"/>
    </xf>
    <xf numFmtId="0" fontId="2" fillId="0" borderId="0" xfId="0" quotePrefix="1" applyNumberFormat="1" applyFont="1" applyFill="1" applyAlignment="1"/>
    <xf numFmtId="169" fontId="0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>
      <alignment horizontal="left" vertical="center"/>
    </xf>
    <xf numFmtId="169" fontId="2" fillId="0" borderId="0" xfId="13" applyFont="1" applyFill="1" applyAlignment="1">
      <alignment horizontal="left"/>
    </xf>
    <xf numFmtId="178" fontId="2" fillId="0" borderId="0" xfId="0" applyNumberFormat="1" applyFont="1" applyFill="1" applyBorder="1" applyAlignment="1" applyProtection="1">
      <alignment horizontal="left"/>
    </xf>
    <xf numFmtId="170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Border="1" applyAlignment="1" applyProtection="1">
      <alignment horizontal="right"/>
      <protection locked="0"/>
    </xf>
    <xf numFmtId="169" fontId="4" fillId="0" borderId="0" xfId="0" applyFont="1" applyFill="1" applyBorder="1" applyAlignment="1">
      <alignment horizontal="left"/>
    </xf>
    <xf numFmtId="44" fontId="0" fillId="0" borderId="0" xfId="0" applyNumberFormat="1" applyFont="1" applyAlignment="1"/>
    <xf numFmtId="169" fontId="2" fillId="0" borderId="0" xfId="0" applyFont="1" applyFill="1" applyBorder="1" applyAlignment="1" applyProtection="1">
      <alignment horizontal="left"/>
      <protection locked="0"/>
    </xf>
    <xf numFmtId="169" fontId="2" fillId="0" borderId="0" xfId="19" applyFont="1" applyAlignment="1">
      <alignment horizontal="left" indent="2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/>
    <xf numFmtId="42" fontId="2" fillId="0" borderId="3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horizontal="right"/>
    </xf>
    <xf numFmtId="169" fontId="2" fillId="0" borderId="0" xfId="0" applyFont="1" applyAlignment="1">
      <alignment horizontal="left"/>
    </xf>
    <xf numFmtId="41" fontId="2" fillId="0" borderId="3" xfId="0" applyNumberFormat="1" applyFont="1" applyBorder="1" applyAlignment="1"/>
    <xf numFmtId="41" fontId="2" fillId="0" borderId="3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>
      <alignment horizontal="center"/>
    </xf>
    <xf numFmtId="169" fontId="14" fillId="0" borderId="0" xfId="0" applyFont="1" applyAlignment="1"/>
    <xf numFmtId="41" fontId="3" fillId="0" borderId="3" xfId="0" applyNumberFormat="1" applyFont="1" applyBorder="1" applyAlignment="1">
      <alignment horizontal="center"/>
    </xf>
    <xf numFmtId="169" fontId="3" fillId="0" borderId="3" xfId="0" applyFont="1" applyBorder="1" applyAlignment="1">
      <alignment horizontal="center"/>
    </xf>
    <xf numFmtId="169" fontId="2" fillId="0" borderId="0" xfId="0" applyFont="1" applyAlignment="1"/>
    <xf numFmtId="0" fontId="2" fillId="0" borderId="0" xfId="21" applyNumberFormat="1" applyFont="1" applyFill="1" applyAlignment="1" applyProtection="1">
      <protection locked="0"/>
    </xf>
    <xf numFmtId="176" fontId="2" fillId="0" borderId="3" xfId="0" applyNumberFormat="1" applyFont="1" applyBorder="1" applyAlignment="1"/>
    <xf numFmtId="0" fontId="2" fillId="0" borderId="0" xfId="21" applyNumberFormat="1" applyFont="1" applyFill="1" applyBorder="1" applyAlignment="1" applyProtection="1">
      <protection locked="0"/>
    </xf>
    <xf numFmtId="176" fontId="14" fillId="0" borderId="0" xfId="0" applyNumberFormat="1" applyFont="1" applyAlignment="1"/>
    <xf numFmtId="0" fontId="24" fillId="0" borderId="0" xfId="0" applyNumberFormat="1" applyFont="1" applyFill="1" applyAlignment="1">
      <alignment horizontal="centerContinuous"/>
    </xf>
    <xf numFmtId="9" fontId="2" fillId="0" borderId="4" xfId="0" applyNumberFormat="1" applyFont="1" applyFill="1" applyBorder="1" applyAlignment="1"/>
    <xf numFmtId="169" fontId="11" fillId="0" borderId="3" xfId="0" applyFont="1" applyFill="1" applyBorder="1" applyAlignment="1">
      <alignment horizontal="center"/>
    </xf>
    <xf numFmtId="177" fontId="2" fillId="0" borderId="4" xfId="22" applyNumberFormat="1" applyFont="1" applyFill="1" applyBorder="1" applyAlignment="1"/>
    <xf numFmtId="177" fontId="2" fillId="0" borderId="0" xfId="22" applyNumberFormat="1" applyFont="1" applyFill="1" applyBorder="1" applyAlignment="1">
      <alignment horizontal="right"/>
    </xf>
    <xf numFmtId="177" fontId="2" fillId="0" borderId="1" xfId="22" applyNumberFormat="1" applyFont="1" applyFill="1" applyBorder="1" applyAlignment="1"/>
    <xf numFmtId="42" fontId="2" fillId="0" borderId="0" xfId="22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right"/>
    </xf>
    <xf numFmtId="42" fontId="2" fillId="0" borderId="3" xfId="2" applyNumberFormat="1" applyFont="1" applyBorder="1"/>
    <xf numFmtId="42" fontId="2" fillId="0" borderId="3" xfId="2" applyNumberFormat="1" applyFont="1" applyFill="1" applyBorder="1"/>
    <xf numFmtId="41" fontId="2" fillId="0" borderId="0" xfId="0" applyNumberFormat="1" applyFont="1" applyFill="1" applyBorder="1" applyProtection="1">
      <alignment horizontal="left" wrapText="1"/>
      <protection locked="0"/>
    </xf>
    <xf numFmtId="0" fontId="2" fillId="0" borderId="0" xfId="23" applyNumberFormat="1" applyFont="1" applyAlignment="1"/>
    <xf numFmtId="10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69" fontId="2" fillId="0" borderId="0" xfId="0" applyFont="1" applyFill="1" applyAlignment="1">
      <alignment horizontal="center" vertical="top"/>
    </xf>
    <xf numFmtId="44" fontId="2" fillId="0" borderId="0" xfId="22" applyFont="1" applyFill="1" applyBorder="1" applyAlignment="1"/>
    <xf numFmtId="177" fontId="2" fillId="0" borderId="0" xfId="22" applyNumberFormat="1" applyFont="1" applyFill="1" applyBorder="1" applyAlignment="1">
      <alignment horizontal="center"/>
    </xf>
    <xf numFmtId="177" fontId="2" fillId="0" borderId="0" xfId="22" applyNumberFormat="1" applyFont="1" applyAlignment="1"/>
    <xf numFmtId="177" fontId="2" fillId="0" borderId="0" xfId="22" applyNumberFormat="1" applyFont="1" applyFill="1" applyBorder="1" applyAlignment="1"/>
    <xf numFmtId="177" fontId="2" fillId="0" borderId="0" xfId="22" applyNumberFormat="1" applyFont="1" applyFill="1" applyAlignment="1"/>
    <xf numFmtId="177" fontId="2" fillId="0" borderId="2" xfId="22" applyNumberFormat="1" applyFont="1" applyBorder="1" applyAlignment="1"/>
    <xf numFmtId="177" fontId="2" fillId="0" borderId="0" xfId="22" applyNumberFormat="1" applyFont="1" applyFill="1" applyBorder="1" applyAlignment="1" applyProtection="1">
      <alignment horizontal="right"/>
      <protection locked="0"/>
    </xf>
    <xf numFmtId="177" fontId="2" fillId="0" borderId="2" xfId="22" applyNumberFormat="1" applyFont="1" applyFill="1" applyBorder="1" applyAlignment="1">
      <alignment horizontal="right"/>
    </xf>
    <xf numFmtId="177" fontId="2" fillId="0" borderId="0" xfId="22" applyNumberFormat="1" applyFont="1" applyFill="1" applyBorder="1" applyProtection="1">
      <protection locked="0"/>
    </xf>
    <xf numFmtId="177" fontId="2" fillId="0" borderId="2" xfId="22" applyNumberFormat="1" applyFont="1" applyFill="1" applyBorder="1" applyAlignment="1"/>
    <xf numFmtId="187" fontId="3" fillId="0" borderId="5" xfId="0" quotePrefix="1" applyNumberFormat="1" applyFont="1" applyFill="1" applyBorder="1" applyAlignment="1">
      <alignment horizontal="right"/>
    </xf>
    <xf numFmtId="177" fontId="2" fillId="0" borderId="4" xfId="22" applyNumberFormat="1" applyFont="1" applyFill="1" applyBorder="1" applyAlignment="1">
      <alignment vertical="top"/>
    </xf>
    <xf numFmtId="10" fontId="2" fillId="0" borderId="4" xfId="0" applyNumberFormat="1" applyFont="1" applyFill="1" applyBorder="1" applyAlignment="1"/>
    <xf numFmtId="17" fontId="2" fillId="0" borderId="0" xfId="6" applyNumberFormat="1" applyFont="1" applyFill="1" applyAlignment="1"/>
    <xf numFmtId="177" fontId="2" fillId="0" borderId="3" xfId="22" applyNumberFormat="1" applyFont="1" applyFill="1" applyBorder="1" applyAlignment="1"/>
    <xf numFmtId="0" fontId="4" fillId="0" borderId="0" xfId="3" applyNumberFormat="1" applyFont="1" applyFill="1" applyAlignment="1">
      <alignment horizontal="left"/>
    </xf>
    <xf numFmtId="41" fontId="2" fillId="0" borderId="3" xfId="0" applyNumberFormat="1" applyFont="1" applyFill="1" applyBorder="1" applyAlignment="1" applyProtection="1">
      <alignment horizontal="right"/>
      <protection locked="0"/>
    </xf>
    <xf numFmtId="42" fontId="2" fillId="0" borderId="7" xfId="0" applyNumberFormat="1" applyFont="1" applyBorder="1" applyAlignment="1"/>
    <xf numFmtId="42" fontId="2" fillId="0" borderId="7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24" applyFont="1"/>
    <xf numFmtId="0" fontId="3" fillId="0" borderId="0" xfId="25" applyFont="1"/>
    <xf numFmtId="0" fontId="2" fillId="0" borderId="0" xfId="25" applyFont="1"/>
    <xf numFmtId="0" fontId="3" fillId="0" borderId="0" xfId="25" applyFont="1" applyFill="1" applyBorder="1"/>
    <xf numFmtId="0" fontId="22" fillId="0" borderId="0" xfId="24" applyFont="1" applyBorder="1"/>
    <xf numFmtId="0" fontId="3" fillId="0" borderId="0" xfId="24" applyFont="1" applyBorder="1"/>
    <xf numFmtId="0" fontId="2" fillId="0" borderId="0" xfId="25" applyFont="1" applyFill="1" applyBorder="1"/>
    <xf numFmtId="0" fontId="22" fillId="0" borderId="0" xfId="25" applyFont="1" applyBorder="1"/>
    <xf numFmtId="0" fontId="2" fillId="0" borderId="0" xfId="25" applyFont="1" applyBorder="1"/>
    <xf numFmtId="0" fontId="22" fillId="0" borderId="0" xfId="25" applyFont="1"/>
    <xf numFmtId="0" fontId="2" fillId="0" borderId="3" xfId="24" applyFont="1" applyBorder="1"/>
    <xf numFmtId="0" fontId="25" fillId="0" borderId="3" xfId="24" applyFont="1" applyBorder="1"/>
    <xf numFmtId="0" fontId="22" fillId="0" borderId="0" xfId="24" applyFont="1" applyFill="1" applyBorder="1"/>
    <xf numFmtId="0" fontId="3" fillId="0" borderId="3" xfId="24" applyFont="1" applyBorder="1"/>
    <xf numFmtId="0" fontId="2" fillId="0" borderId="3" xfId="25" applyFont="1" applyBorder="1"/>
    <xf numFmtId="0" fontId="22" fillId="0" borderId="3" xfId="25" applyFont="1" applyBorder="1"/>
    <xf numFmtId="0" fontId="2" fillId="0" borderId="0" xfId="25" applyFont="1" applyAlignment="1">
      <alignment horizontal="center"/>
    </xf>
    <xf numFmtId="0" fontId="2" fillId="0" borderId="0" xfId="25" applyFont="1" applyBorder="1" applyAlignment="1">
      <alignment horizontal="center"/>
    </xf>
    <xf numFmtId="0" fontId="3" fillId="0" borderId="0" xfId="25" applyFont="1" applyAlignment="1">
      <alignment horizontal="center"/>
    </xf>
    <xf numFmtId="0" fontId="2" fillId="0" borderId="0" xfId="25" applyFont="1" applyFill="1" applyBorder="1" applyAlignment="1">
      <alignment horizontal="center"/>
    </xf>
    <xf numFmtId="0" fontId="3" fillId="0" borderId="3" xfId="25" applyFont="1" applyBorder="1"/>
    <xf numFmtId="0" fontId="3" fillId="0" borderId="3" xfId="25" applyFont="1" applyBorder="1" applyAlignment="1">
      <alignment horizontal="center"/>
    </xf>
    <xf numFmtId="0" fontId="2" fillId="0" borderId="3" xfId="25" applyFont="1" applyBorder="1" applyAlignment="1">
      <alignment horizontal="center"/>
    </xf>
    <xf numFmtId="0" fontId="3" fillId="0" borderId="0" xfId="25" applyFont="1" applyBorder="1"/>
    <xf numFmtId="41" fontId="3" fillId="0" borderId="0" xfId="25" applyNumberFormat="1" applyFont="1"/>
    <xf numFmtId="41" fontId="2" fillId="0" borderId="0" xfId="25" applyNumberFormat="1" applyFont="1"/>
    <xf numFmtId="0" fontId="23" fillId="0" borderId="0" xfId="25" applyFont="1"/>
    <xf numFmtId="41" fontId="22" fillId="0" borderId="0" xfId="25" applyNumberFormat="1" applyFont="1"/>
    <xf numFmtId="10" fontId="2" fillId="0" borderId="0" xfId="25" applyNumberFormat="1" applyFont="1"/>
    <xf numFmtId="10" fontId="2" fillId="0" borderId="0" xfId="26" applyNumberFormat="1" applyFont="1"/>
    <xf numFmtId="10" fontId="2" fillId="0" borderId="3" xfId="26" applyNumberFormat="1" applyFont="1" applyBorder="1"/>
    <xf numFmtId="188" fontId="2" fillId="0" borderId="0" xfId="25" applyNumberFormat="1" applyFont="1"/>
    <xf numFmtId="0" fontId="2" fillId="0" borderId="0" xfId="25" applyFont="1" applyAlignment="1">
      <alignment horizontal="right"/>
    </xf>
    <xf numFmtId="189" fontId="2" fillId="0" borderId="0" xfId="25" applyNumberFormat="1" applyFont="1"/>
    <xf numFmtId="41" fontId="2" fillId="0" borderId="0" xfId="25" applyNumberFormat="1" applyFont="1" applyFill="1" applyBorder="1"/>
    <xf numFmtId="41" fontId="3" fillId="0" borderId="3" xfId="25" applyNumberFormat="1" applyFont="1" applyBorder="1"/>
    <xf numFmtId="41" fontId="2" fillId="0" borderId="3" xfId="25" applyNumberFormat="1" applyFont="1" applyBorder="1"/>
    <xf numFmtId="41" fontId="22" fillId="0" borderId="3" xfId="25" applyNumberFormat="1" applyFont="1" applyBorder="1"/>
    <xf numFmtId="41" fontId="3" fillId="0" borderId="7" xfId="25" applyNumberFormat="1" applyFont="1" applyBorder="1"/>
    <xf numFmtId="2" fontId="3" fillId="0" borderId="0" xfId="25" quotePrefix="1" applyNumberFormat="1" applyFont="1" applyAlignment="1">
      <alignment horizontal="center"/>
    </xf>
    <xf numFmtId="2" fontId="2" fillId="0" borderId="0" xfId="25" applyNumberFormat="1" applyFont="1" applyAlignment="1">
      <alignment horizontal="center"/>
    </xf>
    <xf numFmtId="1" fontId="3" fillId="0" borderId="0" xfId="0" applyNumberFormat="1" applyFont="1" applyFill="1" applyAlignment="1"/>
    <xf numFmtId="0" fontId="27" fillId="0" borderId="0" xfId="25" applyFont="1"/>
    <xf numFmtId="0" fontId="0" fillId="0" borderId="0" xfId="0" applyNumberFormat="1" applyFill="1" applyBorder="1" applyAlignment="1"/>
    <xf numFmtId="0" fontId="0" fillId="0" borderId="0" xfId="0" applyNumberFormat="1" applyFill="1" applyAlignment="1"/>
    <xf numFmtId="169" fontId="3" fillId="0" borderId="3" xfId="0" applyFont="1" applyFill="1" applyBorder="1" applyAlignment="1" applyProtection="1">
      <protection locked="0"/>
    </xf>
    <xf numFmtId="42" fontId="2" fillId="0" borderId="0" xfId="0" applyNumberFormat="1" applyFont="1" applyBorder="1" applyAlignment="1"/>
    <xf numFmtId="0" fontId="2" fillId="0" borderId="0" xfId="21" applyNumberFormat="1" applyFont="1" applyFill="1" applyAlignment="1" applyProtection="1">
      <alignment horizontal="left" indent="1"/>
      <protection locked="0"/>
    </xf>
    <xf numFmtId="43" fontId="2" fillId="0" borderId="0" xfId="25" applyNumberFormat="1" applyFont="1"/>
    <xf numFmtId="41" fontId="3" fillId="0" borderId="0" xfId="0" applyNumberFormat="1" applyFont="1" applyFill="1" applyAlignment="1"/>
    <xf numFmtId="187" fontId="3" fillId="0" borderId="0" xfId="0" quotePrefix="1" applyNumberFormat="1" applyFont="1" applyFill="1" applyBorder="1" applyAlignment="1">
      <alignment horizontal="right"/>
    </xf>
    <xf numFmtId="41" fontId="26" fillId="0" borderId="0" xfId="25" applyNumberFormat="1" applyFont="1"/>
    <xf numFmtId="0" fontId="28" fillId="0" borderId="0" xfId="25" applyFont="1"/>
    <xf numFmtId="2" fontId="28" fillId="0" borderId="0" xfId="25" applyNumberFormat="1" applyFont="1" applyAlignment="1">
      <alignment horizontal="center"/>
    </xf>
    <xf numFmtId="0" fontId="28" fillId="0" borderId="0" xfId="25" applyFont="1" applyBorder="1"/>
    <xf numFmtId="41" fontId="28" fillId="0" borderId="0" xfId="25" applyNumberFormat="1" applyFont="1"/>
    <xf numFmtId="41" fontId="29" fillId="0" borderId="0" xfId="25" applyNumberFormat="1" applyFont="1"/>
    <xf numFmtId="0" fontId="29" fillId="0" borderId="0" xfId="25" applyFont="1"/>
    <xf numFmtId="0" fontId="30" fillId="0" borderId="0" xfId="25" applyFont="1"/>
    <xf numFmtId="0" fontId="30" fillId="0" borderId="0" xfId="25" applyFont="1" applyBorder="1"/>
    <xf numFmtId="41" fontId="30" fillId="0" borderId="0" xfId="25" applyNumberFormat="1" applyFont="1"/>
    <xf numFmtId="0" fontId="28" fillId="0" borderId="0" xfId="25" applyFont="1" applyAlignment="1">
      <alignment horizontal="center"/>
    </xf>
    <xf numFmtId="41" fontId="28" fillId="0" borderId="0" xfId="25" applyNumberFormat="1" applyFont="1" applyBorder="1"/>
    <xf numFmtId="0" fontId="30" fillId="0" borderId="0" xfId="0" applyNumberFormat="1" applyFont="1" applyFill="1" applyAlignment="1">
      <alignment horizontal="centerContinuous"/>
    </xf>
    <xf numFmtId="3" fontId="30" fillId="0" borderId="0" xfId="0" applyNumberFormat="1" applyFont="1" applyFill="1" applyAlignment="1">
      <alignment horizontal="centerContinuous"/>
    </xf>
    <xf numFmtId="0" fontId="30" fillId="0" borderId="0" xfId="0" applyNumberFormat="1" applyFont="1" applyFill="1" applyAlignment="1" applyProtection="1">
      <alignment horizontal="left"/>
      <protection locked="0"/>
    </xf>
    <xf numFmtId="169" fontId="30" fillId="0" borderId="0" xfId="0" applyFont="1" applyFill="1" applyAlignment="1" applyProtection="1">
      <alignment horizontal="centerContinuous"/>
      <protection locked="0"/>
    </xf>
    <xf numFmtId="0" fontId="30" fillId="0" borderId="0" xfId="5" applyFont="1" applyFill="1" applyAlignment="1" applyProtection="1">
      <alignment horizontal="centerContinuous"/>
      <protection locked="0"/>
    </xf>
    <xf numFmtId="0" fontId="30" fillId="0" borderId="0" xfId="0" quotePrefix="1" applyNumberFormat="1" applyFont="1" applyFill="1" applyBorder="1" applyAlignment="1">
      <alignment horizontal="centerContinuous"/>
    </xf>
    <xf numFmtId="0" fontId="30" fillId="0" borderId="0" xfId="0" applyNumberFormat="1" applyFont="1" applyFill="1" applyAlignment="1" applyProtection="1">
      <alignment horizontal="centerContinuous"/>
      <protection locked="0"/>
    </xf>
    <xf numFmtId="169" fontId="30" fillId="0" borderId="0" xfId="0" applyFont="1" applyFill="1" applyAlignment="1">
      <alignment horizontal="centerContinuous"/>
    </xf>
    <xf numFmtId="15" fontId="30" fillId="0" borderId="0" xfId="0" applyNumberFormat="1" applyFont="1" applyFill="1" applyAlignment="1">
      <alignment horizontal="centerContinuous"/>
    </xf>
    <xf numFmtId="0" fontId="30" fillId="0" borderId="0" xfId="0" applyNumberFormat="1" applyFont="1" applyFill="1" applyAlignment="1"/>
    <xf numFmtId="0" fontId="3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0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</cellXfs>
  <cellStyles count="27">
    <cellStyle name="Comma" xfId="2" builtinId="3"/>
    <cellStyle name="Comma 2 2" xfId="7"/>
    <cellStyle name="Currency" xfId="22" builtinId="4"/>
    <cellStyle name="Currency 10" xfId="1"/>
    <cellStyle name="Currency 10 2 2" xfId="21"/>
    <cellStyle name="Currency 2 2" xfId="8"/>
    <cellStyle name="Currency 3" xfId="20"/>
    <cellStyle name="Normal" xfId="0" builtinId="0"/>
    <cellStyle name="Normal - Style1 2 2 2" xfId="24"/>
    <cellStyle name="Normal - Style1 5 4" xfId="15"/>
    <cellStyle name="Normal 10 2" xfId="10"/>
    <cellStyle name="Normal 108" xfId="12"/>
    <cellStyle name="Normal 155" xfId="17"/>
    <cellStyle name="Normal 2" xfId="19"/>
    <cellStyle name="Normal 2 10" xfId="4"/>
    <cellStyle name="Normal 2 2" xfId="18"/>
    <cellStyle name="Normal 2 2 10 2" xfId="25"/>
    <cellStyle name="Normal 3" xfId="5"/>
    <cellStyle name="Normal 3 2" xfId="16"/>
    <cellStyle name="Normal 4" xfId="23"/>
    <cellStyle name="Normal 82" xfId="3"/>
    <cellStyle name="Normal_2.01G Revenue &amp; Purchased Gas" xfId="11"/>
    <cellStyle name="Normal_RATEOFRE" xfId="14"/>
    <cellStyle name="Percent 11" xfId="26"/>
    <cellStyle name="Percent 2" xfId="9"/>
    <cellStyle name="Style 1" xfId="13"/>
    <cellStyle name="Style 1 3 6" xfId="6"/>
  </cellStyles>
  <dxfs count="14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DCE"/>
      <color rgb="FF00FF00"/>
      <color rgb="FFFF33CC"/>
      <color rgb="FFFFFF99"/>
      <color rgb="FFFCAAA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%23Electric%20Model%202017%20GR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z%206.15E%20&amp;%206.15G%20Pension%20Plan%2017GRC%20(Modified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6.15E%20&amp;%206.15G%20Pension%20Plan%2017GR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z%206.19E%20&amp;%206.19G%20Environmental%2017GRC%20(Modified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5.03%20E&amp;G%20RB%20-%205.04%20E&amp;G%20WC%2017GRC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02E%20&amp;%203.02G%20Cost%20of%20Capital%2017GRC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&amp;%203.03G%20Conversion%20Factor%2017GRC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6.04G%20Federal%20Income%20Tax%2017GR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6.06G%20Depr%20Study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6.07E%20&amp;%206.07G%20Inj%20&amp;%20Damages%2017GRC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6.10E%20&amp;%206.10G%20D&amp;O%20Ins%2017GRC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6.11E%20&amp;%206.11G%20Int%20on%20Cust%20Dep%2017GRC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6.13G%20Def'd%20Gains%20&amp;%20Loss%2017GRC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6.14E%20&amp;%206.14G%20Prop%20&amp;%20Liab%20Ins%2017GRC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6.22E%20&amp;%206.22G%20WUTC%20Filing%20Fee%20-%20Excise%20Tax%2017GRC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6.01G%20Rev%20&amp;%20Exp%2017GRC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6.03G%20Pass%20Thru%20Rev%20&amp;%20Exp%2017GRC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6.08G%20Bad%20Debt%2017GRC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6.09E%20&amp;%206.09G%20Incentive%20Pay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6.16E%20&amp;%206.16G%20Wage%20Incr%2017GRC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6.17E%20&amp;%206.17G%20%20Investment%20Plan%2017GR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6.18E%20&amp;%206.18G%20Employee%20Ins%2017GRC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6.20E%20&amp;%206.20G%20Payment%20Processing%20Costs%2017GRC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5.03%20E&amp;G%20RB%20-%205.04%20E&amp;G%20WC%2017GRC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6.12E%20&amp;%206.12G%20Rate%20Case%20Exp%2017GRC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6.21E%20&amp;%206.21G%20South%20King%20Ser%20Cen%2017GRC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6.02G%20Temp%20Norm%2017GRC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7.01G%20CRM%2017G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xh%20BGM-3%20(Electric%20Revenue%20Requirement%20Calculation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r/_xls/Exh.%20No.%20BGM-5%20-%20Pro%20Forma%2009.2015%20WA%20Electric%20Mode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%23Gas%20Model%202017%20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KJB-3 Def"/>
      <sheetName val="KJB-4 Sum"/>
      <sheetName val="KJB-6 Cmn Adj"/>
      <sheetName val="KJB-7 El Adj"/>
      <sheetName val="Power Cost Bridge to A-1"/>
      <sheetName val="Exh.A-1"/>
      <sheetName val="Work Papers==&gt;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15">
          <cell r="H15">
            <v>7.7399999999999997E-2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heet1"/>
      <sheetName val="Alloc. Method"/>
    </sheetNames>
    <sheetDataSet>
      <sheetData sheetId="0">
        <row r="14">
          <cell r="C14">
            <v>6111576.3846948147</v>
          </cell>
        </row>
      </sheetData>
      <sheetData sheetId="1">
        <row r="14">
          <cell r="C14">
            <v>2950666.1786130364</v>
          </cell>
          <cell r="D14">
            <v>2260220.2274749996</v>
          </cell>
        </row>
        <row r="17">
          <cell r="F17">
            <v>-690445.95113803679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heet1"/>
      <sheetName val="Alloc. Method"/>
    </sheetNames>
    <sheetDataSet>
      <sheetData sheetId="0">
        <row r="17">
          <cell r="F17">
            <v>1822992.9925739774</v>
          </cell>
        </row>
      </sheetData>
      <sheetData sheetId="1">
        <row r="17">
          <cell r="F17">
            <v>880140.1518121101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JKR-3 E"/>
      <sheetName val="JKR-3 G"/>
      <sheetName val="Future Costs"/>
    </sheetNames>
    <sheetDataSet>
      <sheetData sheetId="0">
        <row r="19">
          <cell r="C19">
            <v>9596412.3000000007</v>
          </cell>
        </row>
      </sheetData>
      <sheetData sheetId="1">
        <row r="19">
          <cell r="C19">
            <v>72192483.439999983</v>
          </cell>
        </row>
        <row r="24">
          <cell r="C24">
            <v>-50267724.640000001</v>
          </cell>
        </row>
        <row r="27">
          <cell r="K27">
            <v>4176449.1562960036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Unallocated Detail"/>
      <sheetName val="Common by Account "/>
      <sheetName val="Detail"/>
      <sheetName val="UIP Summary"/>
      <sheetName val="Reclass"/>
      <sheetName val="12 ME Q2"/>
      <sheetName val="allocation factors"/>
    </sheetNames>
    <sheetDataSet>
      <sheetData sheetId="0">
        <row r="9">
          <cell r="B9">
            <v>2146048308.1900001</v>
          </cell>
          <cell r="C9">
            <v>857492456.10000002</v>
          </cell>
        </row>
        <row r="12">
          <cell r="C12">
            <v>37980142.479999997</v>
          </cell>
        </row>
        <row r="22">
          <cell r="C22">
            <v>326393369.14999998</v>
          </cell>
        </row>
        <row r="24">
          <cell r="C24">
            <v>2420905.35</v>
          </cell>
        </row>
        <row r="25">
          <cell r="C25">
            <v>0</v>
          </cell>
        </row>
        <row r="26">
          <cell r="C26">
            <v>55510540.469999999</v>
          </cell>
        </row>
        <row r="27">
          <cell r="C27">
            <v>26085152.498175003</v>
          </cell>
        </row>
        <row r="28">
          <cell r="C28">
            <v>7953019.309071999</v>
          </cell>
        </row>
        <row r="29">
          <cell r="C29">
            <v>12460807.43</v>
          </cell>
        </row>
        <row r="30">
          <cell r="C30">
            <v>50479810.318484999</v>
          </cell>
        </row>
        <row r="31">
          <cell r="C31">
            <v>122080785.06602001</v>
          </cell>
        </row>
        <row r="32">
          <cell r="C32">
            <v>11666003.494102001</v>
          </cell>
        </row>
        <row r="33">
          <cell r="C33">
            <v>0</v>
          </cell>
        </row>
        <row r="34">
          <cell r="C34">
            <v>-230972.9548859999</v>
          </cell>
        </row>
        <row r="35">
          <cell r="C35">
            <v>0</v>
          </cell>
        </row>
        <row r="36">
          <cell r="C36">
            <v>95653986.857809991</v>
          </cell>
        </row>
        <row r="37">
          <cell r="C37">
            <v>0</v>
          </cell>
        </row>
        <row r="38">
          <cell r="C38">
            <v>65853422.740000002</v>
          </cell>
        </row>
      </sheetData>
      <sheetData sheetId="1"/>
      <sheetData sheetId="2"/>
      <sheetData sheetId="3"/>
      <sheetData sheetId="4">
        <row r="235">
          <cell r="G235">
            <v>2828141.4334780001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GRB"/>
      <sheetName val="E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</sheetNames>
    <sheetDataSet>
      <sheetData sheetId="0"/>
      <sheetData sheetId="1">
        <row r="19">
          <cell r="D19">
            <v>3545031363</v>
          </cell>
        </row>
        <row r="21">
          <cell r="D21">
            <v>-1298250043</v>
          </cell>
        </row>
        <row r="22">
          <cell r="D22">
            <v>-64784746</v>
          </cell>
        </row>
        <row r="23">
          <cell r="D23">
            <v>-20859704</v>
          </cell>
        </row>
        <row r="24">
          <cell r="D24">
            <v>0</v>
          </cell>
        </row>
        <row r="25">
          <cell r="D25">
            <v>-514778395</v>
          </cell>
        </row>
        <row r="26">
          <cell r="D26">
            <v>12622777.056091331</v>
          </cell>
        </row>
        <row r="27">
          <cell r="D27">
            <v>-9302099</v>
          </cell>
        </row>
        <row r="31">
          <cell r="D31">
            <v>77640607.339463621</v>
          </cell>
        </row>
      </sheetData>
      <sheetData sheetId="2">
        <row r="91">
          <cell r="D91">
            <v>9760401506.5440865</v>
          </cell>
        </row>
      </sheetData>
      <sheetData sheetId="3"/>
      <sheetData sheetId="4">
        <row r="1422">
          <cell r="D1422">
            <v>117980225.48999999</v>
          </cell>
        </row>
      </sheetData>
      <sheetData sheetId="5">
        <row r="11">
          <cell r="I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 CofCap"/>
    </sheetNames>
    <sheetDataSet>
      <sheetData sheetId="0">
        <row r="21">
          <cell r="D21">
            <v>0.51500000000000001</v>
          </cell>
          <cell r="E21">
            <v>5.8058252427184473E-2</v>
          </cell>
        </row>
        <row r="22">
          <cell r="D22">
            <v>0.48499999999999999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</sheetNames>
    <sheetDataSet>
      <sheetData sheetId="0">
        <row r="14">
          <cell r="E14">
            <v>7.1570000000000002E-3</v>
          </cell>
        </row>
      </sheetData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2016 GRC"/>
      <sheetName val="IS ALLOCATED"/>
      <sheetName val="Account 4101"/>
      <sheetName val="Account 4111"/>
    </sheetNames>
    <sheetDataSet>
      <sheetData sheetId="0">
        <row r="13">
          <cell r="E13">
            <v>75965214.891221926</v>
          </cell>
        </row>
        <row r="17">
          <cell r="E17">
            <v>38564775.619999997</v>
          </cell>
        </row>
        <row r="24">
          <cell r="E24">
            <v>262308679.19999999</v>
          </cell>
        </row>
        <row r="25">
          <cell r="E25">
            <v>-196455256.45999998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G"/>
      <sheetName val="GAS"/>
      <sheetName val="Gas Study Rpt"/>
      <sheetName val="Common"/>
      <sheetName val="Comm Study Rpt"/>
      <sheetName val="DFIT Depr Stdy 10.06G"/>
      <sheetName val="GAS 403.1 Depr"/>
      <sheetName val="GAS Accretion"/>
      <sheetName val="Depr Oct15-Sep16 Revised"/>
      <sheetName val="CC300"/>
    </sheetNames>
    <sheetDataSet>
      <sheetData sheetId="0"/>
      <sheetData sheetId="1"/>
      <sheetData sheetId="2">
        <row r="12">
          <cell r="C12">
            <v>113989496.07000001</v>
          </cell>
          <cell r="D12">
            <v>95003918.585595176</v>
          </cell>
        </row>
        <row r="13">
          <cell r="C13">
            <v>7429557.1601760006</v>
          </cell>
          <cell r="D13">
            <v>6464523.281920488</v>
          </cell>
        </row>
        <row r="14">
          <cell r="C14">
            <v>27368.129303999998</v>
          </cell>
          <cell r="D14">
            <v>27368.129303999998</v>
          </cell>
        </row>
        <row r="15">
          <cell r="C15">
            <v>11632339.733118001</v>
          </cell>
          <cell r="D15">
            <v>11632339.733118001</v>
          </cell>
        </row>
        <row r="18">
          <cell r="C18">
            <v>173994.92</v>
          </cell>
          <cell r="D18">
            <v>153458.2561230502</v>
          </cell>
        </row>
        <row r="19">
          <cell r="C19">
            <v>51680.669399999999</v>
          </cell>
          <cell r="D19">
            <v>0</v>
          </cell>
        </row>
        <row r="25">
          <cell r="C25">
            <v>28810.3</v>
          </cell>
          <cell r="D25">
            <v>25409.813093289809</v>
          </cell>
        </row>
        <row r="26">
          <cell r="C26">
            <v>4852.6339200000002</v>
          </cell>
          <cell r="D26">
            <v>0</v>
          </cell>
        </row>
        <row r="29">
          <cell r="C29">
            <v>408687.72001800023</v>
          </cell>
          <cell r="D29">
            <v>171927.16944286184</v>
          </cell>
        </row>
        <row r="40">
          <cell r="E40">
            <v>-3546872.4142843462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12ME 925 Group 9-2016"/>
      <sheetName val="ZO12 12ME 925 Group 9-2015"/>
      <sheetName val="ZO12 12ME 925 Group 9-2014"/>
      <sheetName val="Alloc. Methods 6-2015"/>
      <sheetName val="Alloc. Methods 6-2014"/>
    </sheetNames>
    <sheetDataSet>
      <sheetData sheetId="0">
        <row r="13">
          <cell r="C13">
            <v>162500</v>
          </cell>
        </row>
      </sheetData>
      <sheetData sheetId="1">
        <row r="13">
          <cell r="C13">
            <v>190500</v>
          </cell>
          <cell r="D13">
            <v>188000</v>
          </cell>
        </row>
        <row r="14">
          <cell r="C14">
            <v>97271.77609699998</v>
          </cell>
          <cell r="D14">
            <v>188598.40143433338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Utility-Non-utility"/>
      <sheetName val="3.04 &amp; 4.04 Lead"/>
      <sheetName val="Sheet5"/>
    </sheetNames>
    <sheetDataSet>
      <sheetData sheetId="0">
        <row r="12">
          <cell r="C12">
            <v>117054.47314375022</v>
          </cell>
        </row>
      </sheetData>
      <sheetData sheetId="1">
        <row r="12">
          <cell r="C12">
            <v>84381.550163340158</v>
          </cell>
          <cell r="D12">
            <v>66480.443858612198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Gas"/>
      <sheetName val="Change in InterestElec"/>
      <sheetName val="SAP"/>
      <sheetName val="E&amp;G Split"/>
      <sheetName val="2016PO "/>
      <sheetName val="2015PO"/>
      <sheetName val=" Nov-Dec 2013"/>
      <sheetName val=" Jul - Oct 2013"/>
      <sheetName val="2015IntRates"/>
      <sheetName val="2016IntRates"/>
      <sheetName val="Balance Calculation"/>
    </sheetNames>
    <sheetDataSet>
      <sheetData sheetId="0">
        <row r="13">
          <cell r="D13">
            <v>108170.94876945516</v>
          </cell>
        </row>
      </sheetData>
      <sheetData sheetId="1">
        <row r="13">
          <cell r="D13">
            <v>30708.659753503118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Rate Year - Gas"/>
      <sheetName val="Charged to IS - Gas "/>
      <sheetName val="18700062 2016"/>
    </sheetNames>
    <sheetDataSet>
      <sheetData sheetId="0">
        <row r="14">
          <cell r="D14">
            <v>169979.93999999983</v>
          </cell>
        </row>
        <row r="15">
          <cell r="D15">
            <v>-45289.169999999991</v>
          </cell>
        </row>
        <row r="18">
          <cell r="D18">
            <v>-92024.8</v>
          </cell>
        </row>
        <row r="19">
          <cell r="D19">
            <v>316253.37</v>
          </cell>
        </row>
        <row r="26">
          <cell r="D26">
            <v>-45370.199999999983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"/>
      <sheetName val="Freddy1 Ins"/>
      <sheetName val="Colstrip Ins "/>
      <sheetName val="Alloc Factors for calc"/>
    </sheetNames>
    <sheetDataSet>
      <sheetData sheetId="0">
        <row r="11">
          <cell r="C11">
            <v>4178643.7106927508</v>
          </cell>
        </row>
      </sheetData>
      <sheetData sheetId="1">
        <row r="11">
          <cell r="C11">
            <v>243605.91699100003</v>
          </cell>
          <cell r="D11">
            <v>218735.64461899991</v>
          </cell>
        </row>
        <row r="12">
          <cell r="C12">
            <v>1270902.5643805922</v>
          </cell>
          <cell r="D12">
            <v>1226273.9901362888</v>
          </cell>
        </row>
      </sheetData>
      <sheetData sheetId="2"/>
      <sheetData sheetId="3"/>
      <sheetData sheetId="4"/>
      <sheetData sheetId="5"/>
      <sheetData sheetId="6">
        <row r="40">
          <cell r="D40">
            <v>2763777.09</v>
          </cell>
        </row>
      </sheetData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"/>
      <sheetName val="Sept 16 Ex Tax Trued Up in Oct"/>
      <sheetName val="TY Filing Fee"/>
      <sheetName val="E Filing Fee Restated"/>
      <sheetName val="G Filing Fee Restated"/>
      <sheetName val="IS Sept 2016"/>
      <sheetName val="Order Group 456"/>
    </sheetNames>
    <sheetDataSet>
      <sheetData sheetId="0">
        <row r="12">
          <cell r="C12">
            <v>84291892.014198005</v>
          </cell>
        </row>
      </sheetData>
      <sheetData sheetId="1">
        <row r="12">
          <cell r="C12">
            <v>33506393.815802004</v>
          </cell>
          <cell r="D12">
            <v>33499604.097540006</v>
          </cell>
        </row>
        <row r="13">
          <cell r="C13">
            <v>1759698.35</v>
          </cell>
          <cell r="D13">
            <v>1714934.9122000001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Revenues -Gas"/>
      <sheetName val="DecDefAmort"/>
    </sheetNames>
    <sheetDataSet>
      <sheetData sheetId="0">
        <row r="14">
          <cell r="D14">
            <v>1918596.4897268589</v>
          </cell>
        </row>
        <row r="15">
          <cell r="D15">
            <v>-32898997.31453428</v>
          </cell>
        </row>
        <row r="16">
          <cell r="D16">
            <v>-26236731.310160261</v>
          </cell>
        </row>
        <row r="17">
          <cell r="D17">
            <v>-271003.82433101535</v>
          </cell>
        </row>
        <row r="18">
          <cell r="D18">
            <v>2772307.0595804784</v>
          </cell>
        </row>
        <row r="24">
          <cell r="D24">
            <v>28151.220000000005</v>
          </cell>
        </row>
        <row r="25">
          <cell r="D25">
            <v>-498561.63999999996</v>
          </cell>
        </row>
        <row r="26">
          <cell r="D26">
            <v>-7451.2299999999668</v>
          </cell>
        </row>
        <row r="27">
          <cell r="D27">
            <v>-40606072.07</v>
          </cell>
        </row>
        <row r="28">
          <cell r="D28">
            <v>16583944.49</v>
          </cell>
        </row>
        <row r="29">
          <cell r="D29">
            <v>129801.18999999948</v>
          </cell>
        </row>
        <row r="30">
          <cell r="D30">
            <v>53666.38</v>
          </cell>
        </row>
        <row r="36">
          <cell r="D36">
            <v>-25080484.127216995</v>
          </cell>
        </row>
        <row r="37">
          <cell r="D37">
            <v>519928.25640650652</v>
          </cell>
        </row>
        <row r="38">
          <cell r="D38">
            <v>-610931.78843075037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Revenue 11 15 16"/>
      <sheetName val="Amort &amp; Expense"/>
      <sheetName val="Sch 140 Prop Tax"/>
    </sheetNames>
    <sheetDataSet>
      <sheetData sheetId="0">
        <row r="10">
          <cell r="E10">
            <v>5670995.2945745047</v>
          </cell>
        </row>
        <row r="11">
          <cell r="E11">
            <v>12315699.729075179</v>
          </cell>
        </row>
        <row r="12">
          <cell r="E12">
            <v>20149802.975724913</v>
          </cell>
        </row>
        <row r="13">
          <cell r="E13">
            <v>-26488407.126521312</v>
          </cell>
        </row>
        <row r="14">
          <cell r="E14">
            <v>97440.859999999986</v>
          </cell>
        </row>
        <row r="15">
          <cell r="E15">
            <v>-25090.45</v>
          </cell>
        </row>
        <row r="16">
          <cell r="E16">
            <v>270440.65000000002</v>
          </cell>
        </row>
        <row r="17">
          <cell r="E17">
            <v>40067188.970000006</v>
          </cell>
        </row>
        <row r="18">
          <cell r="E18">
            <v>367127.93</v>
          </cell>
        </row>
        <row r="28">
          <cell r="E28">
            <v>-5670995.3100000005</v>
          </cell>
        </row>
        <row r="29">
          <cell r="E29">
            <v>-12460807.43</v>
          </cell>
        </row>
        <row r="30">
          <cell r="E30">
            <v>-19519464.629999999</v>
          </cell>
        </row>
        <row r="31">
          <cell r="E31">
            <v>25320257.07</v>
          </cell>
        </row>
        <row r="32">
          <cell r="E32">
            <v>-45481.5</v>
          </cell>
        </row>
        <row r="33">
          <cell r="E33">
            <v>-22640.55</v>
          </cell>
        </row>
        <row r="34">
          <cell r="E34">
            <v>-38775247.880000003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3-YR AVERAGE-GAS"/>
      <sheetName val="NetWriteoffs-Gas"/>
      <sheetName val="BS Accts Gas"/>
      <sheetName val="SOG 12ME 5-2016"/>
      <sheetName val="SOG 12ME 5-2015"/>
      <sheetName val="SOG 12ME 5-2014"/>
      <sheetName val="SOG 12ME 5-2013"/>
      <sheetName val="SOG 12ME 5-2012"/>
      <sheetName val="904G Uncollectible 5YE 9-2016"/>
    </sheetNames>
    <sheetDataSet>
      <sheetData sheetId="0">
        <row r="14">
          <cell r="B14" t="str">
            <v>12 ME 9/30/2013 AND 5/31/2013</v>
          </cell>
          <cell r="C14">
            <v>4809211.959999999</v>
          </cell>
          <cell r="D14">
            <v>1027088768.78</v>
          </cell>
          <cell r="E14">
            <v>13300355.07</v>
          </cell>
        </row>
        <row r="15">
          <cell r="B15" t="str">
            <v>12 ME 9/30/2015 AND 5/31/2015</v>
          </cell>
          <cell r="C15">
            <v>4346972.87</v>
          </cell>
          <cell r="D15">
            <v>979494165.91999996</v>
          </cell>
          <cell r="E15">
            <v>69423909.329999998</v>
          </cell>
        </row>
        <row r="16">
          <cell r="B16" t="str">
            <v>12 ME 9/30/2016 AND 5/31/2016</v>
          </cell>
          <cell r="C16">
            <v>5107471.959999999</v>
          </cell>
          <cell r="D16">
            <v>898177819.9799999</v>
          </cell>
          <cell r="E16">
            <v>32301964.859999999</v>
          </cell>
        </row>
        <row r="20">
          <cell r="D20">
            <v>895472598.58000004</v>
          </cell>
          <cell r="E20">
            <v>37980142.479999997</v>
          </cell>
        </row>
        <row r="27">
          <cell r="F27">
            <v>4461725.8499999996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Incntv Pay - Allocated Electric"/>
      <sheetName val="Incntv Pay - Allocated Gas"/>
      <sheetName val="Electric wage increase ratios"/>
      <sheetName val="Gas wage increase ratios"/>
      <sheetName val="4 Yr Avg 2016 "/>
      <sheetName val="Report 2016"/>
      <sheetName val="4 Year Avg 2012"/>
      <sheetName val="4 Year Avg 2011"/>
      <sheetName val="4 Year Avg 2010"/>
      <sheetName val="Incent &amp; Related PR Tax - TY"/>
      <sheetName val="Manual Clearing"/>
      <sheetName val="Alloc Methods"/>
      <sheetName val="Total Payroll Taxes"/>
      <sheetName val="Payroll Taxes DL"/>
      <sheetName val="SAP DL"/>
      <sheetName val="PR Taxes Alloc"/>
      <sheetName val="Incentive Alloc"/>
    </sheetNames>
    <sheetDataSet>
      <sheetData sheetId="0">
        <row r="13">
          <cell r="C13">
            <v>330277.21861834492</v>
          </cell>
        </row>
      </sheetData>
      <sheetData sheetId="1">
        <row r="13">
          <cell r="C13">
            <v>7065.992857014975</v>
          </cell>
          <cell r="D13">
            <v>6478.4818291354122</v>
          </cell>
        </row>
        <row r="14">
          <cell r="C14">
            <v>22938.564570724386</v>
          </cell>
          <cell r="D14">
            <v>21028.943034088737</v>
          </cell>
        </row>
        <row r="15">
          <cell r="C15">
            <v>62067.795627173517</v>
          </cell>
          <cell r="D15">
            <v>56849.984196193305</v>
          </cell>
        </row>
        <row r="16">
          <cell r="C16">
            <v>0</v>
          </cell>
          <cell r="D16">
            <v>0</v>
          </cell>
        </row>
        <row r="17">
          <cell r="C17">
            <v>1884332.6697433374</v>
          </cell>
          <cell r="D17">
            <v>1724487.9238056608</v>
          </cell>
        </row>
        <row r="18">
          <cell r="C18">
            <v>542498.12432720035</v>
          </cell>
          <cell r="D18">
            <v>488720.47298540262</v>
          </cell>
        </row>
        <row r="19">
          <cell r="C19">
            <v>74580.714692630994</v>
          </cell>
          <cell r="D19">
            <v>68242.838582208162</v>
          </cell>
        </row>
        <row r="20">
          <cell r="C20">
            <v>121.5193511069849</v>
          </cell>
          <cell r="D20">
            <v>111.02237005574798</v>
          </cell>
        </row>
        <row r="21">
          <cell r="C21">
            <v>980493.18080095551</v>
          </cell>
          <cell r="D21">
            <v>899444.46564281709</v>
          </cell>
        </row>
        <row r="24">
          <cell r="C24">
            <v>220502.81398365862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ages support=&gt;"/>
      <sheetName val="Summary by IS Category"/>
      <sheetName val="Wage Data Payroll "/>
      <sheetName val="Non-Union Wage Incr"/>
      <sheetName val="Union Wage Inc"/>
      <sheetName val="Manual JEs Reclass "/>
      <sheetName val="Sal by FERC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"/>
      <sheetName val="SUTA"/>
      <sheetName val="FUTA"/>
      <sheetName val="Employee Salary Payroll Tax "/>
    </sheetNames>
    <sheetDataSet>
      <sheetData sheetId="0">
        <row r="14">
          <cell r="E14">
            <v>4380759.8377278037</v>
          </cell>
        </row>
      </sheetData>
      <sheetData sheetId="1">
        <row r="14">
          <cell r="E14">
            <v>98066.872882425538</v>
          </cell>
          <cell r="F14">
            <v>101219.16120665375</v>
          </cell>
        </row>
        <row r="15">
          <cell r="E15">
            <v>318407.04418792826</v>
          </cell>
          <cell r="F15">
            <v>328605.72865901311</v>
          </cell>
        </row>
        <row r="16">
          <cell r="E16">
            <v>861492.99098813464</v>
          </cell>
          <cell r="F16">
            <v>888425.1733595382</v>
          </cell>
        </row>
        <row r="17">
          <cell r="E17">
            <v>0</v>
          </cell>
          <cell r="F17">
            <v>0</v>
          </cell>
        </row>
        <row r="18">
          <cell r="E18">
            <v>26154848.534069598</v>
          </cell>
          <cell r="F18">
            <v>26948764.950638987</v>
          </cell>
        </row>
        <row r="19">
          <cell r="E19">
            <v>7529966.0535140662</v>
          </cell>
          <cell r="F19">
            <v>7637304.3781785369</v>
          </cell>
        </row>
        <row r="20">
          <cell r="E20">
            <v>1035196.5402749601</v>
          </cell>
          <cell r="F20">
            <v>1066415.4927500868</v>
          </cell>
        </row>
        <row r="21">
          <cell r="E21">
            <v>1679.4190263789349</v>
          </cell>
          <cell r="F21">
            <v>1735.6795637626294</v>
          </cell>
        </row>
        <row r="22">
          <cell r="E22">
            <v>13609380.119610026</v>
          </cell>
          <cell r="F22">
            <v>14055710.521142324</v>
          </cell>
        </row>
        <row r="25">
          <cell r="E25">
            <v>4455802.8209743248</v>
          </cell>
          <cell r="F25">
            <v>4532301.5982538164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Non Union Wage"/>
      <sheetName val="Union Wage Inc "/>
      <sheetName val="Inv Plan"/>
    </sheetNames>
    <sheetDataSet>
      <sheetData sheetId="0">
        <row r="13">
          <cell r="D13">
            <v>7483207.9381920006</v>
          </cell>
        </row>
      </sheetData>
      <sheetData sheetId="1">
        <row r="14">
          <cell r="D14">
            <v>3612889.2418080005</v>
          </cell>
        </row>
        <row r="15">
          <cell r="C15">
            <v>3.3500000000000002E-2</v>
          </cell>
        </row>
        <row r="19">
          <cell r="D19">
            <v>1319812.7623999999</v>
          </cell>
        </row>
        <row r="20">
          <cell r="C20">
            <v>6.875E-3</v>
          </cell>
        </row>
        <row r="24">
          <cell r="D24">
            <v>489150.71963999997</v>
          </cell>
        </row>
        <row r="25">
          <cell r="C25">
            <v>0.03</v>
          </cell>
        </row>
        <row r="30">
          <cell r="C30">
            <v>0.54659120593235488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 Summary"/>
      <sheetName val="Average Costs Cal"/>
      <sheetName val="Additional Costs"/>
      <sheetName val="TY Headcounts "/>
      <sheetName val="Flex Credits"/>
      <sheetName val="SAP Test Yr"/>
      <sheetName val="Allocation Method"/>
    </sheetNames>
    <sheetDataSet>
      <sheetData sheetId="0">
        <row r="13">
          <cell r="D13">
            <v>15271331.540317921</v>
          </cell>
        </row>
      </sheetData>
      <sheetData sheetId="1">
        <row r="14">
          <cell r="D14">
            <v>7372991.6214820798</v>
          </cell>
        </row>
        <row r="15">
          <cell r="D15">
            <v>4441873.2750779204</v>
          </cell>
        </row>
        <row r="18">
          <cell r="C18">
            <v>0.54659120593235488</v>
          </cell>
        </row>
        <row r="19">
          <cell r="D19">
            <v>6367468.685411375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New Svc Agmt --&gt;"/>
      <sheetName val="Summary"/>
      <sheetName val="BDHV"/>
      <sheetName val="BillMatrix-NonCard Test Year"/>
      <sheetName val="CheckFreePay Test Year"/>
      <sheetName val="Deferral --&gt;"/>
      <sheetName val="Deferral"/>
      <sheetName val="Estimate"/>
      <sheetName val="Allocation Method"/>
    </sheetNames>
    <sheetDataSet>
      <sheetData sheetId="0">
        <row r="12">
          <cell r="C12">
            <v>1047962.0507459998</v>
          </cell>
        </row>
      </sheetData>
      <sheetData sheetId="1">
        <row r="12">
          <cell r="C12">
            <v>755448.80925399996</v>
          </cell>
          <cell r="D12">
            <v>602573.07018549996</v>
          </cell>
        </row>
        <row r="17">
          <cell r="C17">
            <v>0</v>
          </cell>
          <cell r="D17">
            <v>1784913.9752952412</v>
          </cell>
        </row>
        <row r="18">
          <cell r="C18">
            <v>0</v>
          </cell>
          <cell r="D18">
            <v>1792115.6450936967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</sheetNames>
    <sheetDataSet>
      <sheetData sheetId="0"/>
      <sheetData sheetId="1">
        <row r="36">
          <cell r="D36">
            <v>49313213.286249995</v>
          </cell>
        </row>
      </sheetData>
      <sheetData sheetId="2">
        <row r="19">
          <cell r="D19">
            <v>3545031363</v>
          </cell>
        </row>
        <row r="26">
          <cell r="D26">
            <v>12622777.056091331</v>
          </cell>
        </row>
      </sheetData>
      <sheetData sheetId="3"/>
      <sheetData sheetId="4">
        <row r="34">
          <cell r="Q34">
            <v>3591494.7587500005</v>
          </cell>
        </row>
      </sheetData>
      <sheetData sheetId="5">
        <row r="11">
          <cell r="I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2009 SAP"/>
      <sheetName val="2007 SAP"/>
      <sheetName val="Summary PCORCs"/>
    </sheetNames>
    <sheetDataSet>
      <sheetData sheetId="0">
        <row r="16">
          <cell r="D16">
            <v>1040000</v>
          </cell>
        </row>
      </sheetData>
      <sheetData sheetId="1">
        <row r="15">
          <cell r="D15">
            <v>1040000</v>
          </cell>
        </row>
        <row r="18">
          <cell r="D18">
            <v>88281.067356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Data Electric &amp; Gas"/>
      <sheetName val="Leashold Improvements"/>
      <sheetName val="IRS DFIT"/>
      <sheetName val="Plant and Tax Data"/>
      <sheetName val="Tax Depreciation Rates"/>
      <sheetName val="South King Plant"/>
      <sheetName val="Allocation Method"/>
      <sheetName val="Common Depr Rates"/>
    </sheetNames>
    <sheetDataSet>
      <sheetData sheetId="0">
        <row r="16">
          <cell r="D16">
            <v>2565876.3629749999</v>
          </cell>
        </row>
      </sheetData>
      <sheetData sheetId="1">
        <row r="16">
          <cell r="D16">
            <v>1253528.7620250001</v>
          </cell>
          <cell r="E16">
            <v>10065787.334999999</v>
          </cell>
        </row>
        <row r="17">
          <cell r="D17">
            <v>1121972.34925</v>
          </cell>
        </row>
        <row r="18">
          <cell r="D18">
            <v>-20066.577730892186</v>
          </cell>
          <cell r="E18">
            <v>-585831.69338917825</v>
          </cell>
        </row>
        <row r="19">
          <cell r="D19">
            <v>15174.160163641776</v>
          </cell>
          <cell r="E19">
            <v>0</v>
          </cell>
        </row>
        <row r="20">
          <cell r="D20">
            <v>-531419.38875000004</v>
          </cell>
        </row>
        <row r="21">
          <cell r="D21">
            <v>6619.0013300919836</v>
          </cell>
          <cell r="E21">
            <v>138651.70953729711</v>
          </cell>
        </row>
        <row r="22">
          <cell r="D22">
            <v>-2316.6504655321942</v>
          </cell>
        </row>
        <row r="26">
          <cell r="D26">
            <v>177705.85300030193</v>
          </cell>
          <cell r="E26">
            <v>0</v>
          </cell>
        </row>
        <row r="27">
          <cell r="D27">
            <v>25547.529515152495</v>
          </cell>
          <cell r="E27">
            <v>49829.795145332253</v>
          </cell>
        </row>
        <row r="28">
          <cell r="D28">
            <v>-19318.805121985963</v>
          </cell>
          <cell r="E28">
            <v>0</v>
          </cell>
        </row>
        <row r="29">
          <cell r="D29">
            <v>192123.35699999999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</sheetNames>
    <sheetDataSet>
      <sheetData sheetId="0">
        <row r="16">
          <cell r="C16">
            <v>73139427.500000015</v>
          </cell>
          <cell r="D16">
            <v>86649729.500000015</v>
          </cell>
        </row>
        <row r="17">
          <cell r="C17">
            <v>123121515.845</v>
          </cell>
          <cell r="D17">
            <v>114711801.84499998</v>
          </cell>
        </row>
        <row r="18">
          <cell r="C18">
            <v>156989623.97599998</v>
          </cell>
          <cell r="D18">
            <v>165319960.97600001</v>
          </cell>
        </row>
        <row r="19">
          <cell r="C19">
            <v>151262374.11699998</v>
          </cell>
          <cell r="D19">
            <v>159895881.11700004</v>
          </cell>
        </row>
        <row r="20">
          <cell r="C20">
            <v>118408550.68799998</v>
          </cell>
          <cell r="D20">
            <v>138019004.68799999</v>
          </cell>
        </row>
        <row r="21">
          <cell r="C21">
            <v>112362332.25200005</v>
          </cell>
          <cell r="D21">
            <v>123218844.25200003</v>
          </cell>
        </row>
        <row r="22">
          <cell r="C22">
            <v>72229905.327999994</v>
          </cell>
          <cell r="D22">
            <v>91155981.327999994</v>
          </cell>
        </row>
        <row r="23">
          <cell r="C23">
            <v>59674800.405000009</v>
          </cell>
          <cell r="D23">
            <v>68300515.404999986</v>
          </cell>
        </row>
        <row r="24">
          <cell r="C24">
            <v>50540839.056999996</v>
          </cell>
          <cell r="D24">
            <v>52674574.057000004</v>
          </cell>
        </row>
        <row r="25">
          <cell r="C25">
            <v>45432546.435000002</v>
          </cell>
          <cell r="D25">
            <v>46002541.435000002</v>
          </cell>
        </row>
        <row r="26">
          <cell r="C26">
            <v>44532806.316000007</v>
          </cell>
          <cell r="D26">
            <v>44532806.316</v>
          </cell>
        </row>
        <row r="27">
          <cell r="C27">
            <v>51851549.111000001</v>
          </cell>
          <cell r="D27">
            <v>52069111.110999994</v>
          </cell>
        </row>
        <row r="30">
          <cell r="E30">
            <v>44523855</v>
          </cell>
        </row>
        <row r="31">
          <cell r="E31">
            <v>11244974.079640001</v>
          </cell>
        </row>
        <row r="32">
          <cell r="E32">
            <v>1860803.7289885674</v>
          </cell>
        </row>
        <row r="33">
          <cell r="E33">
            <v>-155789.63152472442</v>
          </cell>
        </row>
        <row r="34">
          <cell r="E34">
            <v>0</v>
          </cell>
        </row>
        <row r="35">
          <cell r="E35">
            <v>-269744.48913688213</v>
          </cell>
        </row>
        <row r="36">
          <cell r="E36">
            <v>209444.55109923612</v>
          </cell>
        </row>
        <row r="37">
          <cell r="E37">
            <v>373192.1501000002</v>
          </cell>
        </row>
        <row r="38">
          <cell r="E38">
            <v>0</v>
          </cell>
        </row>
        <row r="39">
          <cell r="E39">
            <v>257955.61679999903</v>
          </cell>
        </row>
        <row r="40">
          <cell r="E40">
            <v>23923.69840000011</v>
          </cell>
        </row>
        <row r="41">
          <cell r="E41">
            <v>19954.838879999937</v>
          </cell>
        </row>
        <row r="44">
          <cell r="E44">
            <v>30724733.927239694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dInv"/>
      <sheetName val="Depr Exp Effect "/>
      <sheetName val="CRM Rates"/>
      <sheetName val="IRS DFIT"/>
      <sheetName val="2013-2014 Investment"/>
      <sheetName val="2014-2015 Investment"/>
      <sheetName val="2015-2016 Investment"/>
      <sheetName val="2014 CRM"/>
      <sheetName val="2015 CRM"/>
      <sheetName val="2016 CRM"/>
      <sheetName val="ERF Conv Fctr"/>
      <sheetName val="Sheet1"/>
    </sheetNames>
    <sheetDataSet>
      <sheetData sheetId="0">
        <row r="10">
          <cell r="F10">
            <v>6319267.5535104107</v>
          </cell>
        </row>
        <row r="13">
          <cell r="F13">
            <v>3104236.1901648943</v>
          </cell>
          <cell r="G13">
            <v>2803485.3710350636</v>
          </cell>
        </row>
        <row r="14">
          <cell r="F14">
            <v>-428345.18843024829</v>
          </cell>
        </row>
        <row r="32">
          <cell r="F32">
            <v>80492630.37166667</v>
          </cell>
          <cell r="G32">
            <v>112498583.47964287</v>
          </cell>
        </row>
        <row r="33">
          <cell r="F33">
            <v>-3605695.2156645558</v>
          </cell>
          <cell r="G33">
            <v>-10739632.604369124</v>
          </cell>
        </row>
        <row r="34">
          <cell r="F34">
            <v>214172.59421512415</v>
          </cell>
          <cell r="G34">
            <v>0</v>
          </cell>
        </row>
        <row r="35">
          <cell r="F35">
            <v>-13894871.215026421</v>
          </cell>
          <cell r="G35">
            <v>-19615966.339126792</v>
          </cell>
        </row>
        <row r="36">
          <cell r="F36">
            <v>-74960.407975293449</v>
          </cell>
          <cell r="G3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Exh. BGM-3 (1)"/>
      <sheetName val="KJB-3 Def"/>
      <sheetName val="KJB-4 Sum"/>
      <sheetName val="KJB-6 Cmn Adj"/>
      <sheetName val="KJB-7 El Adj"/>
      <sheetName val="Power Cost Bridge to A-1"/>
      <sheetName val="Exh.A-1"/>
      <sheetName val="Work Papers==&gt;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H4">
            <v>0.61905100000000002</v>
          </cell>
        </row>
        <row r="10">
          <cell r="AI10">
            <v>5.8058252427184473E-2</v>
          </cell>
        </row>
        <row r="11">
          <cell r="AH11">
            <v>0.48499999999999999</v>
          </cell>
        </row>
      </sheetData>
      <sheetData sheetId="2">
        <row r="13">
          <cell r="G13">
            <v>5.8058252427184473E-2</v>
          </cell>
        </row>
        <row r="20">
          <cell r="L20">
            <v>0.35</v>
          </cell>
        </row>
      </sheetData>
      <sheetData sheetId="3"/>
      <sheetData sheetId="4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5"/>
      <sheetName val="Exh. No. JSS-2 -&gt;"/>
      <sheetName val="PROPOSED RATES-2017"/>
      <sheetName val="PROPOSED RATES-2008 6-months"/>
      <sheetName val="RR SUMMARY"/>
      <sheetName val="CF "/>
      <sheetName val="ADJ DETAIL-INPUT"/>
      <sheetName val="LEAD SHEETS-DO NOT ENTER"/>
      <sheetName val="ADJ SUMMARY"/>
      <sheetName val="ROO INPUT"/>
      <sheetName val="DEBT CALC"/>
      <sheetName val="COMPARISON"/>
    </sheetNames>
    <sheetDataSet>
      <sheetData sheetId="0"/>
      <sheetData sheetId="1"/>
      <sheetData sheetId="2"/>
      <sheetData sheetId="3"/>
      <sheetData sheetId="4">
        <row r="14">
          <cell r="P14">
            <v>7.6399999999999996E-2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-3 Def"/>
      <sheetName val="SEF-4 Sum"/>
      <sheetName val="SEF-6 Cmn Adj"/>
      <sheetName val="SEF-7 CRM"/>
    </sheetNames>
    <sheetDataSet>
      <sheetData sheetId="0">
        <row r="23">
          <cell r="E23">
            <v>22992570</v>
          </cell>
        </row>
      </sheetData>
      <sheetData sheetId="1">
        <row r="13">
          <cell r="A13" t="str">
            <v>NO.</v>
          </cell>
          <cell r="C13" t="str">
            <v>OPERATIONS</v>
          </cell>
          <cell r="D13" t="str">
            <v>ADJUSTMENTS</v>
          </cell>
          <cell r="E13" t="str">
            <v>OPERATIONS</v>
          </cell>
          <cell r="F13" t="str">
            <v>DEFICIENCY</v>
          </cell>
          <cell r="G13" t="str">
            <v>INCREASE</v>
          </cell>
          <cell r="J13" t="str">
            <v>12ME Sept 30, 2016</v>
          </cell>
          <cell r="K13">
            <v>6.01</v>
          </cell>
          <cell r="L13">
            <v>6.02</v>
          </cell>
          <cell r="M13">
            <v>6.0299999999999994</v>
          </cell>
          <cell r="N13">
            <v>6.0399999999999991</v>
          </cell>
          <cell r="O13">
            <v>6.0499999999999989</v>
          </cell>
          <cell r="P13">
            <v>6.0599999999999987</v>
          </cell>
          <cell r="Q13">
            <v>6.0699999999999985</v>
          </cell>
          <cell r="R13">
            <v>6.0799999999999983</v>
          </cell>
          <cell r="S13">
            <v>6.0899999999999981</v>
          </cell>
          <cell r="T13">
            <v>6.0999999999999979</v>
          </cell>
          <cell r="U13">
            <v>6.1099999999999977</v>
          </cell>
          <cell r="V13">
            <v>6.1199999999999974</v>
          </cell>
          <cell r="W13">
            <v>6.1299999999999972</v>
          </cell>
          <cell r="X13">
            <v>6.139999999999997</v>
          </cell>
          <cell r="Y13">
            <v>6.1499999999999968</v>
          </cell>
          <cell r="Z13">
            <v>6.1599999999999966</v>
          </cell>
          <cell r="AA13">
            <v>6.1699999999999964</v>
          </cell>
          <cell r="AB13">
            <v>6.1799999999999962</v>
          </cell>
          <cell r="AC13">
            <v>6.1899999999999959</v>
          </cell>
          <cell r="AD13">
            <v>6.1999999999999957</v>
          </cell>
          <cell r="AE13">
            <v>6.2099999999999955</v>
          </cell>
          <cell r="AF13">
            <v>6.2199999999999953</v>
          </cell>
          <cell r="AG13">
            <v>7.01</v>
          </cell>
          <cell r="AI13" t="str">
            <v>OPERATIONS</v>
          </cell>
        </row>
        <row r="47">
          <cell r="A47">
            <v>32</v>
          </cell>
          <cell r="B47" t="str">
            <v>NET OPERATING INCOME</v>
          </cell>
          <cell r="C47">
            <v>119145768.85122192</v>
          </cell>
          <cell r="D47">
            <v>2866178.0712555498</v>
          </cell>
          <cell r="E47">
            <v>122011946.92247766</v>
          </cell>
          <cell r="F47">
            <v>14265740.056499999</v>
          </cell>
          <cell r="G47">
            <v>136277686.97897768</v>
          </cell>
          <cell r="J47">
            <v>119145768.85122192</v>
          </cell>
          <cell r="K47">
            <v>-32674131.179331075</v>
          </cell>
          <cell r="L47">
            <v>16069958.616006494</v>
          </cell>
          <cell r="M47">
            <v>736148.06664671004</v>
          </cell>
          <cell r="N47">
            <v>700821.90807233378</v>
          </cell>
          <cell r="O47">
            <v>18425658.872162148</v>
          </cell>
          <cell r="P47">
            <v>13174097.538770448</v>
          </cell>
          <cell r="Q47">
            <v>-57737.625337333404</v>
          </cell>
          <cell r="R47">
            <v>-158835</v>
          </cell>
          <cell r="S47">
            <v>213058.10290277333</v>
          </cell>
          <cell r="T47">
            <v>11635.719098073176</v>
          </cell>
          <cell r="U47">
            <v>-30708.659753503118</v>
          </cell>
          <cell r="V47">
            <v>-280617.30621860002</v>
          </cell>
          <cell r="W47">
            <v>-105089.82033333331</v>
          </cell>
          <cell r="X47">
            <v>45174.25030059729</v>
          </cell>
          <cell r="Y47">
            <v>-572091.09867787152</v>
          </cell>
          <cell r="Z47">
            <v>-972167.48734617291</v>
          </cell>
          <cell r="AA47">
            <v>-51438.487875506748</v>
          </cell>
          <cell r="AB47">
            <v>-58781.168112681989</v>
          </cell>
          <cell r="AC47">
            <v>-5564910.595592401</v>
          </cell>
          <cell r="AD47">
            <v>-2225700.0228582853</v>
          </cell>
          <cell r="AE47">
            <v>212048.29051128853</v>
          </cell>
          <cell r="AF47">
            <v>33509.156061998103</v>
          </cell>
          <cell r="AG47">
            <v>-4003723.99784054</v>
          </cell>
          <cell r="AH47">
            <v>2866178.0712555498</v>
          </cell>
          <cell r="AI47">
            <v>122011946.92247766</v>
          </cell>
        </row>
        <row r="49">
          <cell r="A49">
            <v>34</v>
          </cell>
          <cell r="B49" t="str">
            <v xml:space="preserve">RATE BASE </v>
          </cell>
          <cell r="C49">
            <v>1727319760.395555</v>
          </cell>
          <cell r="D49">
            <v>33373872.873642456</v>
          </cell>
          <cell r="E49">
            <v>1760693633.2691975</v>
          </cell>
          <cell r="F49">
            <v>0</v>
          </cell>
          <cell r="G49">
            <v>1760693633.2691975</v>
          </cell>
          <cell r="J49">
            <v>1727319760.395555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6587048.7693852149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7775115.6953258077</v>
          </cell>
          <cell r="AF49">
            <v>0</v>
          </cell>
          <cell r="AG49">
            <v>19011708.408931427</v>
          </cell>
          <cell r="AH49">
            <v>33373872.873642456</v>
          </cell>
          <cell r="AI49">
            <v>1760693633.2691975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1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6.bin"/><Relationship Id="rId21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20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23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3.bin"/><Relationship Id="rId19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Relationship Id="rId22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tabSelected="1" zoomScaleNormal="100" zoomScaleSheetLayoutView="100" workbookViewId="0"/>
  </sheetViews>
  <sheetFormatPr defaultRowHeight="12.75"/>
  <cols>
    <col min="1" max="1" width="1.6640625" style="477" customWidth="1"/>
    <col min="2" max="2" width="6.6640625" style="477" customWidth="1"/>
    <col min="3" max="3" width="1.6640625" style="477" customWidth="1"/>
    <col min="4" max="4" width="6.6640625" style="491" customWidth="1"/>
    <col min="5" max="5" width="1.6640625" style="477" customWidth="1"/>
    <col min="6" max="6" width="35.83203125" style="477" customWidth="1"/>
    <col min="7" max="7" width="1.6640625" style="477" customWidth="1"/>
    <col min="8" max="8" width="1.6640625" style="483" customWidth="1"/>
    <col min="9" max="9" width="12.1640625" style="477" customWidth="1"/>
    <col min="10" max="10" width="1.6640625" style="477" customWidth="1"/>
    <col min="11" max="11" width="14.6640625" style="477" customWidth="1"/>
    <col min="12" max="12" width="1.6640625" style="477" customWidth="1"/>
    <col min="13" max="13" width="12.1640625" style="477" customWidth="1"/>
    <col min="14" max="14" width="1.6640625" style="477" customWidth="1"/>
    <col min="15" max="15" width="1.6640625" style="483" customWidth="1"/>
    <col min="16" max="16" width="12.1640625" style="477" customWidth="1"/>
    <col min="17" max="17" width="1.6640625" style="477" customWidth="1"/>
    <col min="18" max="18" width="12.1640625" style="477" customWidth="1"/>
    <col min="19" max="19" width="1.6640625" style="477" customWidth="1"/>
    <col min="20" max="20" width="12.1640625" style="477" customWidth="1"/>
    <col min="21" max="21" width="1.6640625" style="477" customWidth="1"/>
    <col min="22" max="22" width="1.6640625" style="483" customWidth="1"/>
    <col min="23" max="23" width="12.1640625" style="484" customWidth="1"/>
    <col min="24" max="24" width="1.6640625" style="484" customWidth="1"/>
    <col min="25" max="25" width="12.1640625" style="484" customWidth="1"/>
    <col min="26" max="26" width="1.6640625" style="484" customWidth="1"/>
    <col min="27" max="27" width="12.1640625" style="484" customWidth="1"/>
    <col min="28" max="28" width="1.6640625" style="484" customWidth="1"/>
    <col min="29" max="29" width="12.1640625" style="484" customWidth="1"/>
    <col min="30" max="30" width="1.6640625" style="484" customWidth="1"/>
    <col min="31" max="31" width="27.33203125" style="477" customWidth="1"/>
    <col min="32" max="32" width="3" style="477" customWidth="1"/>
    <col min="33" max="33" width="24.6640625" style="477" customWidth="1"/>
    <col min="34" max="36" width="13.83203125" style="477" customWidth="1"/>
    <col min="37" max="38" width="9.33203125" style="477"/>
    <col min="39" max="39" width="9.6640625" style="477" bestFit="1" customWidth="1"/>
    <col min="40" max="16384" width="9.33203125" style="477"/>
  </cols>
  <sheetData>
    <row r="1" spans="1:39">
      <c r="A1" s="475" t="s">
        <v>427</v>
      </c>
      <c r="B1" s="476"/>
      <c r="C1" s="476"/>
      <c r="D1" s="493"/>
      <c r="E1" s="476"/>
      <c r="G1" s="478"/>
      <c r="H1" s="478"/>
      <c r="I1" s="479"/>
      <c r="J1" s="480"/>
      <c r="K1" s="480"/>
      <c r="L1" s="480"/>
      <c r="M1" s="480"/>
      <c r="N1" s="478"/>
      <c r="O1" s="478"/>
      <c r="P1" s="476"/>
      <c r="Q1" s="476"/>
      <c r="R1" s="476"/>
      <c r="S1" s="476"/>
      <c r="T1" s="476"/>
      <c r="U1" s="481"/>
      <c r="V1" s="481"/>
      <c r="W1" s="482"/>
      <c r="X1" s="482"/>
      <c r="Y1" s="482"/>
      <c r="Z1" s="482"/>
      <c r="AA1" s="482"/>
      <c r="AB1" s="482"/>
      <c r="AC1" s="482"/>
      <c r="AD1" s="482"/>
      <c r="AE1" s="483"/>
      <c r="AF1" s="476"/>
      <c r="AG1" s="482"/>
      <c r="AH1" s="482"/>
      <c r="AI1" s="482"/>
      <c r="AJ1" s="482"/>
      <c r="AK1" s="484"/>
      <c r="AL1" s="484"/>
    </row>
    <row r="2" spans="1:39">
      <c r="B2" s="476"/>
      <c r="C2" s="476"/>
      <c r="D2" s="493"/>
      <c r="E2" s="476"/>
      <c r="G2" s="478"/>
      <c r="H2" s="478"/>
      <c r="I2" s="485" t="s">
        <v>481</v>
      </c>
      <c r="J2" s="486"/>
      <c r="K2" s="486"/>
      <c r="L2" s="486"/>
      <c r="M2" s="486"/>
      <c r="N2" s="487"/>
      <c r="O2" s="480"/>
      <c r="P2" s="485" t="s">
        <v>438</v>
      </c>
      <c r="Q2" s="488"/>
      <c r="R2" s="488"/>
      <c r="S2" s="488"/>
      <c r="T2" s="488"/>
      <c r="U2" s="481"/>
      <c r="V2" s="481"/>
      <c r="W2" s="489" t="s">
        <v>482</v>
      </c>
      <c r="X2" s="490"/>
      <c r="Y2" s="490"/>
      <c r="Z2" s="490"/>
      <c r="AA2" s="490"/>
      <c r="AB2" s="490"/>
      <c r="AC2" s="490"/>
      <c r="AD2" s="482"/>
      <c r="AE2" s="483"/>
      <c r="AF2" s="476"/>
      <c r="AG2" s="490" t="s">
        <v>396</v>
      </c>
      <c r="AH2" s="490"/>
      <c r="AI2" s="490"/>
      <c r="AJ2" s="490"/>
      <c r="AK2" s="484"/>
      <c r="AL2" s="484"/>
    </row>
    <row r="3" spans="1:39">
      <c r="B3" s="476"/>
      <c r="C3" s="476"/>
      <c r="D3" s="493"/>
      <c r="E3" s="476"/>
      <c r="F3" s="476"/>
      <c r="G3" s="478"/>
      <c r="H3" s="478"/>
      <c r="I3" s="491"/>
      <c r="J3" s="491"/>
      <c r="K3" s="491"/>
      <c r="L3" s="491"/>
      <c r="M3" s="491" t="s">
        <v>397</v>
      </c>
      <c r="N3" s="481"/>
      <c r="O3" s="481"/>
      <c r="P3" s="491"/>
      <c r="Q3" s="491"/>
      <c r="R3" s="491"/>
      <c r="S3" s="491"/>
      <c r="T3" s="491" t="s">
        <v>397</v>
      </c>
      <c r="U3" s="481"/>
      <c r="V3" s="481"/>
      <c r="W3" s="491" t="s">
        <v>398</v>
      </c>
      <c r="X3" s="491"/>
      <c r="Y3" s="491"/>
      <c r="Z3" s="491"/>
      <c r="AA3" s="491"/>
      <c r="AB3" s="492"/>
      <c r="AC3" s="491" t="s">
        <v>397</v>
      </c>
      <c r="AD3" s="492"/>
      <c r="AE3" s="492"/>
      <c r="AF3" s="476"/>
    </row>
    <row r="4" spans="1:39">
      <c r="B4" s="476"/>
      <c r="C4" s="476"/>
      <c r="D4" s="493" t="s">
        <v>399</v>
      </c>
      <c r="E4" s="476"/>
      <c r="F4" s="476"/>
      <c r="G4" s="478"/>
      <c r="H4" s="478"/>
      <c r="I4" s="491" t="s">
        <v>400</v>
      </c>
      <c r="J4" s="491"/>
      <c r="K4" s="491"/>
      <c r="L4" s="491"/>
      <c r="M4" s="494" t="s">
        <v>401</v>
      </c>
      <c r="N4" s="481"/>
      <c r="O4" s="481"/>
      <c r="P4" s="491" t="s">
        <v>400</v>
      </c>
      <c r="Q4" s="491"/>
      <c r="R4" s="491"/>
      <c r="S4" s="491"/>
      <c r="T4" s="494" t="s">
        <v>401</v>
      </c>
      <c r="U4" s="481"/>
      <c r="V4" s="481"/>
      <c r="W4" s="491" t="s">
        <v>400</v>
      </c>
      <c r="X4" s="491"/>
      <c r="Y4" s="491" t="s">
        <v>400</v>
      </c>
      <c r="Z4" s="491"/>
      <c r="AA4" s="491"/>
      <c r="AB4" s="491"/>
      <c r="AC4" s="494" t="s">
        <v>401</v>
      </c>
      <c r="AD4" s="494"/>
      <c r="AE4" s="494"/>
      <c r="AF4" s="476"/>
      <c r="AG4" s="477" t="s">
        <v>402</v>
      </c>
      <c r="AH4" s="508">
        <f>+'Exh. BGM-4 (3) Param'!E22</f>
        <v>0.62044999999999995</v>
      </c>
    </row>
    <row r="5" spans="1:39">
      <c r="B5" s="495" t="s">
        <v>403</v>
      </c>
      <c r="C5" s="476"/>
      <c r="D5" s="496" t="s">
        <v>404</v>
      </c>
      <c r="E5" s="476"/>
      <c r="F5" s="495" t="s">
        <v>405</v>
      </c>
      <c r="G5" s="478"/>
      <c r="H5" s="478"/>
      <c r="I5" s="497" t="s">
        <v>406</v>
      </c>
      <c r="J5" s="491"/>
      <c r="K5" s="497" t="s">
        <v>407</v>
      </c>
      <c r="L5" s="491"/>
      <c r="M5" s="497" t="s">
        <v>408</v>
      </c>
      <c r="N5" s="481"/>
      <c r="O5" s="481"/>
      <c r="P5" s="497" t="s">
        <v>406</v>
      </c>
      <c r="Q5" s="491"/>
      <c r="R5" s="497" t="s">
        <v>407</v>
      </c>
      <c r="S5" s="491"/>
      <c r="T5" s="497" t="s">
        <v>408</v>
      </c>
      <c r="U5" s="481"/>
      <c r="V5" s="481"/>
      <c r="W5" s="497" t="s">
        <v>406</v>
      </c>
      <c r="X5" s="491"/>
      <c r="Y5" s="497" t="s">
        <v>406</v>
      </c>
      <c r="Z5" s="491"/>
      <c r="AA5" s="497" t="s">
        <v>407</v>
      </c>
      <c r="AB5" s="492"/>
      <c r="AC5" s="497" t="s">
        <v>408</v>
      </c>
      <c r="AD5" s="492"/>
      <c r="AE5" s="496" t="s">
        <v>435</v>
      </c>
      <c r="AF5" s="476"/>
      <c r="AG5" s="477" t="s">
        <v>409</v>
      </c>
      <c r="AH5" s="503">
        <f>+kp_FEDERAL_INCOME_TAX</f>
        <v>0.35</v>
      </c>
    </row>
    <row r="6" spans="1:39">
      <c r="G6" s="483"/>
    </row>
    <row r="7" spans="1:39">
      <c r="B7" s="477">
        <v>1</v>
      </c>
      <c r="D7" s="514">
        <v>1</v>
      </c>
      <c r="E7" s="476"/>
      <c r="F7" s="475" t="s">
        <v>410</v>
      </c>
      <c r="G7" s="498"/>
      <c r="H7" s="498"/>
      <c r="I7" s="499">
        <f>+'Exh. BGM-4 (2) Adj. Detail'!$J$47/1000</f>
        <v>119145.76885122192</v>
      </c>
      <c r="J7" s="499"/>
      <c r="K7" s="499">
        <f>+'Exh. BGM-4 (2) Adj. Detail'!J49/1000</f>
        <v>1727319.7603955551</v>
      </c>
      <c r="L7" s="499"/>
      <c r="M7" s="499">
        <f>+($K7*$AJ$12-$I7)/$AH$4</f>
        <v>13983.227364089209</v>
      </c>
      <c r="N7" s="476"/>
      <c r="O7" s="498"/>
      <c r="P7" s="499">
        <f>+I7</f>
        <v>119145.76885122192</v>
      </c>
      <c r="Q7" s="499"/>
      <c r="R7" s="499">
        <f>+K7</f>
        <v>1727319.7603955551</v>
      </c>
      <c r="S7" s="499"/>
      <c r="T7" s="499">
        <f>+($R7*$AJ$12-$P7)/$AH$4</f>
        <v>13983.227364089209</v>
      </c>
      <c r="AF7" s="476"/>
    </row>
    <row r="8" spans="1:39">
      <c r="D8" s="515"/>
      <c r="G8" s="483"/>
      <c r="I8" s="500"/>
      <c r="J8" s="500"/>
      <c r="K8" s="500"/>
      <c r="L8" s="500"/>
      <c r="M8" s="500"/>
      <c r="P8" s="500"/>
      <c r="Q8" s="500"/>
      <c r="R8" s="500"/>
      <c r="S8" s="500"/>
      <c r="T8" s="500"/>
      <c r="AG8" s="477" t="s">
        <v>411</v>
      </c>
      <c r="AH8" s="477" t="s">
        <v>412</v>
      </c>
      <c r="AJ8" s="477" t="s">
        <v>413</v>
      </c>
    </row>
    <row r="9" spans="1:39">
      <c r="B9" s="501" t="s">
        <v>414</v>
      </c>
      <c r="D9" s="515"/>
      <c r="G9" s="483"/>
      <c r="I9" s="500"/>
      <c r="J9" s="500"/>
      <c r="K9" s="500"/>
      <c r="L9" s="500"/>
      <c r="M9" s="500"/>
      <c r="P9" s="500"/>
      <c r="Q9" s="500"/>
      <c r="R9" s="500"/>
      <c r="S9" s="500"/>
      <c r="T9" s="500"/>
      <c r="AG9" s="489" t="s">
        <v>415</v>
      </c>
      <c r="AH9" s="489" t="s">
        <v>416</v>
      </c>
      <c r="AI9" s="489" t="s">
        <v>417</v>
      </c>
      <c r="AJ9" s="489" t="s">
        <v>417</v>
      </c>
      <c r="AM9" s="500"/>
    </row>
    <row r="10" spans="1:39">
      <c r="B10" s="477">
        <f ca="1">+MAX(OFFSET($B$7,0,0,ROW($B10)-ROW($B$7),1))+1</f>
        <v>2</v>
      </c>
      <c r="D10" s="515">
        <v>6.01</v>
      </c>
      <c r="F10" s="477" t="s">
        <v>450</v>
      </c>
      <c r="G10" s="483"/>
      <c r="I10" s="500">
        <f>+INDEX('[9]SEF-4 Sum'!$47:$47,MATCH($D10,'[9]SEF-4 Sum'!$13:$13,0))/1000</f>
        <v>-32674.131179331074</v>
      </c>
      <c r="J10" s="500"/>
      <c r="K10" s="500">
        <f>+INDEX('[9]SEF-4 Sum'!$49:$49,MATCH(D10,'[9]SEF-4 Sum'!$13:$13,0))/1000</f>
        <v>0</v>
      </c>
      <c r="L10" s="500"/>
      <c r="M10" s="500">
        <v>52781.000562685585</v>
      </c>
      <c r="P10" s="500">
        <f t="shared" ref="P10:P32" si="0">+I10+Y10</f>
        <v>-32674.131179331074</v>
      </c>
      <c r="Q10" s="500"/>
      <c r="R10" s="500">
        <f t="shared" ref="R10:R32" si="1">+K10+AA10</f>
        <v>0</v>
      </c>
      <c r="S10" s="500"/>
      <c r="T10" s="500">
        <f t="shared" ref="T10:T33" si="2">+($R10*$AJ$12-$P10)/$AH$4</f>
        <v>52661.989168073298</v>
      </c>
      <c r="W10" s="500">
        <v>0</v>
      </c>
      <c r="X10" s="500"/>
      <c r="Y10" s="500">
        <f t="shared" ref="Y10:Y31" si="3">+W10*(1-$AH$5)</f>
        <v>0</v>
      </c>
      <c r="Z10" s="500"/>
      <c r="AA10" s="500">
        <v>0</v>
      </c>
      <c r="AB10" s="502"/>
      <c r="AC10" s="500">
        <f t="shared" ref="AC10:AC33" si="4">+($AA10*$AJ$12-$Y10)/$AH$4</f>
        <v>0</v>
      </c>
      <c r="AE10" s="477" t="s">
        <v>436</v>
      </c>
      <c r="AG10" s="477" t="s">
        <v>418</v>
      </c>
      <c r="AH10" s="477">
        <f>100%-AH11</f>
        <v>0.51500000000000001</v>
      </c>
      <c r="AI10" s="503">
        <f>+'[7]Exh. BGM-3 (1)'!AI10</f>
        <v>5.8058252427184473E-2</v>
      </c>
      <c r="AJ10" s="504">
        <f>ROUND(AH10*AI10,4)</f>
        <v>2.9899999999999999E-2</v>
      </c>
      <c r="AM10" s="500">
        <f>+INDEX('Exh. BGM-4 (2) Adj. Detail'!$K$47:$AJ$47,1,MATCH(D10,'Exh. BGM-4 (2) Adj. Detail'!$K$13:$AJ$13))/1000-P10</f>
        <v>0</v>
      </c>
    </row>
    <row r="11" spans="1:39">
      <c r="B11" s="477">
        <f t="shared" ref="B11:B41" ca="1" si="5">+MAX(OFFSET($B$7,0,0,ROW($B11)-ROW($B$7),1))+1</f>
        <v>3</v>
      </c>
      <c r="D11" s="515">
        <v>6.02</v>
      </c>
      <c r="F11" s="477" t="s">
        <v>451</v>
      </c>
      <c r="G11" s="483"/>
      <c r="I11" s="500">
        <f>+INDEX('[9]SEF-4 Sum'!$47:$47,MATCH($D11,'[9]SEF-4 Sum'!$13:$13,0))/1000</f>
        <v>16069.958616006494</v>
      </c>
      <c r="J11" s="500"/>
      <c r="K11" s="500">
        <f>+INDEX('[9]SEF-4 Sum'!$49:$49,MATCH(D11,'[9]SEF-4 Sum'!$13:$13,0))/1000</f>
        <v>0</v>
      </c>
      <c r="L11" s="500"/>
      <c r="M11" s="500">
        <v>-25959.022141966481</v>
      </c>
      <c r="P11" s="500">
        <f t="shared" si="0"/>
        <v>16069.958616006494</v>
      </c>
      <c r="Q11" s="500"/>
      <c r="R11" s="500">
        <f t="shared" si="1"/>
        <v>0</v>
      </c>
      <c r="S11" s="500"/>
      <c r="T11" s="500">
        <f t="shared" si="2"/>
        <v>-25900.4893480643</v>
      </c>
      <c r="W11" s="500">
        <v>0</v>
      </c>
      <c r="X11" s="500"/>
      <c r="Y11" s="500">
        <f t="shared" si="3"/>
        <v>0</v>
      </c>
      <c r="Z11" s="500"/>
      <c r="AA11" s="500">
        <v>0</v>
      </c>
      <c r="AB11" s="502"/>
      <c r="AC11" s="500">
        <f t="shared" si="4"/>
        <v>0</v>
      </c>
      <c r="AE11" s="477" t="s">
        <v>436</v>
      </c>
      <c r="AG11" s="477" t="s">
        <v>419</v>
      </c>
      <c r="AH11" s="477">
        <f>+'[7]Exh. BGM-3 (1)'!AH11</f>
        <v>0.48499999999999999</v>
      </c>
      <c r="AI11" s="503">
        <v>9.0999999999999998E-2</v>
      </c>
      <c r="AJ11" s="505">
        <f>ROUND(AH11*AI11,4)</f>
        <v>4.41E-2</v>
      </c>
      <c r="AM11" s="500">
        <f>+INDEX('Exh. BGM-4 (2) Adj. Detail'!$K$47:$AJ$47,1,MATCH(D11,'Exh. BGM-4 (2) Adj. Detail'!$K$13:$AJ$13))/1000-P11</f>
        <v>0</v>
      </c>
    </row>
    <row r="12" spans="1:39">
      <c r="B12" s="477">
        <f t="shared" ca="1" si="5"/>
        <v>4</v>
      </c>
      <c r="D12" s="515">
        <v>6.0299999999999994</v>
      </c>
      <c r="F12" s="477" t="s">
        <v>452</v>
      </c>
      <c r="G12" s="483"/>
      <c r="I12" s="500">
        <f>+INDEX('[9]SEF-4 Sum'!$47:$47,MATCH($D12,'[9]SEF-4 Sum'!$13:$13,0))/1000</f>
        <v>736.14806664671005</v>
      </c>
      <c r="J12" s="500"/>
      <c r="K12" s="500">
        <f>+INDEX('[9]SEF-4 Sum'!$49:$49,MATCH(D12,'[9]SEF-4 Sum'!$13:$13,0))/1000</f>
        <v>0</v>
      </c>
      <c r="L12" s="500"/>
      <c r="M12" s="500">
        <v>-1189.1557668862663</v>
      </c>
      <c r="P12" s="500">
        <f t="shared" si="0"/>
        <v>736.14806664671005</v>
      </c>
      <c r="Q12" s="500"/>
      <c r="R12" s="500">
        <f t="shared" si="1"/>
        <v>0</v>
      </c>
      <c r="S12" s="500"/>
      <c r="T12" s="500">
        <f t="shared" si="2"/>
        <v>-1186.4744405620277</v>
      </c>
      <c r="W12" s="500">
        <v>0</v>
      </c>
      <c r="X12" s="500"/>
      <c r="Y12" s="500">
        <f t="shared" si="3"/>
        <v>0</v>
      </c>
      <c r="Z12" s="500"/>
      <c r="AA12" s="500">
        <v>0</v>
      </c>
      <c r="AB12" s="502"/>
      <c r="AC12" s="500">
        <f t="shared" si="4"/>
        <v>0</v>
      </c>
      <c r="AE12" s="477" t="s">
        <v>436</v>
      </c>
      <c r="AG12" s="477" t="s">
        <v>420</v>
      </c>
      <c r="AH12" s="506">
        <f>SUM(AH10:AH11)</f>
        <v>1</v>
      </c>
      <c r="AJ12" s="504">
        <f>SUM(AJ10:AJ11)</f>
        <v>7.3999999999999996E-2</v>
      </c>
      <c r="AM12" s="500">
        <f>+INDEX('Exh. BGM-4 (2) Adj. Detail'!$K$47:$AJ$47,1,MATCH(D12,'Exh. BGM-4 (2) Adj. Detail'!$K$13:$AJ$13))/1000-P12</f>
        <v>0</v>
      </c>
    </row>
    <row r="13" spans="1:39">
      <c r="B13" s="477">
        <f t="shared" ca="1" si="5"/>
        <v>5</v>
      </c>
      <c r="D13" s="515">
        <v>6.0399999999999991</v>
      </c>
      <c r="F13" s="477" t="s">
        <v>453</v>
      </c>
      <c r="G13" s="483"/>
      <c r="I13" s="500">
        <f>+INDEX('[9]SEF-4 Sum'!$47:$47,MATCH($D13,'[9]SEF-4 Sum'!$13:$13,0))/1000</f>
        <v>700.82190807233383</v>
      </c>
      <c r="J13" s="500"/>
      <c r="K13" s="500">
        <f>+INDEX('[9]SEF-4 Sum'!$49:$49,MATCH(D13,'[9]SEF-4 Sum'!$13:$13,0))/1000</f>
        <v>0</v>
      </c>
      <c r="L13" s="500"/>
      <c r="M13" s="500">
        <v>-1132.0907454673909</v>
      </c>
      <c r="P13" s="500">
        <f t="shared" si="0"/>
        <v>700.82190807233383</v>
      </c>
      <c r="Q13" s="500"/>
      <c r="R13" s="500">
        <f t="shared" si="1"/>
        <v>0</v>
      </c>
      <c r="S13" s="500"/>
      <c r="T13" s="500">
        <f t="shared" si="2"/>
        <v>-1129.5380902124812</v>
      </c>
      <c r="W13" s="500">
        <v>0</v>
      </c>
      <c r="X13" s="500"/>
      <c r="Y13" s="500">
        <f t="shared" si="3"/>
        <v>0</v>
      </c>
      <c r="Z13" s="500"/>
      <c r="AA13" s="500">
        <v>0</v>
      </c>
      <c r="AB13" s="502"/>
      <c r="AC13" s="500">
        <f t="shared" si="4"/>
        <v>0</v>
      </c>
      <c r="AE13" s="477" t="s">
        <v>436</v>
      </c>
      <c r="AJ13" s="503"/>
      <c r="AM13" s="500">
        <f>+INDEX('Exh. BGM-4 (2) Adj. Detail'!$K$47:$AJ$47,1,MATCH(D13,'Exh. BGM-4 (2) Adj. Detail'!$K$13:$AJ$13))/1000-P13</f>
        <v>0</v>
      </c>
    </row>
    <row r="14" spans="1:39">
      <c r="B14" s="527">
        <f t="shared" ca="1" si="5"/>
        <v>6</v>
      </c>
      <c r="C14" s="527"/>
      <c r="D14" s="528">
        <v>6.0499999999999989</v>
      </c>
      <c r="E14" s="527"/>
      <c r="F14" s="527" t="s">
        <v>454</v>
      </c>
      <c r="G14" s="529"/>
      <c r="H14" s="529"/>
      <c r="I14" s="530">
        <f>+INDEX('[9]SEF-4 Sum'!$47:$47,MATCH($D14,'[9]SEF-4 Sum'!$13:$13,0))/1000</f>
        <v>18425.658872162148</v>
      </c>
      <c r="J14" s="530"/>
      <c r="K14" s="530">
        <f>+INDEX('[9]SEF-4 Sum'!$49:$49,MATCH(D14,'[9]SEF-4 Sum'!$13:$13,0))/1000</f>
        <v>0</v>
      </c>
      <c r="L14" s="530"/>
      <c r="M14" s="530">
        <v>-29764.36331120077</v>
      </c>
      <c r="N14" s="527"/>
      <c r="O14" s="529"/>
      <c r="P14" s="530">
        <f t="shared" si="0"/>
        <v>18255.976517619834</v>
      </c>
      <c r="Q14" s="530"/>
      <c r="R14" s="530">
        <f t="shared" si="1"/>
        <v>0</v>
      </c>
      <c r="S14" s="530"/>
      <c r="T14" s="530">
        <f t="shared" si="2"/>
        <v>-29423.767455266076</v>
      </c>
      <c r="U14" s="527"/>
      <c r="V14" s="529"/>
      <c r="W14" s="530">
        <v>0</v>
      </c>
      <c r="X14" s="530"/>
      <c r="Y14" s="530">
        <f>-($I$14-'Exh. BGM-4 (4) Rstng and PF Adj'!$X$24/1000)</f>
        <v>-169.68235454231399</v>
      </c>
      <c r="Z14" s="530"/>
      <c r="AA14" s="530">
        <v>0</v>
      </c>
      <c r="AB14" s="531"/>
      <c r="AC14" s="530">
        <f t="shared" si="4"/>
        <v>273.48272148007737</v>
      </c>
      <c r="AD14" s="532"/>
      <c r="AE14" s="527" t="s">
        <v>449</v>
      </c>
      <c r="AI14" s="507" t="s">
        <v>473</v>
      </c>
      <c r="AJ14" s="503">
        <f>+'[10]KJB-3 Def'!$H$15</f>
        <v>7.7399999999999997E-2</v>
      </c>
      <c r="AM14" s="500">
        <f>+INDEX('Exh. BGM-4 (2) Adj. Detail'!$K$47:$AJ$47,1,MATCH(D14,'Exh. BGM-4 (2) Adj. Detail'!$K$13:$AJ$13))/1000-P14</f>
        <v>0</v>
      </c>
    </row>
    <row r="15" spans="1:39">
      <c r="B15" s="477">
        <f t="shared" ca="1" si="5"/>
        <v>7</v>
      </c>
      <c r="D15" s="515">
        <v>6.0599999999999987</v>
      </c>
      <c r="F15" s="477" t="s">
        <v>455</v>
      </c>
      <c r="G15" s="483"/>
      <c r="I15" s="500">
        <f>+INDEX('[9]SEF-4 Sum'!$47:$47,MATCH($D15,'[9]SEF-4 Sum'!$13:$13,0))/1000</f>
        <v>13174.097538770449</v>
      </c>
      <c r="J15" s="500"/>
      <c r="K15" s="500">
        <f>+INDEX('[9]SEF-4 Sum'!$49:$49,MATCH(D15,'[9]SEF-4 Sum'!$13:$13,0))/1000</f>
        <v>6587.0487693852147</v>
      </c>
      <c r="L15" s="500"/>
      <c r="M15" s="500">
        <v>-20457.53898147331</v>
      </c>
      <c r="P15" s="500">
        <f t="shared" si="0"/>
        <v>13174.097538770449</v>
      </c>
      <c r="Q15" s="500"/>
      <c r="R15" s="500">
        <f t="shared" si="1"/>
        <v>6587.0487693852147</v>
      </c>
      <c r="S15" s="500"/>
      <c r="T15" s="500">
        <f t="shared" si="2"/>
        <v>-20447.507341181314</v>
      </c>
      <c r="W15" s="500">
        <v>0</v>
      </c>
      <c r="X15" s="500"/>
      <c r="Y15" s="500">
        <f t="shared" si="3"/>
        <v>0</v>
      </c>
      <c r="Z15" s="500"/>
      <c r="AA15" s="500">
        <v>0</v>
      </c>
      <c r="AB15" s="502"/>
      <c r="AC15" s="500">
        <f t="shared" si="4"/>
        <v>0</v>
      </c>
      <c r="AE15" s="477" t="s">
        <v>436</v>
      </c>
      <c r="AI15" s="507"/>
      <c r="AJ15" s="503"/>
      <c r="AM15" s="500">
        <f>+INDEX('Exh. BGM-4 (2) Adj. Detail'!$K$47:$AJ$47,1,MATCH(D15,'Exh. BGM-4 (2) Adj. Detail'!$K$13:$AJ$13))/1000-P15</f>
        <v>0</v>
      </c>
    </row>
    <row r="16" spans="1:39">
      <c r="B16" s="477">
        <f t="shared" ca="1" si="5"/>
        <v>8</v>
      </c>
      <c r="D16" s="515">
        <v>6.0699999999999985</v>
      </c>
      <c r="F16" s="477" t="s">
        <v>456</v>
      </c>
      <c r="G16" s="483"/>
      <c r="I16" s="500">
        <f>+INDEX('[9]SEF-4 Sum'!$47:$47,MATCH($D16,'[9]SEF-4 Sum'!$13:$13,0))/1000</f>
        <v>-57.737625337333405</v>
      </c>
      <c r="J16" s="500"/>
      <c r="K16" s="500">
        <f>+INDEX('[9]SEF-4 Sum'!$49:$49,MATCH(D16,'[9]SEF-4 Sum'!$13:$13,0))/1000</f>
        <v>0</v>
      </c>
      <c r="L16" s="500"/>
      <c r="M16" s="500">
        <v>93.267962312205952</v>
      </c>
      <c r="P16" s="500">
        <f t="shared" si="0"/>
        <v>-57.737625337333405</v>
      </c>
      <c r="Q16" s="500"/>
      <c r="R16" s="500">
        <f t="shared" si="1"/>
        <v>0</v>
      </c>
      <c r="S16" s="500"/>
      <c r="T16" s="500">
        <f t="shared" si="2"/>
        <v>93.057660306766721</v>
      </c>
      <c r="W16" s="500">
        <v>0</v>
      </c>
      <c r="X16" s="500"/>
      <c r="Y16" s="500">
        <f t="shared" si="3"/>
        <v>0</v>
      </c>
      <c r="Z16" s="500"/>
      <c r="AA16" s="500">
        <v>0</v>
      </c>
      <c r="AB16" s="502"/>
      <c r="AC16" s="500">
        <f t="shared" si="4"/>
        <v>0</v>
      </c>
      <c r="AE16" s="477" t="s">
        <v>436</v>
      </c>
      <c r="AI16" s="507" t="s">
        <v>474</v>
      </c>
      <c r="AJ16" s="500">
        <f>+K41</f>
        <v>1760693.6332691978</v>
      </c>
      <c r="AM16" s="500">
        <f>+INDEX('Exh. BGM-4 (2) Adj. Detail'!$K$47:$AJ$47,1,MATCH(D16,'Exh. BGM-4 (2) Adj. Detail'!$K$13:$AJ$13))/1000-P16</f>
        <v>0</v>
      </c>
    </row>
    <row r="17" spans="1:41">
      <c r="B17" s="477">
        <f t="shared" ca="1" si="5"/>
        <v>9</v>
      </c>
      <c r="D17" s="515">
        <v>6.0799999999999983</v>
      </c>
      <c r="F17" s="477" t="s">
        <v>457</v>
      </c>
      <c r="G17" s="483"/>
      <c r="I17" s="500">
        <f>+INDEX('[9]SEF-4 Sum'!$47:$47,MATCH($D17,'[9]SEF-4 Sum'!$13:$13,0))/1000</f>
        <v>-158.83500000000001</v>
      </c>
      <c r="J17" s="500"/>
      <c r="K17" s="500">
        <f>+INDEX('[9]SEF-4 Sum'!$49:$49,MATCH(D17,'[9]SEF-4 Sum'!$13:$13,0))/1000</f>
        <v>0</v>
      </c>
      <c r="L17" s="500"/>
      <c r="M17" s="500">
        <v>256.57821407283086</v>
      </c>
      <c r="P17" s="500">
        <f t="shared" si="0"/>
        <v>-158.83500000000001</v>
      </c>
      <c r="Q17" s="500"/>
      <c r="R17" s="500">
        <f t="shared" si="1"/>
        <v>0</v>
      </c>
      <c r="S17" s="500"/>
      <c r="T17" s="500">
        <f t="shared" si="2"/>
        <v>255.99967765331618</v>
      </c>
      <c r="W17" s="500">
        <v>0</v>
      </c>
      <c r="X17" s="500"/>
      <c r="Y17" s="500">
        <f t="shared" si="3"/>
        <v>0</v>
      </c>
      <c r="Z17" s="500"/>
      <c r="AA17" s="500">
        <v>0</v>
      </c>
      <c r="AB17" s="502"/>
      <c r="AC17" s="500">
        <f t="shared" si="4"/>
        <v>0</v>
      </c>
      <c r="AE17" s="477" t="s">
        <v>436</v>
      </c>
      <c r="AI17" s="507"/>
      <c r="AM17" s="500">
        <f>+INDEX('Exh. BGM-4 (2) Adj. Detail'!$K$47:$AJ$47,1,MATCH(D17,'Exh. BGM-4 (2) Adj. Detail'!$K$13:$AJ$13))/1000-P17</f>
        <v>0</v>
      </c>
    </row>
    <row r="18" spans="1:41">
      <c r="B18" s="477">
        <f t="shared" ca="1" si="5"/>
        <v>10</v>
      </c>
      <c r="D18" s="515">
        <v>6.0899999999999981</v>
      </c>
      <c r="F18" s="477" t="s">
        <v>458</v>
      </c>
      <c r="G18" s="483"/>
      <c r="I18" s="500">
        <f>+INDEX('[9]SEF-4 Sum'!$47:$47,MATCH($D18,'[9]SEF-4 Sum'!$13:$13,0))/1000</f>
        <v>213.05810290277333</v>
      </c>
      <c r="J18" s="500"/>
      <c r="K18" s="500">
        <f>+INDEX('[9]SEF-4 Sum'!$49:$49,MATCH(D18,'[9]SEF-4 Sum'!$13:$13,0))/1000</f>
        <v>0</v>
      </c>
      <c r="L18" s="500"/>
      <c r="M18" s="500">
        <v>-344.1689019204772</v>
      </c>
      <c r="P18" s="500">
        <f t="shared" si="0"/>
        <v>213.05810290277333</v>
      </c>
      <c r="Q18" s="500"/>
      <c r="R18" s="500">
        <f t="shared" si="1"/>
        <v>0</v>
      </c>
      <c r="S18" s="500"/>
      <c r="T18" s="500">
        <f t="shared" si="2"/>
        <v>-343.39286469944932</v>
      </c>
      <c r="W18" s="500">
        <v>0</v>
      </c>
      <c r="X18" s="500"/>
      <c r="Y18" s="500">
        <f t="shared" si="3"/>
        <v>0</v>
      </c>
      <c r="Z18" s="500"/>
      <c r="AA18" s="500">
        <v>0</v>
      </c>
      <c r="AB18" s="502"/>
      <c r="AC18" s="500">
        <f t="shared" si="4"/>
        <v>0</v>
      </c>
      <c r="AE18" s="477" t="s">
        <v>436</v>
      </c>
      <c r="AI18" s="507" t="s">
        <v>475</v>
      </c>
      <c r="AJ18" s="508">
        <f>+(AJ12-AJ14)*AJ16/AH4</f>
        <v>-9648.4138175763928</v>
      </c>
      <c r="AM18" s="500">
        <f>+INDEX('Exh. BGM-4 (2) Adj. Detail'!$K$47:$AJ$47,1,MATCH(D18,'Exh. BGM-4 (2) Adj. Detail'!$K$13:$AJ$13))/1000-P18</f>
        <v>0</v>
      </c>
    </row>
    <row r="19" spans="1:41">
      <c r="B19" s="477">
        <f t="shared" ca="1" si="5"/>
        <v>11</v>
      </c>
      <c r="D19" s="515">
        <v>6.0999999999999979</v>
      </c>
      <c r="F19" s="477" t="s">
        <v>459</v>
      </c>
      <c r="G19" s="483"/>
      <c r="I19" s="500">
        <f>+INDEX('[9]SEF-4 Sum'!$47:$47,MATCH($D19,'[9]SEF-4 Sum'!$13:$13,0))/1000</f>
        <v>11.635719098073176</v>
      </c>
      <c r="J19" s="500"/>
      <c r="K19" s="500">
        <f>+INDEX('[9]SEF-4 Sum'!$49:$49,MATCH(D19,'[9]SEF-4 Sum'!$13:$13,0))/1000</f>
        <v>0</v>
      </c>
      <c r="L19" s="500"/>
      <c r="M19" s="500">
        <v>-18.7960589645654</v>
      </c>
      <c r="P19" s="500">
        <f t="shared" si="0"/>
        <v>11.635719098073176</v>
      </c>
      <c r="Q19" s="500"/>
      <c r="R19" s="500">
        <f t="shared" si="1"/>
        <v>0</v>
      </c>
      <c r="S19" s="500"/>
      <c r="T19" s="500">
        <f t="shared" si="2"/>
        <v>-18.753677327863933</v>
      </c>
      <c r="W19" s="500">
        <v>0</v>
      </c>
      <c r="X19" s="500"/>
      <c r="Y19" s="500">
        <f t="shared" si="3"/>
        <v>0</v>
      </c>
      <c r="Z19" s="500"/>
      <c r="AA19" s="500">
        <v>0</v>
      </c>
      <c r="AB19" s="502"/>
      <c r="AC19" s="500">
        <f t="shared" si="4"/>
        <v>0</v>
      </c>
      <c r="AE19" s="477" t="s">
        <v>436</v>
      </c>
      <c r="AM19" s="500">
        <f>+INDEX('Exh. BGM-4 (2) Adj. Detail'!$K$47:$AJ$47,1,MATCH(D19,'Exh. BGM-4 (2) Adj. Detail'!$K$13:$AJ$13))/1000-P19</f>
        <v>0</v>
      </c>
    </row>
    <row r="20" spans="1:41">
      <c r="B20" s="477">
        <f t="shared" ca="1" si="5"/>
        <v>12</v>
      </c>
      <c r="D20" s="515">
        <v>6.1099999999999977</v>
      </c>
      <c r="F20" s="477" t="s">
        <v>460</v>
      </c>
      <c r="G20" s="483"/>
      <c r="I20" s="500">
        <f>+INDEX('[9]SEF-4 Sum'!$47:$47,MATCH($D20,'[9]SEF-4 Sum'!$13:$13,0))/1000</f>
        <v>-30.708659753503117</v>
      </c>
      <c r="J20" s="500"/>
      <c r="K20" s="500">
        <f>+INDEX('[9]SEF-4 Sum'!$49:$49,MATCH(D20,'[9]SEF-4 Sum'!$13:$13,0))/1000</f>
        <v>0</v>
      </c>
      <c r="L20" s="500"/>
      <c r="M20" s="500">
        <v>49.606025599672911</v>
      </c>
      <c r="P20" s="500">
        <f t="shared" si="0"/>
        <v>-30.708659753503117</v>
      </c>
      <c r="Q20" s="500"/>
      <c r="R20" s="500">
        <f t="shared" si="1"/>
        <v>0</v>
      </c>
      <c r="S20" s="500"/>
      <c r="T20" s="500">
        <f t="shared" si="2"/>
        <v>49.494173186401994</v>
      </c>
      <c r="W20" s="500">
        <v>0</v>
      </c>
      <c r="X20" s="500"/>
      <c r="Y20" s="500">
        <f t="shared" si="3"/>
        <v>0</v>
      </c>
      <c r="Z20" s="500"/>
      <c r="AA20" s="500">
        <v>0</v>
      </c>
      <c r="AB20" s="502"/>
      <c r="AC20" s="500">
        <f t="shared" si="4"/>
        <v>0</v>
      </c>
      <c r="AE20" s="477" t="s">
        <v>436</v>
      </c>
      <c r="AI20" s="507"/>
      <c r="AJ20" s="508"/>
      <c r="AM20" s="500">
        <f>+INDEX('Exh. BGM-4 (2) Adj. Detail'!$K$47:$AJ$47,1,MATCH(D20,'Exh. BGM-4 (2) Adj. Detail'!$K$13:$AJ$13))/1000-P20</f>
        <v>0</v>
      </c>
    </row>
    <row r="21" spans="1:41">
      <c r="B21" s="477">
        <f t="shared" ca="1" si="5"/>
        <v>13</v>
      </c>
      <c r="D21" s="515">
        <v>6.1199999999999974</v>
      </c>
      <c r="F21" s="477" t="s">
        <v>461</v>
      </c>
      <c r="G21" s="483"/>
      <c r="I21" s="500">
        <f>+INDEX('[9]SEF-4 Sum'!$47:$47,MATCH($D21,'[9]SEF-4 Sum'!$13:$13,0))/1000</f>
        <v>-280.61730621859999</v>
      </c>
      <c r="J21" s="500"/>
      <c r="K21" s="500">
        <f>+INDEX('[9]SEF-4 Sum'!$49:$49,MATCH(D21,'[9]SEF-4 Sum'!$13:$13,0))/1000</f>
        <v>0</v>
      </c>
      <c r="L21" s="500"/>
      <c r="M21" s="500">
        <v>453.3024035476883</v>
      </c>
      <c r="P21" s="500">
        <f t="shared" si="0"/>
        <v>-280.61730621859999</v>
      </c>
      <c r="Q21" s="500"/>
      <c r="R21" s="500">
        <f t="shared" si="1"/>
        <v>0</v>
      </c>
      <c r="S21" s="500"/>
      <c r="T21" s="500">
        <f t="shared" si="2"/>
        <v>452.28029046434045</v>
      </c>
      <c r="W21" s="500">
        <v>0</v>
      </c>
      <c r="X21" s="500"/>
      <c r="Y21" s="500">
        <f t="shared" si="3"/>
        <v>0</v>
      </c>
      <c r="Z21" s="500"/>
      <c r="AA21" s="500">
        <v>0</v>
      </c>
      <c r="AB21" s="502"/>
      <c r="AC21" s="500">
        <f t="shared" si="4"/>
        <v>0</v>
      </c>
      <c r="AE21" s="477" t="s">
        <v>436</v>
      </c>
      <c r="AM21" s="500">
        <f>+INDEX('Exh. BGM-4 (2) Adj. Detail'!$K$47:$AJ$47,1,MATCH(D21,'Exh. BGM-4 (2) Adj. Detail'!$K$13:$AJ$13))/1000-P21</f>
        <v>0</v>
      </c>
    </row>
    <row r="22" spans="1:41">
      <c r="B22" s="477">
        <f t="shared" ca="1" si="5"/>
        <v>14</v>
      </c>
      <c r="D22" s="515">
        <v>6.1299999999999972</v>
      </c>
      <c r="F22" s="477" t="s">
        <v>462</v>
      </c>
      <c r="G22" s="483"/>
      <c r="I22" s="500">
        <f>+INDEX('[9]SEF-4 Sum'!$47:$47,MATCH($D22,'[9]SEF-4 Sum'!$13:$13,0))/1000</f>
        <v>-105.08982033333331</v>
      </c>
      <c r="J22" s="500"/>
      <c r="K22" s="500">
        <f>+INDEX('[9]SEF-4 Sum'!$49:$49,MATCH(D22,'[9]SEF-4 Sum'!$13:$13,0))/1000</f>
        <v>0</v>
      </c>
      <c r="L22" s="500"/>
      <c r="M22" s="500">
        <v>169.75955185167831</v>
      </c>
      <c r="P22" s="500">
        <f t="shared" si="0"/>
        <v>-105.08982033333331</v>
      </c>
      <c r="Q22" s="500"/>
      <c r="R22" s="500">
        <f t="shared" si="1"/>
        <v>0</v>
      </c>
      <c r="S22" s="500"/>
      <c r="T22" s="500">
        <f t="shared" si="2"/>
        <v>169.37677545867245</v>
      </c>
      <c r="W22" s="500">
        <v>0</v>
      </c>
      <c r="X22" s="500"/>
      <c r="Y22" s="500">
        <f t="shared" si="3"/>
        <v>0</v>
      </c>
      <c r="Z22" s="500"/>
      <c r="AA22" s="500">
        <v>0</v>
      </c>
      <c r="AB22" s="502"/>
      <c r="AC22" s="500">
        <f t="shared" si="4"/>
        <v>0</v>
      </c>
      <c r="AE22" s="477" t="s">
        <v>436</v>
      </c>
      <c r="AM22" s="500">
        <f>+INDEX('Exh. BGM-4 (2) Adj. Detail'!$K$47:$AJ$47,1,MATCH(D22,'Exh. BGM-4 (2) Adj. Detail'!$K$13:$AJ$13))/1000-P22</f>
        <v>0</v>
      </c>
    </row>
    <row r="23" spans="1:41">
      <c r="B23" s="477">
        <f t="shared" ca="1" si="5"/>
        <v>15</v>
      </c>
      <c r="D23" s="515">
        <v>6.139999999999997</v>
      </c>
      <c r="F23" s="477" t="s">
        <v>463</v>
      </c>
      <c r="G23" s="483"/>
      <c r="I23" s="500">
        <f>+INDEX('[9]SEF-4 Sum'!$47:$47,MATCH($D23,'[9]SEF-4 Sum'!$13:$13,0))/1000</f>
        <v>45.174250300597294</v>
      </c>
      <c r="J23" s="500"/>
      <c r="K23" s="500">
        <f>+INDEX('[9]SEF-4 Sum'!$49:$49,MATCH(D23,'[9]SEF-4 Sum'!$13:$13,0))/1000</f>
        <v>0</v>
      </c>
      <c r="L23" s="500"/>
      <c r="M23" s="500">
        <v>-72.97339040014036</v>
      </c>
      <c r="P23" s="500">
        <f t="shared" si="0"/>
        <v>45.174250300597294</v>
      </c>
      <c r="Q23" s="500"/>
      <c r="R23" s="500">
        <f t="shared" si="1"/>
        <v>0</v>
      </c>
      <c r="S23" s="500"/>
      <c r="T23" s="500">
        <f t="shared" si="2"/>
        <v>-72.808848900954629</v>
      </c>
      <c r="W23" s="500">
        <v>0</v>
      </c>
      <c r="X23" s="500"/>
      <c r="Y23" s="500">
        <f t="shared" si="3"/>
        <v>0</v>
      </c>
      <c r="Z23" s="500"/>
      <c r="AA23" s="500">
        <v>0</v>
      </c>
      <c r="AB23" s="502"/>
      <c r="AC23" s="500">
        <f t="shared" si="4"/>
        <v>0</v>
      </c>
      <c r="AE23" s="477" t="s">
        <v>436</v>
      </c>
      <c r="AM23" s="500">
        <f>+INDEX('Exh. BGM-4 (2) Adj. Detail'!$K$47:$AJ$47,1,MATCH(D23,'Exh. BGM-4 (2) Adj. Detail'!$K$13:$AJ$13))/1000-P23</f>
        <v>0</v>
      </c>
    </row>
    <row r="24" spans="1:41">
      <c r="B24" s="527">
        <f t="shared" ca="1" si="5"/>
        <v>16</v>
      </c>
      <c r="C24" s="527"/>
      <c r="D24" s="528">
        <v>6.1499999999999968</v>
      </c>
      <c r="E24" s="527"/>
      <c r="F24" s="527" t="s">
        <v>464</v>
      </c>
      <c r="G24" s="529"/>
      <c r="H24" s="529"/>
      <c r="I24" s="530">
        <f>+INDEX('[9]SEF-4 Sum'!$47:$47,MATCH($D24,'[9]SEF-4 Sum'!$13:$13,0))/1000</f>
        <v>-572.09109867787151</v>
      </c>
      <c r="J24" s="530"/>
      <c r="K24" s="530">
        <f>+INDEX('[9]SEF-4 Sum'!$49:$49,MATCH(D24,'[9]SEF-4 Sum'!$13:$13,0))/1000</f>
        <v>0</v>
      </c>
      <c r="L24" s="530"/>
      <c r="M24" s="530">
        <v>-724.96428927458953</v>
      </c>
      <c r="N24" s="527"/>
      <c r="O24" s="529"/>
      <c r="P24" s="530">
        <f t="shared" si="0"/>
        <v>448.789868239724</v>
      </c>
      <c r="Q24" s="530"/>
      <c r="R24" s="530">
        <f t="shared" si="1"/>
        <v>0</v>
      </c>
      <c r="S24" s="530"/>
      <c r="T24" s="530">
        <f t="shared" si="2"/>
        <v>-723.32962888181805</v>
      </c>
      <c r="U24" s="527"/>
      <c r="V24" s="529"/>
      <c r="W24" s="530">
        <f>-('[11]Lead G'!$F$17-'[12]Lead G'!$F$17)/1000</f>
        <v>1570.5861029501468</v>
      </c>
      <c r="X24" s="530"/>
      <c r="Y24" s="530">
        <f t="shared" si="3"/>
        <v>1020.8809669175955</v>
      </c>
      <c r="Z24" s="530"/>
      <c r="AA24" s="530">
        <v>0</v>
      </c>
      <c r="AB24" s="531"/>
      <c r="AC24" s="530">
        <f t="shared" si="4"/>
        <v>-1645.3879715006778</v>
      </c>
      <c r="AD24" s="532"/>
      <c r="AE24" s="527" t="s">
        <v>437</v>
      </c>
      <c r="AM24" s="500">
        <f>+INDEX('Exh. BGM-4 (2) Adj. Detail'!$K$47:$AJ$47,1,MATCH(D24,'Exh. BGM-4 (2) Adj. Detail'!$K$13:$AJ$13))/1000-P24</f>
        <v>0</v>
      </c>
    </row>
    <row r="25" spans="1:41">
      <c r="B25" s="477">
        <f t="shared" ca="1" si="5"/>
        <v>17</v>
      </c>
      <c r="D25" s="515">
        <v>6.1599999999999966</v>
      </c>
      <c r="F25" s="477" t="s">
        <v>465</v>
      </c>
      <c r="G25" s="483"/>
      <c r="I25" s="500">
        <f>+INDEX('[9]SEF-4 Sum'!$47:$47,MATCH($D25,'[9]SEF-4 Sum'!$13:$13,0))/1000</f>
        <v>-972.16748734617295</v>
      </c>
      <c r="J25" s="500"/>
      <c r="K25" s="500">
        <f>+INDEX('[9]SEF-4 Sum'!$49:$49,MATCH(D25,'[9]SEF-4 Sum'!$13:$13,0))/1000</f>
        <v>0</v>
      </c>
      <c r="L25" s="500"/>
      <c r="M25" s="500">
        <v>1570.4158257496927</v>
      </c>
      <c r="P25" s="500">
        <f t="shared" si="0"/>
        <v>-972.16748734617295</v>
      </c>
      <c r="Q25" s="500"/>
      <c r="R25" s="500">
        <f t="shared" si="1"/>
        <v>0</v>
      </c>
      <c r="S25" s="500"/>
      <c r="T25" s="500">
        <f t="shared" si="2"/>
        <v>1566.8748285053962</v>
      </c>
      <c r="W25" s="500">
        <v>0</v>
      </c>
      <c r="X25" s="500"/>
      <c r="Y25" s="500">
        <f t="shared" si="3"/>
        <v>0</v>
      </c>
      <c r="Z25" s="500"/>
      <c r="AA25" s="500">
        <v>0</v>
      </c>
      <c r="AB25" s="502"/>
      <c r="AC25" s="500">
        <f t="shared" si="4"/>
        <v>0</v>
      </c>
      <c r="AE25" s="477" t="s">
        <v>436</v>
      </c>
      <c r="AM25" s="500">
        <f>+INDEX('Exh. BGM-4 (2) Adj. Detail'!$K$47:$AJ$47,1,MATCH(D25,'Exh. BGM-4 (2) Adj. Detail'!$K$13:$AJ$13))/1000-P25</f>
        <v>0</v>
      </c>
    </row>
    <row r="26" spans="1:41">
      <c r="B26" s="477">
        <f t="shared" ca="1" si="5"/>
        <v>18</v>
      </c>
      <c r="D26" s="515">
        <v>6.1699999999999964</v>
      </c>
      <c r="F26" s="477" t="s">
        <v>466</v>
      </c>
      <c r="G26" s="483"/>
      <c r="I26" s="500">
        <f>+INDEX('[9]SEF-4 Sum'!$47:$47,MATCH($D26,'[9]SEF-4 Sum'!$13:$13,0))/1000</f>
        <v>-51.438487875506745</v>
      </c>
      <c r="J26" s="500"/>
      <c r="K26" s="500">
        <f>+INDEX('[9]SEF-4 Sum'!$49:$49,MATCH(D26,'[9]SEF-4 Sum'!$13:$13,0))/1000</f>
        <v>0</v>
      </c>
      <c r="L26" s="500"/>
      <c r="M26" s="500">
        <v>83.092488139921826</v>
      </c>
      <c r="P26" s="500">
        <f t="shared" si="0"/>
        <v>-51.438487875506745</v>
      </c>
      <c r="Q26" s="500"/>
      <c r="R26" s="500">
        <f t="shared" si="1"/>
        <v>0</v>
      </c>
      <c r="S26" s="500"/>
      <c r="T26" s="500">
        <f t="shared" si="2"/>
        <v>82.905129946823678</v>
      </c>
      <c r="W26" s="500">
        <v>0</v>
      </c>
      <c r="X26" s="500"/>
      <c r="Y26" s="500">
        <f t="shared" si="3"/>
        <v>0</v>
      </c>
      <c r="Z26" s="500"/>
      <c r="AA26" s="500">
        <v>0</v>
      </c>
      <c r="AB26" s="502"/>
      <c r="AC26" s="500">
        <f t="shared" si="4"/>
        <v>0</v>
      </c>
      <c r="AE26" s="477" t="s">
        <v>436</v>
      </c>
      <c r="AM26" s="500">
        <f>+INDEX('Exh. BGM-4 (2) Adj. Detail'!$K$47:$AJ$47,1,MATCH(D26,'Exh. BGM-4 (2) Adj. Detail'!$K$13:$AJ$13))/1000-P26</f>
        <v>0</v>
      </c>
    </row>
    <row r="27" spans="1:41">
      <c r="B27" s="477">
        <f t="shared" ca="1" si="5"/>
        <v>19</v>
      </c>
      <c r="D27" s="515">
        <v>6.1799999999999962</v>
      </c>
      <c r="F27" s="477" t="s">
        <v>467</v>
      </c>
      <c r="G27" s="483"/>
      <c r="I27" s="500">
        <f>+INDEX('[9]SEF-4 Sum'!$47:$47,MATCH($D27,'[9]SEF-4 Sum'!$13:$13,0))/1000</f>
        <v>-58.781168112681989</v>
      </c>
      <c r="J27" s="500"/>
      <c r="K27" s="500">
        <f>+INDEX('[9]SEF-4 Sum'!$49:$49,MATCH(D27,'[9]SEF-4 Sum'!$13:$13,0))/1000</f>
        <v>0</v>
      </c>
      <c r="L27" s="500"/>
      <c r="M27" s="500">
        <v>94.953676050409399</v>
      </c>
      <c r="P27" s="500">
        <f t="shared" si="0"/>
        <v>-58.781168112681989</v>
      </c>
      <c r="Q27" s="500"/>
      <c r="R27" s="500">
        <f t="shared" si="1"/>
        <v>0</v>
      </c>
      <c r="S27" s="500"/>
      <c r="T27" s="500">
        <f t="shared" si="2"/>
        <v>94.73957307225723</v>
      </c>
      <c r="W27" s="500">
        <v>0</v>
      </c>
      <c r="X27" s="500"/>
      <c r="Y27" s="500">
        <f t="shared" si="3"/>
        <v>0</v>
      </c>
      <c r="Z27" s="500"/>
      <c r="AA27" s="500">
        <v>0</v>
      </c>
      <c r="AB27" s="502"/>
      <c r="AC27" s="500">
        <f t="shared" si="4"/>
        <v>0</v>
      </c>
      <c r="AE27" s="477" t="s">
        <v>436</v>
      </c>
      <c r="AM27" s="500">
        <f>+INDEX('Exh. BGM-4 (2) Adj. Detail'!$K$47:$AJ$47,1,MATCH(D27,'Exh. BGM-4 (2) Adj. Detail'!$K$13:$AJ$13))/1000-P27</f>
        <v>0</v>
      </c>
    </row>
    <row r="28" spans="1:41">
      <c r="A28" s="517"/>
      <c r="B28" s="527">
        <f t="shared" ca="1" si="5"/>
        <v>20</v>
      </c>
      <c r="C28" s="533"/>
      <c r="D28" s="528">
        <v>6.1899999999999959</v>
      </c>
      <c r="E28" s="533"/>
      <c r="F28" s="527" t="s">
        <v>468</v>
      </c>
      <c r="G28" s="527"/>
      <c r="H28" s="529"/>
      <c r="I28" s="530">
        <f>+INDEX('[9]SEF-4 Sum'!$47:$47,MATCH($D28,'[9]SEF-4 Sum'!$13:$13,0))/1000</f>
        <v>-5564.9105955924006</v>
      </c>
      <c r="J28" s="530"/>
      <c r="K28" s="530">
        <f>+INDEX('[9]SEF-4 Sum'!$49:$49,MATCH(D28,'[9]SEF-4 Sum'!$13:$13,0))/1000</f>
        <v>0</v>
      </c>
      <c r="L28" s="530"/>
      <c r="M28" s="530">
        <v>4604.1742021255095</v>
      </c>
      <c r="N28" s="527"/>
      <c r="O28" s="529"/>
      <c r="P28" s="530">
        <f t="shared" si="0"/>
        <v>-2850.2186439999978</v>
      </c>
      <c r="Q28" s="530"/>
      <c r="R28" s="530">
        <f t="shared" si="1"/>
        <v>0</v>
      </c>
      <c r="S28" s="530"/>
      <c r="T28" s="530">
        <f t="shared" si="2"/>
        <v>4593.7926408252042</v>
      </c>
      <c r="U28" s="527"/>
      <c r="V28" s="529"/>
      <c r="W28" s="530">
        <f>+'[13]Lead G'!$K$27/1000</f>
        <v>4176.4491562960038</v>
      </c>
      <c r="X28" s="530"/>
      <c r="Y28" s="530">
        <f t="shared" si="3"/>
        <v>2714.6919515924028</v>
      </c>
      <c r="Z28" s="530"/>
      <c r="AA28" s="530">
        <v>0</v>
      </c>
      <c r="AB28" s="532"/>
      <c r="AC28" s="530">
        <f t="shared" si="4"/>
        <v>-4375.3597414657152</v>
      </c>
      <c r="AD28" s="532"/>
      <c r="AE28" s="527" t="s">
        <v>437</v>
      </c>
      <c r="AF28" s="476"/>
      <c r="AM28" s="500">
        <f>+INDEX('Exh. BGM-4 (2) Adj. Detail'!$K$47:$AJ$47,1,MATCH(D28,'Exh. BGM-4 (2) Adj. Detail'!$K$13:$AJ$13))/1000-P28</f>
        <v>0</v>
      </c>
    </row>
    <row r="29" spans="1:41">
      <c r="B29" s="477">
        <f t="shared" ca="1" si="5"/>
        <v>21</v>
      </c>
      <c r="C29" s="476"/>
      <c r="D29" s="515">
        <v>6.1999999999999957</v>
      </c>
      <c r="E29" s="476"/>
      <c r="F29" s="477" t="s">
        <v>469</v>
      </c>
      <c r="I29" s="500">
        <f>+INDEX('[9]SEF-4 Sum'!$47:$47,MATCH($D29,'[9]SEF-4 Sum'!$13:$13,0))/1000</f>
        <v>-2225.7000228582851</v>
      </c>
      <c r="J29" s="500"/>
      <c r="K29" s="500">
        <f>+INDEX('[9]SEF-4 Sum'!$49:$49,MATCH(D29,'[9]SEF-4 Sum'!$13:$13,0))/1000</f>
        <v>0</v>
      </c>
      <c r="L29" s="500"/>
      <c r="M29" s="500">
        <v>3595.3419392881765</v>
      </c>
      <c r="P29" s="500">
        <f t="shared" si="0"/>
        <v>-2225.7000228582851</v>
      </c>
      <c r="Q29" s="500"/>
      <c r="R29" s="500">
        <f t="shared" si="1"/>
        <v>0</v>
      </c>
      <c r="S29" s="500"/>
      <c r="T29" s="500">
        <f t="shared" si="2"/>
        <v>3587.2351081606662</v>
      </c>
      <c r="W29" s="500">
        <v>0</v>
      </c>
      <c r="X29" s="500"/>
      <c r="Y29" s="500">
        <f t="shared" si="3"/>
        <v>0</v>
      </c>
      <c r="Z29" s="500"/>
      <c r="AA29" s="500">
        <v>0</v>
      </c>
      <c r="AC29" s="500">
        <f t="shared" si="4"/>
        <v>0</v>
      </c>
      <c r="AE29" s="477" t="s">
        <v>436</v>
      </c>
      <c r="AF29" s="476"/>
      <c r="AM29" s="500">
        <f>+INDEX('Exh. BGM-4 (2) Adj. Detail'!$K$47:$AJ$47,1,MATCH(D29,'Exh. BGM-4 (2) Adj. Detail'!$K$13:$AJ$13))/1000-P29</f>
        <v>0</v>
      </c>
    </row>
    <row r="30" spans="1:41">
      <c r="B30" s="477">
        <f t="shared" ca="1" si="5"/>
        <v>22</v>
      </c>
      <c r="D30" s="515">
        <v>6.2099999999999955</v>
      </c>
      <c r="F30" s="477" t="s">
        <v>470</v>
      </c>
      <c r="G30" s="483"/>
      <c r="I30" s="500">
        <f>+INDEX('[9]SEF-4 Sum'!$47:$47,MATCH($D30,'[9]SEF-4 Sum'!$13:$13,0))/1000</f>
        <v>212.04829051128854</v>
      </c>
      <c r="J30" s="500"/>
      <c r="K30" s="500">
        <f>+INDEX('[9]SEF-4 Sum'!$49:$49,MATCH(D30,'[9]SEF-4 Sum'!$13:$13,0))/1000</f>
        <v>7775.1156953258078</v>
      </c>
      <c r="L30" s="500"/>
      <c r="M30" s="500">
        <v>629.58571152769139</v>
      </c>
      <c r="P30" s="500">
        <f t="shared" si="0"/>
        <v>212.04829051128854</v>
      </c>
      <c r="Q30" s="500"/>
      <c r="R30" s="500">
        <f t="shared" si="1"/>
        <v>7775.1156953258078</v>
      </c>
      <c r="S30" s="500"/>
      <c r="T30" s="500">
        <f t="shared" si="2"/>
        <v>585.5593052507395</v>
      </c>
      <c r="W30" s="500">
        <v>0</v>
      </c>
      <c r="X30" s="500"/>
      <c r="Y30" s="500">
        <f t="shared" si="3"/>
        <v>0</v>
      </c>
      <c r="Z30" s="500"/>
      <c r="AA30" s="500">
        <v>0</v>
      </c>
      <c r="AC30" s="500">
        <f t="shared" si="4"/>
        <v>0</v>
      </c>
      <c r="AE30" s="477" t="s">
        <v>436</v>
      </c>
      <c r="AM30" s="500">
        <f>+INDEX('Exh. BGM-4 (2) Adj. Detail'!$K$47:$AJ$47,1,MATCH(D30,'Exh. BGM-4 (2) Adj. Detail'!$K$13:$AJ$13))/1000-P30</f>
        <v>0</v>
      </c>
    </row>
    <row r="31" spans="1:41">
      <c r="B31" s="477">
        <f t="shared" ca="1" si="5"/>
        <v>23</v>
      </c>
      <c r="D31" s="515">
        <v>6.2199999999999953</v>
      </c>
      <c r="F31" s="477" t="s">
        <v>472</v>
      </c>
      <c r="G31" s="498"/>
      <c r="H31" s="498"/>
      <c r="I31" s="500">
        <f>+INDEX('[9]SEF-4 Sum'!$47:$47,MATCH($D31,'[9]SEF-4 Sum'!$13:$13,0))/1000</f>
        <v>33.509156061998105</v>
      </c>
      <c r="J31" s="500"/>
      <c r="K31" s="500">
        <f>+INDEX('[9]SEF-4 Sum'!$49:$49,MATCH(D31,'[9]SEF-4 Sum'!$13:$13,0))/1000</f>
        <v>0</v>
      </c>
      <c r="L31" s="500"/>
      <c r="M31" s="500">
        <v>-54.129879544654813</v>
      </c>
      <c r="N31" s="476"/>
      <c r="O31" s="498"/>
      <c r="P31" s="509">
        <f t="shared" si="0"/>
        <v>33.509156061998105</v>
      </c>
      <c r="Q31" s="509"/>
      <c r="R31" s="509">
        <f t="shared" si="1"/>
        <v>0</v>
      </c>
      <c r="S31" s="509"/>
      <c r="T31" s="509">
        <f t="shared" si="2"/>
        <v>-54.007826677408509</v>
      </c>
      <c r="W31" s="500">
        <v>0</v>
      </c>
      <c r="X31" s="500"/>
      <c r="Y31" s="500">
        <f t="shared" si="3"/>
        <v>0</v>
      </c>
      <c r="Z31" s="500"/>
      <c r="AA31" s="500">
        <v>0</v>
      </c>
      <c r="AB31" s="499"/>
      <c r="AC31" s="500">
        <f t="shared" si="4"/>
        <v>0</v>
      </c>
      <c r="AE31" s="477" t="s">
        <v>436</v>
      </c>
      <c r="AM31" s="500">
        <f>+INDEX('Exh. BGM-4 (2) Adj. Detail'!$K$47:$AJ$47,1,MATCH(D31,'Exh. BGM-4 (2) Adj. Detail'!$K$13:$AJ$13))/1000-P31</f>
        <v>0</v>
      </c>
      <c r="AO31" s="477">
        <f>+AC14*AA32/AA41</f>
        <v>60.576988718379624</v>
      </c>
    </row>
    <row r="32" spans="1:41">
      <c r="A32" s="527"/>
      <c r="B32" s="527">
        <f t="shared" ca="1" si="5"/>
        <v>24</v>
      </c>
      <c r="C32" s="527"/>
      <c r="D32" s="528" t="s">
        <v>426</v>
      </c>
      <c r="E32" s="527"/>
      <c r="F32" s="527" t="s">
        <v>425</v>
      </c>
      <c r="G32" s="534"/>
      <c r="H32" s="534"/>
      <c r="I32" s="530">
        <v>0</v>
      </c>
      <c r="J32" s="530"/>
      <c r="K32" s="530">
        <v>0</v>
      </c>
      <c r="L32" s="530"/>
      <c r="M32" s="530">
        <v>0</v>
      </c>
      <c r="N32" s="527"/>
      <c r="O32" s="529"/>
      <c r="P32" s="530">
        <f t="shared" si="0"/>
        <v>0</v>
      </c>
      <c r="Q32" s="530"/>
      <c r="R32" s="530">
        <f t="shared" si="1"/>
        <v>-3591.4947587500005</v>
      </c>
      <c r="S32" s="530"/>
      <c r="T32" s="530">
        <f t="shared" si="2"/>
        <v>-428.35137746393752</v>
      </c>
      <c r="U32" s="527"/>
      <c r="V32" s="529"/>
      <c r="W32" s="530">
        <v>0</v>
      </c>
      <c r="X32" s="530"/>
      <c r="Y32" s="530">
        <f t="shared" ref="Y32" si="6">+W32*(1-$AH$5)</f>
        <v>0</v>
      </c>
      <c r="Z32" s="530"/>
      <c r="AA32" s="530">
        <f>+'Exh. BGM-4 (4) Rstng and PF Adj'!DJ15/1000</f>
        <v>-3591.4947587500005</v>
      </c>
      <c r="AB32" s="535"/>
      <c r="AC32" s="530">
        <f t="shared" si="4"/>
        <v>-428.35137746393752</v>
      </c>
      <c r="AD32" s="532"/>
      <c r="AE32" s="527" t="s">
        <v>438</v>
      </c>
      <c r="AM32" s="500">
        <f>+INDEX('Exh. BGM-4 (2) Adj. Detail'!$K$47:$AJ$47,1,MATCH(D32,'Exh. BGM-4 (2) Adj. Detail'!$K$13:$AJ$13))/1000-P32</f>
        <v>0</v>
      </c>
    </row>
    <row r="33" spans="1:41">
      <c r="A33" s="517"/>
      <c r="B33" s="527">
        <f t="shared" ca="1" si="5"/>
        <v>25</v>
      </c>
      <c r="C33" s="527"/>
      <c r="D33" s="528" t="s">
        <v>439</v>
      </c>
      <c r="E33" s="527"/>
      <c r="F33" s="527" t="s">
        <v>440</v>
      </c>
      <c r="G33" s="534"/>
      <c r="H33" s="534"/>
      <c r="I33" s="537">
        <v>0</v>
      </c>
      <c r="J33" s="530"/>
      <c r="K33" s="530">
        <v>0</v>
      </c>
      <c r="L33" s="530"/>
      <c r="M33" s="530">
        <v>0</v>
      </c>
      <c r="N33" s="527"/>
      <c r="O33" s="529"/>
      <c r="P33" s="530">
        <f t="shared" ref="P33" si="7">+I33+Y33</f>
        <v>238.12620000000001</v>
      </c>
      <c r="Q33" s="530"/>
      <c r="R33" s="530">
        <f t="shared" ref="R33" si="8">+K33+AA33</f>
        <v>0</v>
      </c>
      <c r="S33" s="530"/>
      <c r="T33" s="530">
        <f t="shared" si="2"/>
        <v>-383.79595454911765</v>
      </c>
      <c r="U33" s="527"/>
      <c r="V33" s="529"/>
      <c r="W33" s="530">
        <f>-'Exh. BGM-4 (4) Rstng and PF Adj'!DT15/1000</f>
        <v>366.34800000000001</v>
      </c>
      <c r="X33" s="530"/>
      <c r="Y33" s="530">
        <f t="shared" ref="Y33" si="9">+W33*(1-$AH$5)</f>
        <v>238.12620000000001</v>
      </c>
      <c r="Z33" s="530"/>
      <c r="AA33" s="530">
        <v>0</v>
      </c>
      <c r="AB33" s="535"/>
      <c r="AC33" s="530">
        <f t="shared" si="4"/>
        <v>-383.79595454911765</v>
      </c>
      <c r="AD33" s="532"/>
      <c r="AE33" s="527" t="s">
        <v>438</v>
      </c>
      <c r="AM33" s="523"/>
    </row>
    <row r="34" spans="1:41">
      <c r="B34" s="501"/>
      <c r="D34" s="515"/>
      <c r="F34" s="476"/>
      <c r="G34" s="498"/>
      <c r="H34" s="498"/>
      <c r="I34" s="510"/>
      <c r="J34" s="499"/>
      <c r="K34" s="510"/>
      <c r="L34" s="499"/>
      <c r="M34" s="511"/>
      <c r="N34" s="476"/>
      <c r="O34" s="498"/>
      <c r="P34" s="510"/>
      <c r="Q34" s="499"/>
      <c r="R34" s="510"/>
      <c r="S34" s="499"/>
      <c r="T34" s="511"/>
      <c r="W34" s="510"/>
      <c r="X34" s="477"/>
      <c r="Y34" s="510"/>
      <c r="Z34" s="499"/>
      <c r="AA34" s="510"/>
      <c r="AB34" s="499"/>
      <c r="AC34" s="511"/>
    </row>
    <row r="35" spans="1:41">
      <c r="B35" s="477">
        <f t="shared" ca="1" si="5"/>
        <v>26</v>
      </c>
      <c r="D35" s="515"/>
      <c r="F35" s="476" t="s">
        <v>421</v>
      </c>
      <c r="G35" s="498"/>
      <c r="H35" s="498"/>
      <c r="I35" s="499">
        <f>+SUM(I$7:I$34)</f>
        <v>126015.67092031807</v>
      </c>
      <c r="J35" s="499"/>
      <c r="K35" s="499">
        <f>+SUM(K$7:K$34)</f>
        <v>1741681.9248602663</v>
      </c>
      <c r="L35" s="499"/>
      <c r="M35" s="499">
        <f>+($K35*$AJ$12-$I35)/$AH$4</f>
        <v>4623.7271647056605</v>
      </c>
      <c r="N35" s="476"/>
      <c r="O35" s="498"/>
      <c r="P35" s="499">
        <f>+SUM(P$7:P$34)</f>
        <v>129819.68768428573</v>
      </c>
      <c r="Q35" s="499"/>
      <c r="R35" s="499">
        <f>+SUM(R$7:R$34)</f>
        <v>1738090.4301015162</v>
      </c>
      <c r="S35" s="499"/>
      <c r="T35" s="499">
        <f>+($R35*$AJ$12-$P35)/$AH$4</f>
        <v>-1935.6851587936899</v>
      </c>
      <c r="W35" s="499">
        <f>+SUM(W$7:W$34)</f>
        <v>6113.3832592461504</v>
      </c>
      <c r="X35" s="499"/>
      <c r="Y35" s="499">
        <f>+SUM(Y$7:Y$34)</f>
        <v>3804.0167639676843</v>
      </c>
      <c r="Z35" s="499" t="s">
        <v>448</v>
      </c>
      <c r="AA35" s="499">
        <f>+SUM(AA$7:AA$34)</f>
        <v>-3591.4947587500005</v>
      </c>
      <c r="AB35" s="499"/>
      <c r="AC35" s="499">
        <f>+SUM(AC$7:AC$34)</f>
        <v>-6559.4123234993713</v>
      </c>
    </row>
    <row r="36" spans="1:41">
      <c r="B36" s="501"/>
      <c r="D36" s="515"/>
      <c r="G36" s="483"/>
      <c r="W36" s="500"/>
      <c r="X36" s="500"/>
      <c r="Y36" s="500"/>
      <c r="Z36" s="500"/>
      <c r="AA36" s="500"/>
      <c r="AB36" s="502"/>
      <c r="AC36" s="502"/>
    </row>
    <row r="37" spans="1:41">
      <c r="B37" s="501" t="s">
        <v>422</v>
      </c>
      <c r="D37" s="515"/>
      <c r="G37" s="483"/>
      <c r="W37" s="500"/>
      <c r="X37" s="500"/>
      <c r="Y37" s="500"/>
      <c r="Z37" s="500"/>
      <c r="AA37" s="500"/>
      <c r="AB37" s="502"/>
      <c r="AC37" s="502"/>
    </row>
    <row r="38" spans="1:41" s="484" customFormat="1">
      <c r="B38" s="477">
        <f t="shared" ca="1" si="5"/>
        <v>27</v>
      </c>
      <c r="C38" s="477"/>
      <c r="D38" s="515">
        <v>7.01</v>
      </c>
      <c r="E38" s="477"/>
      <c r="F38" s="477" t="s">
        <v>471</v>
      </c>
      <c r="G38" s="483"/>
      <c r="H38" s="483"/>
      <c r="I38" s="500">
        <f>+INDEX('[9]SEF-4 Sum'!$47:$47,MATCH($D38,'[9]SEF-4 Sum'!$13:$13,0))/1000</f>
        <v>-4003.7239978405401</v>
      </c>
      <c r="J38" s="500"/>
      <c r="K38" s="500">
        <f>+INDEX('[9]SEF-4 Sum'!$49:$49,MATCH(D38,'[9]SEF-4 Sum'!$13:$13,0))/1000</f>
        <v>19011.708408931427</v>
      </c>
      <c r="L38" s="500"/>
      <c r="M38" s="500">
        <v>8844.5543722436978</v>
      </c>
      <c r="N38" s="477"/>
      <c r="O38" s="483"/>
      <c r="P38" s="500">
        <f t="shared" ref="P38" si="10">+I38+Y38</f>
        <v>-4003.7239978405401</v>
      </c>
      <c r="Q38" s="500"/>
      <c r="R38" s="500">
        <f t="shared" ref="R38" si="11">+K38+AA38</f>
        <v>19011.708408931427</v>
      </c>
      <c r="S38" s="500"/>
      <c r="T38" s="500">
        <f>+($R38*$AJ$12-$P38)/$AH$4</f>
        <v>8720.4293981811043</v>
      </c>
      <c r="U38" s="477"/>
      <c r="V38" s="483"/>
      <c r="W38" s="500">
        <v>0</v>
      </c>
      <c r="X38" s="500"/>
      <c r="Y38" s="500">
        <f t="shared" ref="Y38:Y39" si="12">+W38*(1-$AH$5)</f>
        <v>0</v>
      </c>
      <c r="Z38" s="500"/>
      <c r="AA38" s="500">
        <v>0</v>
      </c>
      <c r="AC38" s="500">
        <f t="shared" ref="AC38:AC39" si="13">+($AA38*$AJ$12-$Y38)/$AH$4</f>
        <v>0</v>
      </c>
      <c r="AE38" s="477" t="s">
        <v>436</v>
      </c>
      <c r="AF38" s="477"/>
      <c r="AG38" s="477"/>
      <c r="AH38" s="477"/>
      <c r="AI38" s="477"/>
      <c r="AJ38" s="477"/>
      <c r="AK38" s="477"/>
      <c r="AL38" s="477"/>
      <c r="AM38" s="500">
        <f>+INDEX('Exh. BGM-4 (2) Adj. Detail'!$K$47:$AJ$47,1,MATCH(D38,'Exh. BGM-4 (2) Adj. Detail'!$K$13:$AJ$13))/1000-P38</f>
        <v>0</v>
      </c>
    </row>
    <row r="39" spans="1:41" s="484" customFormat="1">
      <c r="A39" s="532"/>
      <c r="B39" s="527">
        <f t="shared" ca="1" si="5"/>
        <v>28</v>
      </c>
      <c r="C39" s="527"/>
      <c r="D39" s="536" t="s">
        <v>424</v>
      </c>
      <c r="E39" s="527"/>
      <c r="F39" s="527" t="s">
        <v>476</v>
      </c>
      <c r="G39" s="529"/>
      <c r="H39" s="529"/>
      <c r="I39" s="537">
        <v>0</v>
      </c>
      <c r="J39" s="530"/>
      <c r="K39" s="537">
        <v>0</v>
      </c>
      <c r="L39" s="530"/>
      <c r="M39" s="530">
        <v>0</v>
      </c>
      <c r="N39" s="527"/>
      <c r="O39" s="529"/>
      <c r="P39" s="530">
        <f t="shared" ref="P39" si="14">+I39+Y39</f>
        <v>0</v>
      </c>
      <c r="Q39" s="530"/>
      <c r="R39" s="530">
        <f t="shared" ref="R39" si="15">+K39+AA39</f>
        <v>-12622.77705609133</v>
      </c>
      <c r="S39" s="530"/>
      <c r="T39" s="530">
        <f t="shared" ref="T39" si="16">+($R39*$AJ$12-$P39)/$AH$4</f>
        <v>-1505.4968202929463</v>
      </c>
      <c r="U39" s="527"/>
      <c r="V39" s="529"/>
      <c r="W39" s="530">
        <v>0</v>
      </c>
      <c r="X39" s="530"/>
      <c r="Y39" s="530">
        <f t="shared" si="12"/>
        <v>0</v>
      </c>
      <c r="Z39" s="530"/>
      <c r="AA39" s="530">
        <f>+'Exh. BGM-4 (4) Rstng and PF Adj'!DO15/1000</f>
        <v>-12622.77705609133</v>
      </c>
      <c r="AB39" s="535"/>
      <c r="AC39" s="530">
        <f t="shared" si="13"/>
        <v>-1505.4968202929463</v>
      </c>
      <c r="AD39" s="532"/>
      <c r="AE39" s="527" t="s">
        <v>438</v>
      </c>
      <c r="AF39" s="477"/>
      <c r="AG39" s="477"/>
      <c r="AH39" s="477"/>
      <c r="AI39" s="477"/>
      <c r="AJ39" s="477"/>
      <c r="AK39" s="477"/>
      <c r="AL39" s="477"/>
      <c r="AM39" s="500"/>
      <c r="AO39" s="484">
        <f>+AA39/AA41*AC14</f>
        <v>212.90573276169772</v>
      </c>
    </row>
    <row r="40" spans="1:41" s="484" customFormat="1">
      <c r="B40" s="477"/>
      <c r="C40" s="477"/>
      <c r="D40" s="491"/>
      <c r="E40" s="477"/>
      <c r="F40" s="477"/>
      <c r="G40" s="483"/>
      <c r="H40" s="483"/>
      <c r="I40" s="511"/>
      <c r="J40" s="500"/>
      <c r="K40" s="511"/>
      <c r="L40" s="500"/>
      <c r="M40" s="511"/>
      <c r="N40" s="477"/>
      <c r="O40" s="483"/>
      <c r="P40" s="511"/>
      <c r="Q40" s="500"/>
      <c r="R40" s="511"/>
      <c r="S40" s="500"/>
      <c r="T40" s="511"/>
      <c r="U40" s="477"/>
      <c r="V40" s="483"/>
      <c r="W40" s="511"/>
      <c r="X40" s="500"/>
      <c r="Y40" s="511"/>
      <c r="Z40" s="500"/>
      <c r="AA40" s="511"/>
      <c r="AB40" s="502"/>
      <c r="AC40" s="512"/>
      <c r="AE40" s="477"/>
      <c r="AF40" s="477"/>
      <c r="AG40" s="477"/>
      <c r="AH40" s="477"/>
      <c r="AI40" s="477"/>
      <c r="AJ40" s="477"/>
      <c r="AK40" s="477"/>
      <c r="AL40" s="477"/>
      <c r="AM40" s="500"/>
    </row>
    <row r="41" spans="1:41" ht="13.5" thickBot="1">
      <c r="B41" s="477">
        <f t="shared" ca="1" si="5"/>
        <v>29</v>
      </c>
      <c r="F41" s="476" t="s">
        <v>423</v>
      </c>
      <c r="G41" s="483"/>
      <c r="I41" s="513">
        <f>+SUM(I$35:I$40)</f>
        <v>122011.94692247752</v>
      </c>
      <c r="J41" s="500"/>
      <c r="K41" s="513">
        <f>+SUM(K$35:K$40)</f>
        <v>1760693.6332691978</v>
      </c>
      <c r="L41" s="500"/>
      <c r="M41" s="513">
        <f>+($K41*$AJ$12-$I41)/$AH$4</f>
        <v>13344.156562886785</v>
      </c>
      <c r="P41" s="513">
        <f>+SUM(P$35:P$40)</f>
        <v>125815.96368644519</v>
      </c>
      <c r="Q41" s="500"/>
      <c r="R41" s="513">
        <f>+SUM(R$35:R$40)</f>
        <v>1744479.3614543565</v>
      </c>
      <c r="S41" s="500"/>
      <c r="T41" s="513">
        <f>+($R41*$AJ$12-$P41)/$AH$4</f>
        <v>5279.2474190945104</v>
      </c>
      <c r="V41" s="482"/>
      <c r="W41" s="513">
        <f>+SUM(W$35:W$40)</f>
        <v>6113.3832592461504</v>
      </c>
      <c r="X41" s="502"/>
      <c r="Y41" s="513">
        <f>+SUM(Y$35:Y$40)</f>
        <v>3804.0167639676843</v>
      </c>
      <c r="Z41" s="500"/>
      <c r="AA41" s="513">
        <f>+SUM(AA$35:AA$40)</f>
        <v>-16214.271814841331</v>
      </c>
      <c r="AB41" s="500"/>
      <c r="AC41" s="513">
        <f>+($AA41*$AJ$12-$Y41)/$AH$4</f>
        <v>-8064.9091437923171</v>
      </c>
    </row>
    <row r="42" spans="1:41" ht="13.5" thickTop="1"/>
    <row r="43" spans="1:41">
      <c r="M43" s="526">
        <f>+M41-AJ18-'[9]SEF-3 Def'!$E$23/1000</f>
        <v>3.8046317786211148E-4</v>
      </c>
      <c r="T43" s="500">
        <f>+T41-'Exh. BGM-4 (2) Adj. Detail'!F16/1000</f>
        <v>4.1909451010724297E-4</v>
      </c>
    </row>
    <row r="46" spans="1:41">
      <c r="T46" s="500">
        <v>5279.2474190945104</v>
      </c>
    </row>
  </sheetData>
  <printOptions verticalCentered="1"/>
  <pageMargins left="0.25" right="0.2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zoomScale="85" zoomScaleNormal="85" zoomScaleSheetLayoutView="40" workbookViewId="0">
      <pane xSplit="2" ySplit="13" topLeftCell="C14" activePane="bottomRight" state="frozen"/>
      <selection activeCell="U13" sqref="U13"/>
      <selection pane="topRight" activeCell="U13" sqref="U13"/>
      <selection pane="bottomLeft" activeCell="U13" sqref="U13"/>
      <selection pane="bottomRight" activeCell="C14" sqref="C14"/>
    </sheetView>
  </sheetViews>
  <sheetFormatPr defaultRowHeight="12.75" outlineLevelRow="1"/>
  <cols>
    <col min="1" max="1" width="5.83203125" style="3" bestFit="1" customWidth="1"/>
    <col min="2" max="2" width="43.6640625" style="3" customWidth="1"/>
    <col min="3" max="3" width="19.83203125" style="3" bestFit="1" customWidth="1"/>
    <col min="4" max="4" width="22" style="3" bestFit="1" customWidth="1"/>
    <col min="5" max="5" width="20.5" style="3" bestFit="1" customWidth="1"/>
    <col min="6" max="6" width="18" style="3" customWidth="1"/>
    <col min="7" max="7" width="23.33203125" style="3" customWidth="1"/>
    <col min="8" max="8" width="2.83203125" style="3" customWidth="1"/>
    <col min="9" max="9" width="16.33203125" style="3" bestFit="1" customWidth="1"/>
    <col min="10" max="10" width="25.6640625" style="3" customWidth="1"/>
    <col min="11" max="11" width="19.5" style="3" bestFit="1" customWidth="1"/>
    <col min="12" max="12" width="21.5" style="3" customWidth="1"/>
    <col min="13" max="13" width="27.5" style="3" bestFit="1" customWidth="1"/>
    <col min="14" max="14" width="18.6640625" style="3" customWidth="1"/>
    <col min="15" max="15" width="28.6640625" style="3" bestFit="1" customWidth="1"/>
    <col min="16" max="16" width="20" style="3" customWidth="1"/>
    <col min="17" max="17" width="15.83203125" style="3" customWidth="1"/>
    <col min="18" max="18" width="14.83203125" style="3" customWidth="1"/>
    <col min="19" max="19" width="14.5" style="3" bestFit="1" customWidth="1"/>
    <col min="20" max="20" width="16.6640625" style="3" customWidth="1"/>
    <col min="21" max="21" width="27.5" style="3" bestFit="1" customWidth="1"/>
    <col min="22" max="22" width="14.5" style="3" bestFit="1" customWidth="1"/>
    <col min="23" max="23" width="25.83203125" style="3" bestFit="1" customWidth="1"/>
    <col min="24" max="24" width="20.5" style="3" customWidth="1"/>
    <col min="25" max="25" width="17.5" style="3" customWidth="1"/>
    <col min="26" max="26" width="15.5" style="3" bestFit="1" customWidth="1"/>
    <col min="27" max="27" width="16.83203125" style="3" bestFit="1" customWidth="1"/>
    <col min="28" max="28" width="15.33203125" style="3" bestFit="1" customWidth="1"/>
    <col min="29" max="29" width="22.83203125" style="300" bestFit="1" customWidth="1"/>
    <col min="30" max="30" width="23.83203125" style="300" bestFit="1" customWidth="1"/>
    <col min="31" max="31" width="22.33203125" style="300" bestFit="1" customWidth="1"/>
    <col min="32" max="36" width="21.5" style="300" customWidth="1"/>
    <col min="37" max="37" width="17.83203125" style="300" bestFit="1" customWidth="1"/>
    <col min="38" max="38" width="19.5" style="3" customWidth="1"/>
    <col min="39" max="39" width="20.5" style="3" bestFit="1" customWidth="1"/>
    <col min="40" max="40" width="15.5" bestFit="1" customWidth="1"/>
    <col min="41" max="41" width="14.33203125" bestFit="1" customWidth="1"/>
    <col min="42" max="42" width="15.5" bestFit="1" customWidth="1"/>
  </cols>
  <sheetData>
    <row r="1" spans="1:42" s="519" customFormat="1">
      <c r="A1" s="516"/>
      <c r="B1" s="516"/>
      <c r="C1" s="516"/>
      <c r="D1" s="516"/>
      <c r="E1" s="516"/>
      <c r="F1" s="524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</row>
    <row r="2" spans="1:42" s="519" customFormat="1">
      <c r="A2" s="163"/>
      <c r="B2" s="300"/>
      <c r="C2" s="300"/>
      <c r="D2" s="300"/>
      <c r="E2" s="33"/>
      <c r="F2" s="129"/>
      <c r="G2" s="250"/>
      <c r="H2" s="300"/>
      <c r="I2" s="300"/>
      <c r="J2" s="254"/>
      <c r="K2" s="254"/>
      <c r="L2" s="300"/>
      <c r="M2" s="165"/>
      <c r="N2" s="300"/>
      <c r="O2" s="300"/>
      <c r="P2" s="250"/>
      <c r="Q2" s="300"/>
      <c r="R2" s="300"/>
      <c r="S2" s="300"/>
      <c r="T2" s="300"/>
      <c r="U2" s="300"/>
      <c r="V2" s="300"/>
      <c r="W2" s="300"/>
      <c r="X2" s="300"/>
      <c r="Y2" s="25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250"/>
      <c r="AM2" s="300"/>
      <c r="AN2" s="300"/>
      <c r="AO2" s="300"/>
    </row>
    <row r="3" spans="1:42" s="519" customFormat="1">
      <c r="A3" s="300"/>
      <c r="B3" s="300"/>
      <c r="C3" s="300"/>
      <c r="D3" s="300"/>
      <c r="E3" s="158"/>
      <c r="F3" s="300"/>
      <c r="G3" s="1"/>
      <c r="H3" s="129"/>
      <c r="I3" s="300"/>
      <c r="J3" s="96"/>
      <c r="K3" s="96"/>
      <c r="L3" s="300"/>
      <c r="M3" s="250"/>
      <c r="N3" s="300"/>
      <c r="O3" s="300"/>
      <c r="P3" s="1"/>
      <c r="Q3" s="300"/>
      <c r="R3" s="300"/>
      <c r="S3" s="300"/>
      <c r="T3" s="300"/>
      <c r="U3" s="300"/>
      <c r="V3" s="300"/>
      <c r="W3" s="300"/>
      <c r="X3" s="300"/>
      <c r="Y3" s="1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112"/>
      <c r="AL3" s="1"/>
      <c r="AM3" s="300"/>
      <c r="AN3" s="300"/>
      <c r="AO3" s="300"/>
    </row>
    <row r="4" spans="1:42" s="518" customFormat="1">
      <c r="A4" s="120"/>
      <c r="B4" s="120"/>
      <c r="C4" s="120"/>
      <c r="D4" s="120"/>
      <c r="E4" s="123"/>
      <c r="F4" s="123"/>
      <c r="G4" s="525"/>
      <c r="H4" s="31"/>
      <c r="I4" s="123"/>
      <c r="J4" s="246"/>
      <c r="K4" s="246"/>
      <c r="L4" s="123"/>
      <c r="M4" s="123"/>
      <c r="N4" s="123"/>
      <c r="O4" s="123"/>
      <c r="P4" s="138"/>
      <c r="Q4" s="123"/>
      <c r="R4" s="123"/>
      <c r="S4" s="123"/>
      <c r="T4" s="123"/>
      <c r="U4" s="123"/>
      <c r="V4" s="123"/>
      <c r="W4" s="123"/>
      <c r="X4" s="123"/>
      <c r="Y4" s="138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38"/>
      <c r="AM4" s="123"/>
      <c r="AN4" s="123"/>
      <c r="AO4" s="123"/>
    </row>
    <row r="5" spans="1:42">
      <c r="A5" s="120"/>
      <c r="B5" s="142"/>
      <c r="C5" s="141" t="s">
        <v>480</v>
      </c>
      <c r="D5" s="141"/>
      <c r="E5" s="141"/>
      <c r="F5" s="141"/>
      <c r="G5" s="141"/>
      <c r="H5" s="141"/>
      <c r="I5" s="141"/>
      <c r="J5" s="141" t="s">
        <v>19</v>
      </c>
      <c r="K5" s="141"/>
      <c r="L5" s="141"/>
      <c r="M5" s="141"/>
      <c r="N5" s="141"/>
      <c r="O5" s="141"/>
      <c r="P5" s="141"/>
      <c r="Q5" s="141" t="s">
        <v>19</v>
      </c>
      <c r="R5" s="141"/>
      <c r="S5" s="142"/>
      <c r="T5" s="142"/>
      <c r="U5" s="112"/>
      <c r="V5" s="142"/>
      <c r="W5" s="142"/>
      <c r="X5" s="142"/>
      <c r="Y5" s="142"/>
      <c r="Z5" s="141" t="s">
        <v>19</v>
      </c>
      <c r="AA5" s="141"/>
      <c r="AB5" s="112"/>
      <c r="AC5" s="142"/>
      <c r="AD5" s="142"/>
      <c r="AE5" s="142"/>
      <c r="AF5" s="142"/>
      <c r="AG5" s="142"/>
      <c r="AH5" s="141" t="s">
        <v>19</v>
      </c>
      <c r="AI5" s="142"/>
      <c r="AJ5" s="142"/>
      <c r="AK5" s="142"/>
      <c r="AL5" s="142"/>
      <c r="AM5" s="412"/>
      <c r="AN5" s="33"/>
      <c r="AO5" s="33"/>
    </row>
    <row r="6" spans="1:42">
      <c r="A6" s="120"/>
      <c r="B6" s="141"/>
      <c r="C6" s="141" t="s">
        <v>22</v>
      </c>
      <c r="D6" s="141"/>
      <c r="E6" s="141"/>
      <c r="F6" s="141"/>
      <c r="G6" s="141"/>
      <c r="H6" s="141"/>
      <c r="I6" s="141" t="s">
        <v>17</v>
      </c>
      <c r="J6" s="141" t="s">
        <v>82</v>
      </c>
      <c r="K6" s="141"/>
      <c r="L6" s="141"/>
      <c r="M6" s="141"/>
      <c r="N6" s="141"/>
      <c r="O6" s="141"/>
      <c r="P6" s="141"/>
      <c r="Q6" s="141" t="s">
        <v>82</v>
      </c>
      <c r="R6" s="141"/>
      <c r="S6" s="142"/>
      <c r="T6" s="142"/>
      <c r="U6" s="112"/>
      <c r="V6" s="141"/>
      <c r="W6" s="141"/>
      <c r="X6" s="141"/>
      <c r="Y6" s="141"/>
      <c r="Z6" s="141" t="s">
        <v>82</v>
      </c>
      <c r="AA6" s="141"/>
      <c r="AB6" s="112"/>
      <c r="AC6" s="142"/>
      <c r="AD6" s="142"/>
      <c r="AE6" s="142"/>
      <c r="AF6" s="142"/>
      <c r="AG6" s="142"/>
      <c r="AH6" s="141" t="s">
        <v>82</v>
      </c>
      <c r="AI6" s="142"/>
      <c r="AJ6" s="142"/>
      <c r="AK6" s="141"/>
      <c r="AL6" s="142"/>
      <c r="AM6" s="412"/>
      <c r="AN6" s="33"/>
      <c r="AO6" s="33"/>
    </row>
    <row r="7" spans="1:42">
      <c r="A7" s="120"/>
      <c r="B7" s="141"/>
      <c r="C7" s="142" t="str">
        <f>keep_TESTYEAR</f>
        <v>FOR THE TWELVE MONTHS ENDED SEPTEMBER 30, 2016</v>
      </c>
      <c r="D7" s="142"/>
      <c r="E7" s="142"/>
      <c r="F7" s="142"/>
      <c r="G7" s="142"/>
      <c r="H7" s="142"/>
      <c r="I7" s="142" t="s">
        <v>17</v>
      </c>
      <c r="J7" s="142" t="str">
        <f>keep_TESTYEAR</f>
        <v>FOR THE TWELVE MONTHS ENDED SEPTEMBER 30, 2016</v>
      </c>
      <c r="K7" s="142"/>
      <c r="L7" s="142"/>
      <c r="M7" s="142"/>
      <c r="N7" s="142"/>
      <c r="O7" s="142"/>
      <c r="P7" s="142"/>
      <c r="Q7" s="142" t="str">
        <f>keep_TESTYEAR</f>
        <v>FOR THE TWELVE MONTHS ENDED SEPTEMBER 30, 2016</v>
      </c>
      <c r="R7" s="142"/>
      <c r="S7" s="142"/>
      <c r="T7" s="142"/>
      <c r="U7" s="112"/>
      <c r="V7" s="141"/>
      <c r="W7" s="141"/>
      <c r="X7" s="141"/>
      <c r="Y7" s="141"/>
      <c r="Z7" s="142" t="str">
        <f>keep_TESTYEAR</f>
        <v>FOR THE TWELVE MONTHS ENDED SEPTEMBER 30, 2016</v>
      </c>
      <c r="AA7" s="142"/>
      <c r="AB7" s="112"/>
      <c r="AC7" s="142"/>
      <c r="AD7" s="142"/>
      <c r="AE7" s="142"/>
      <c r="AF7" s="142"/>
      <c r="AG7" s="142"/>
      <c r="AH7" s="142" t="str">
        <f>keep_TESTYEAR</f>
        <v>FOR THE TWELVE MONTHS ENDED SEPTEMBER 30, 2016</v>
      </c>
      <c r="AI7" s="142"/>
      <c r="AJ7" s="142"/>
      <c r="AK7" s="141"/>
      <c r="AL7" s="142"/>
      <c r="AM7" s="413"/>
      <c r="AN7" s="33"/>
      <c r="AO7" s="33"/>
    </row>
    <row r="8" spans="1:42">
      <c r="A8" s="120"/>
      <c r="B8" s="142"/>
      <c r="C8" s="142" t="s">
        <v>479</v>
      </c>
      <c r="D8" s="142"/>
      <c r="E8" s="142"/>
      <c r="F8" s="142"/>
      <c r="G8" s="142"/>
      <c r="H8" s="142"/>
      <c r="I8" s="142" t="s">
        <v>17</v>
      </c>
      <c r="J8" s="142" t="s">
        <v>479</v>
      </c>
      <c r="K8" s="142"/>
      <c r="L8" s="142"/>
      <c r="M8" s="142"/>
      <c r="N8" s="142"/>
      <c r="O8" s="142"/>
      <c r="P8" s="142"/>
      <c r="Q8" s="142" t="s">
        <v>479</v>
      </c>
      <c r="R8" s="142"/>
      <c r="S8" s="142"/>
      <c r="T8" s="142"/>
      <c r="U8" s="112"/>
      <c r="V8" s="142"/>
      <c r="W8" s="142"/>
      <c r="X8" s="142"/>
      <c r="Y8" s="142"/>
      <c r="Z8" s="142" t="s">
        <v>479</v>
      </c>
      <c r="AA8" s="142"/>
      <c r="AB8" s="112"/>
      <c r="AC8" s="142"/>
      <c r="AD8" s="142"/>
      <c r="AE8" s="142"/>
      <c r="AF8" s="142"/>
      <c r="AG8" s="142"/>
      <c r="AH8" s="142" t="s">
        <v>479</v>
      </c>
      <c r="AI8" s="142"/>
      <c r="AJ8" s="142"/>
      <c r="AK8" s="142"/>
      <c r="AL8" s="142"/>
      <c r="AM8" s="413"/>
      <c r="AN8" s="33"/>
      <c r="AO8" s="33"/>
    </row>
    <row r="9" spans="1:42">
      <c r="A9" s="120"/>
      <c r="B9" s="31"/>
      <c r="C9" s="31"/>
      <c r="D9" s="212"/>
      <c r="E9" s="212"/>
      <c r="F9" s="212"/>
      <c r="G9" s="212"/>
      <c r="H9" s="121"/>
      <c r="I9" s="16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13"/>
      <c r="AD9" s="113"/>
      <c r="AE9" s="113"/>
      <c r="AF9" s="113"/>
      <c r="AG9" s="113"/>
      <c r="AH9" s="113"/>
      <c r="AI9" s="113"/>
      <c r="AJ9" s="113"/>
      <c r="AK9" s="6"/>
      <c r="AL9" s="212"/>
      <c r="AM9" s="33"/>
      <c r="AN9" s="33"/>
      <c r="AO9" s="33"/>
    </row>
    <row r="10" spans="1:42" ht="13.5">
      <c r="A10" s="33"/>
      <c r="B10" s="33"/>
      <c r="C10" s="277"/>
      <c r="D10" s="277"/>
      <c r="E10" s="277"/>
      <c r="F10" s="277"/>
      <c r="G10" s="277"/>
      <c r="H10" s="33"/>
      <c r="I10" s="33"/>
      <c r="J10" s="11" t="s">
        <v>25</v>
      </c>
      <c r="K10" s="6"/>
      <c r="L10" s="76"/>
      <c r="M10" s="76"/>
      <c r="N10" s="276"/>
      <c r="O10" s="276"/>
      <c r="P10" s="76"/>
      <c r="Q10" s="76"/>
      <c r="R10" s="76"/>
      <c r="S10" s="76"/>
      <c r="T10" s="276"/>
      <c r="U10" s="276"/>
      <c r="V10" s="89"/>
      <c r="W10" s="76"/>
      <c r="X10" s="276"/>
      <c r="Y10" s="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7"/>
      <c r="AL10" s="277"/>
      <c r="AM10" s="33"/>
      <c r="AN10" s="33"/>
      <c r="AO10" s="33"/>
    </row>
    <row r="11" spans="1:42">
      <c r="A11" s="33"/>
      <c r="B11" s="33"/>
      <c r="C11" s="11" t="s">
        <v>33</v>
      </c>
      <c r="D11" s="11"/>
      <c r="E11" s="11" t="s">
        <v>100</v>
      </c>
      <c r="F11" s="11" t="s">
        <v>101</v>
      </c>
      <c r="G11" s="11" t="s">
        <v>102</v>
      </c>
      <c r="H11" s="11"/>
      <c r="I11" s="11"/>
      <c r="J11" s="11" t="s">
        <v>42</v>
      </c>
      <c r="K11" s="31" t="s">
        <v>116</v>
      </c>
      <c r="L11" s="31" t="s">
        <v>167</v>
      </c>
      <c r="M11" s="11" t="s">
        <v>182</v>
      </c>
      <c r="N11" s="31" t="s">
        <v>26</v>
      </c>
      <c r="O11" s="31" t="s">
        <v>27</v>
      </c>
      <c r="P11" s="284" t="s">
        <v>128</v>
      </c>
      <c r="Q11" s="31" t="s">
        <v>296</v>
      </c>
      <c r="R11" s="31" t="s">
        <v>28</v>
      </c>
      <c r="S11" s="11" t="s">
        <v>217</v>
      </c>
      <c r="T11" s="11" t="s">
        <v>143</v>
      </c>
      <c r="U11" s="11" t="s">
        <v>148</v>
      </c>
      <c r="V11" s="11" t="s">
        <v>32</v>
      </c>
      <c r="W11" s="11" t="s">
        <v>140</v>
      </c>
      <c r="X11" s="11" t="s">
        <v>107</v>
      </c>
      <c r="Y11" s="11" t="s">
        <v>119</v>
      </c>
      <c r="Z11" s="11" t="s">
        <v>94</v>
      </c>
      <c r="AA11" s="11" t="s">
        <v>30</v>
      </c>
      <c r="AB11" s="284" t="s">
        <v>29</v>
      </c>
      <c r="AC11" s="284" t="s">
        <v>258</v>
      </c>
      <c r="AD11" s="284" t="s">
        <v>381</v>
      </c>
      <c r="AE11" s="284" t="s">
        <v>310</v>
      </c>
      <c r="AF11" s="284" t="s">
        <v>360</v>
      </c>
      <c r="AG11" s="474" t="s">
        <v>444</v>
      </c>
      <c r="AH11" s="474" t="s">
        <v>446</v>
      </c>
      <c r="AI11" s="284" t="s">
        <v>298</v>
      </c>
      <c r="AJ11" s="474" t="s">
        <v>442</v>
      </c>
      <c r="AK11" s="11" t="s">
        <v>34</v>
      </c>
      <c r="AL11" s="11" t="s">
        <v>100</v>
      </c>
      <c r="AM11" s="33"/>
      <c r="AN11" s="33"/>
      <c r="AO11" s="33"/>
    </row>
    <row r="12" spans="1:42">
      <c r="A12" s="11" t="s">
        <v>23</v>
      </c>
      <c r="B12" s="33"/>
      <c r="C12" s="11" t="s">
        <v>51</v>
      </c>
      <c r="D12" s="11" t="s">
        <v>34</v>
      </c>
      <c r="E12" s="11" t="s">
        <v>51</v>
      </c>
      <c r="F12" s="11" t="s">
        <v>103</v>
      </c>
      <c r="G12" s="11" t="s">
        <v>53</v>
      </c>
      <c r="H12" s="11"/>
      <c r="I12" s="11"/>
      <c r="J12" s="11" t="s">
        <v>311</v>
      </c>
      <c r="K12" s="31" t="s">
        <v>50</v>
      </c>
      <c r="L12" s="31" t="s">
        <v>168</v>
      </c>
      <c r="M12" s="11" t="s">
        <v>183</v>
      </c>
      <c r="N12" s="31" t="s">
        <v>44</v>
      </c>
      <c r="O12" s="31" t="s">
        <v>117</v>
      </c>
      <c r="P12" s="11" t="s">
        <v>245</v>
      </c>
      <c r="Q12" s="31" t="s">
        <v>295</v>
      </c>
      <c r="R12" s="31" t="s">
        <v>45</v>
      </c>
      <c r="S12" s="11" t="s">
        <v>216</v>
      </c>
      <c r="T12" s="11" t="s">
        <v>48</v>
      </c>
      <c r="U12" s="11" t="s">
        <v>149</v>
      </c>
      <c r="V12" s="11" t="s">
        <v>50</v>
      </c>
      <c r="W12" s="11" t="s">
        <v>141</v>
      </c>
      <c r="X12" s="11" t="s">
        <v>108</v>
      </c>
      <c r="Y12" s="11" t="s">
        <v>49</v>
      </c>
      <c r="Z12" s="11" t="s">
        <v>24</v>
      </c>
      <c r="AA12" s="11" t="s">
        <v>49</v>
      </c>
      <c r="AB12" s="11" t="s">
        <v>48</v>
      </c>
      <c r="AC12" s="284" t="s">
        <v>259</v>
      </c>
      <c r="AD12" s="284" t="s">
        <v>382</v>
      </c>
      <c r="AE12" s="284" t="s">
        <v>309</v>
      </c>
      <c r="AF12" s="284" t="s">
        <v>361</v>
      </c>
      <c r="AG12" s="474" t="s">
        <v>445</v>
      </c>
      <c r="AH12" s="474" t="s">
        <v>447</v>
      </c>
      <c r="AI12" s="284" t="s">
        <v>297</v>
      </c>
      <c r="AJ12" s="474" t="s">
        <v>443</v>
      </c>
      <c r="AK12" s="31" t="s">
        <v>46</v>
      </c>
      <c r="AL12" s="11" t="s">
        <v>51</v>
      </c>
      <c r="AM12" s="33"/>
      <c r="AN12" s="33"/>
      <c r="AO12" s="33"/>
    </row>
    <row r="13" spans="1:42">
      <c r="A13" s="31" t="s">
        <v>35</v>
      </c>
      <c r="B13" s="2"/>
      <c r="C13" s="31" t="s">
        <v>42</v>
      </c>
      <c r="D13" s="31" t="s">
        <v>46</v>
      </c>
      <c r="E13" s="31" t="s">
        <v>42</v>
      </c>
      <c r="F13" s="31" t="s">
        <v>104</v>
      </c>
      <c r="G13" s="31" t="s">
        <v>24</v>
      </c>
      <c r="H13" s="11"/>
      <c r="I13" s="11"/>
      <c r="J13" s="4">
        <v>1</v>
      </c>
      <c r="K13" s="4">
        <v>6.01</v>
      </c>
      <c r="L13" s="4">
        <f>K13+0.01</f>
        <v>6.02</v>
      </c>
      <c r="M13" s="26">
        <f>L13+0.01</f>
        <v>6.0299999999999994</v>
      </c>
      <c r="N13" s="26">
        <f>M13+0.01</f>
        <v>6.0399999999999991</v>
      </c>
      <c r="O13" s="4">
        <f>N13+0.01</f>
        <v>6.0499999999999989</v>
      </c>
      <c r="P13" s="4">
        <f>O13+0.01</f>
        <v>6.0599999999999987</v>
      </c>
      <c r="Q13" s="26">
        <f t="shared" ref="Q13:AA13" si="0">P13+0.01</f>
        <v>6.0699999999999985</v>
      </c>
      <c r="R13" s="26">
        <f t="shared" si="0"/>
        <v>6.0799999999999983</v>
      </c>
      <c r="S13" s="26">
        <f t="shared" si="0"/>
        <v>6.0899999999999981</v>
      </c>
      <c r="T13" s="26">
        <f t="shared" ref="T13" si="1">S13+0.01</f>
        <v>6.0999999999999979</v>
      </c>
      <c r="U13" s="26">
        <f t="shared" ref="U13" si="2">T13+0.01</f>
        <v>6.1099999999999977</v>
      </c>
      <c r="V13" s="26">
        <f t="shared" si="0"/>
        <v>6.1199999999999974</v>
      </c>
      <c r="W13" s="26">
        <f t="shared" si="0"/>
        <v>6.1299999999999972</v>
      </c>
      <c r="X13" s="26">
        <f t="shared" si="0"/>
        <v>6.139999999999997</v>
      </c>
      <c r="Y13" s="26">
        <f t="shared" si="0"/>
        <v>6.1499999999999968</v>
      </c>
      <c r="Z13" s="26">
        <f t="shared" si="0"/>
        <v>6.1599999999999966</v>
      </c>
      <c r="AA13" s="26">
        <f t="shared" si="0"/>
        <v>6.1699999999999964</v>
      </c>
      <c r="AB13" s="26">
        <f>+AA13+0.01</f>
        <v>6.1799999999999962</v>
      </c>
      <c r="AC13" s="26">
        <f>+AB13+0.01</f>
        <v>6.1899999999999959</v>
      </c>
      <c r="AD13" s="26">
        <f>+AC13+0.01</f>
        <v>6.1999999999999957</v>
      </c>
      <c r="AE13" s="26">
        <f>+AD13+0.01</f>
        <v>6.2099999999999955</v>
      </c>
      <c r="AF13" s="26">
        <f>AE13+0.01</f>
        <v>6.2199999999999953</v>
      </c>
      <c r="AG13" s="26" t="s">
        <v>426</v>
      </c>
      <c r="AH13" s="26" t="s">
        <v>439</v>
      </c>
      <c r="AI13" s="26">
        <v>7.01</v>
      </c>
      <c r="AJ13" s="26" t="s">
        <v>424</v>
      </c>
      <c r="AK13" s="31"/>
      <c r="AL13" s="31" t="s">
        <v>42</v>
      </c>
      <c r="AN13" s="3"/>
      <c r="AO13" s="3"/>
    </row>
    <row r="14" spans="1:42" ht="13.5" thickBot="1">
      <c r="A14" s="5" t="s">
        <v>55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N14" s="3"/>
      <c r="AO14" s="3"/>
    </row>
    <row r="15" spans="1:42">
      <c r="A15" s="12">
        <v>1</v>
      </c>
      <c r="B15" s="65" t="s">
        <v>0</v>
      </c>
      <c r="C15" s="23"/>
      <c r="I15" s="134" t="s">
        <v>127</v>
      </c>
      <c r="J15" s="68"/>
      <c r="K15" s="23"/>
      <c r="L15" s="23"/>
      <c r="N15" s="23"/>
      <c r="O15" s="23"/>
      <c r="Q15" s="23"/>
      <c r="Z15" s="23"/>
      <c r="AK15" s="28"/>
      <c r="AL15" s="23"/>
      <c r="AN15" s="3"/>
      <c r="AO15" s="3"/>
    </row>
    <row r="16" spans="1:42" ht="13.5">
      <c r="A16" s="12">
        <f t="shared" ref="A16:A59" si="3">+A15+1</f>
        <v>2</v>
      </c>
      <c r="B16" s="13" t="s">
        <v>1</v>
      </c>
      <c r="C16" s="27">
        <f>'Exh. BGM-4 (2) Adj. Detail'!J16</f>
        <v>857492456.10000002</v>
      </c>
      <c r="D16" s="27">
        <f>'Exh. BGM-4 (2) Adj. Detail'!AK16</f>
        <v>-54759247.612835743</v>
      </c>
      <c r="E16" s="77">
        <f>C16+D16</f>
        <v>802733208.48716426</v>
      </c>
      <c r="F16" s="77">
        <f>+F19-F18</f>
        <v>5279247</v>
      </c>
      <c r="G16" s="77">
        <f>E16+F16</f>
        <v>808012455.48716426</v>
      </c>
      <c r="H16" s="77"/>
      <c r="I16" s="302">
        <f>F16/E16</f>
        <v>6.5765897613097382E-3</v>
      </c>
      <c r="J16" s="8">
        <f>[14]Allocated!$C$9</f>
        <v>857492456.10000002</v>
      </c>
      <c r="K16" s="27">
        <f>+'Exh. BGM-4 (4) Rstng and PF Adj'!D20</f>
        <v>-54715828.899718225</v>
      </c>
      <c r="L16" s="27">
        <f>'Exh. BGM-4 (4) Rstng and PF Adj'!K43</f>
        <v>58088569.543246187</v>
      </c>
      <c r="M16" s="224">
        <f>-'Exh. BGM-4 (4) Rstng and PF Adj'!O15-'Exh. BGM-4 (4) Rstng and PF Adj'!O16-'Exh. BGM-4 (4) Rstng and PF Adj'!O17-'Exh. BGM-4 (4) Rstng and PF Adj'!O18-'Exh. BGM-4 (4) Rstng and PF Adj'!O19-'Exh. BGM-4 (4) Rstng and PF Adj'!O23</f>
        <v>-51812720.702853292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/>
      <c r="U16" s="27">
        <v>0</v>
      </c>
      <c r="V16" s="28">
        <v>0</v>
      </c>
      <c r="W16" s="27"/>
      <c r="X16" s="28">
        <v>0</v>
      </c>
      <c r="Y16" s="28">
        <v>0</v>
      </c>
      <c r="Z16" s="27">
        <v>0</v>
      </c>
      <c r="AA16" s="28">
        <v>0</v>
      </c>
      <c r="AB16" s="27">
        <v>0</v>
      </c>
      <c r="AC16" s="330"/>
      <c r="AD16" s="330"/>
      <c r="AE16" s="330"/>
      <c r="AF16" s="330"/>
      <c r="AG16" s="330"/>
      <c r="AH16" s="330"/>
      <c r="AI16" s="330">
        <f>'Not Used'!F15</f>
        <v>-6319267.5535104107</v>
      </c>
      <c r="AJ16" s="330"/>
      <c r="AK16" s="28">
        <f>SUM(K16:AJ16)</f>
        <v>-54759247.612835743</v>
      </c>
      <c r="AL16" s="28">
        <f>J16+AK16</f>
        <v>802733208.48716426</v>
      </c>
      <c r="AN16" s="3"/>
      <c r="AO16" s="3"/>
    </row>
    <row r="17" spans="1:41" ht="13.5" outlineLevel="1">
      <c r="A17" s="12">
        <f t="shared" si="3"/>
        <v>3</v>
      </c>
      <c r="B17" s="13" t="s">
        <v>58</v>
      </c>
      <c r="C17" s="9">
        <f>'Exh. BGM-4 (2) Adj. Detail'!J17</f>
        <v>0</v>
      </c>
      <c r="D17" s="94">
        <f>'Exh. BGM-4 (2) Adj. Detail'!AK17</f>
        <v>0</v>
      </c>
      <c r="E17" s="78">
        <f>+C17+D17</f>
        <v>0</v>
      </c>
      <c r="F17" s="78"/>
      <c r="G17" s="78">
        <f>+E17+F17</f>
        <v>0</v>
      </c>
      <c r="H17" s="78"/>
      <c r="I17" s="303"/>
      <c r="J17" s="52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257"/>
      <c r="AD17" s="257"/>
      <c r="AE17" s="257"/>
      <c r="AF17" s="257"/>
      <c r="AG17" s="257"/>
      <c r="AH17" s="257"/>
      <c r="AI17" s="257"/>
      <c r="AJ17" s="257"/>
      <c r="AK17" s="257">
        <f>SUM(K17:AJ17)</f>
        <v>0</v>
      </c>
      <c r="AL17" s="48">
        <f>J17+AK17</f>
        <v>0</v>
      </c>
      <c r="AN17" s="3"/>
      <c r="AO17" s="3"/>
    </row>
    <row r="18" spans="1:41" ht="13.5" thickBot="1">
      <c r="A18" s="12">
        <f>+A16+1</f>
        <v>3</v>
      </c>
      <c r="B18" s="13" t="s">
        <v>2</v>
      </c>
      <c r="C18" s="85">
        <f>'Exh. BGM-4 (2) Adj. Detail'!J18</f>
        <v>37980142.479999997</v>
      </c>
      <c r="D18" s="95">
        <f>'Exh. BGM-4 (2) Adj. Detail'!AK18</f>
        <v>-24928999.789999999</v>
      </c>
      <c r="E18" s="79">
        <f>+C18+D18</f>
        <v>13051142.689999998</v>
      </c>
      <c r="F18" s="79">
        <f>'Exh. BGM-4 (3) Param'!E24</f>
        <v>0</v>
      </c>
      <c r="G18" s="79">
        <f>+E18+F18</f>
        <v>13051142.689999998</v>
      </c>
      <c r="H18" s="58"/>
      <c r="I18" s="304">
        <f>+F18/E18</f>
        <v>0</v>
      </c>
      <c r="J18" s="52">
        <f>[14]Allocated!$C$12</f>
        <v>37980142.479999997</v>
      </c>
      <c r="K18" s="257">
        <f>'Exh. BGM-4 (4) Rstng and PF Adj'!E30</f>
        <v>-24316521.66</v>
      </c>
      <c r="L18" s="48"/>
      <c r="M18" s="49">
        <f>-'Exh. BGM-4 (4) Rstng and PF Adj'!O20-'Exh. BGM-4 (4) Rstng and PF Adj'!O24-'Exh. BGM-4 (4) Rstng and PF Adj'!O21</f>
        <v>-612478.13</v>
      </c>
      <c r="N18" s="48"/>
      <c r="O18" s="189"/>
      <c r="P18" s="49"/>
      <c r="Q18" s="48"/>
      <c r="R18" s="48"/>
      <c r="S18" s="49"/>
      <c r="T18" s="49"/>
      <c r="U18" s="49" t="s">
        <v>18</v>
      </c>
      <c r="V18" s="49"/>
      <c r="W18" s="49"/>
      <c r="X18" s="49"/>
      <c r="Y18" s="49"/>
      <c r="Z18" s="49"/>
      <c r="AA18" s="49"/>
      <c r="AB18" s="49"/>
      <c r="AC18" s="85"/>
      <c r="AD18" s="85"/>
      <c r="AE18" s="85"/>
      <c r="AF18" s="85"/>
      <c r="AG18" s="85"/>
      <c r="AH18" s="85"/>
      <c r="AI18" s="85"/>
      <c r="AJ18" s="85"/>
      <c r="AK18" s="85">
        <f>SUM(K18:AJ18)</f>
        <v>-24928999.789999999</v>
      </c>
      <c r="AL18" s="49">
        <f>J18+AK18</f>
        <v>13051142.689999998</v>
      </c>
      <c r="AN18" s="3"/>
      <c r="AO18" s="3"/>
    </row>
    <row r="19" spans="1:41" ht="14.25" thickBot="1">
      <c r="A19" s="12">
        <f t="shared" si="3"/>
        <v>4</v>
      </c>
      <c r="B19" s="13" t="s">
        <v>3</v>
      </c>
      <c r="C19" s="27">
        <f>SUM(C16:C18)</f>
        <v>895472598.58000004</v>
      </c>
      <c r="D19" s="27">
        <f>SUM(D16:D18)</f>
        <v>-79688247.402835742</v>
      </c>
      <c r="E19" s="46">
        <f>SUM(E16:E18)</f>
        <v>815784351.17716432</v>
      </c>
      <c r="F19" s="295">
        <f>'Exh. BGM-4 (3) Param'!E23</f>
        <v>5279247</v>
      </c>
      <c r="G19" s="46">
        <f>SUM(G16:G18)</f>
        <v>821063598.17716432</v>
      </c>
      <c r="H19" s="54"/>
      <c r="I19" s="305">
        <f>+F19/E19</f>
        <v>6.4713756673342995E-3</v>
      </c>
      <c r="J19" s="46">
        <f t="shared" ref="J19:O19" si="4">SUM(J16:J18)</f>
        <v>895472598.58000004</v>
      </c>
      <c r="K19" s="46">
        <f>SUM(K16:K18)</f>
        <v>-79032350.559718221</v>
      </c>
      <c r="L19" s="46">
        <f>SUM(L16:L18)</f>
        <v>58088569.543246187</v>
      </c>
      <c r="M19" s="46">
        <f>SUM(M16:M18)</f>
        <v>-52425198.832853295</v>
      </c>
      <c r="N19" s="46">
        <f>SUM(N16:N18)</f>
        <v>0</v>
      </c>
      <c r="O19" s="46">
        <f t="shared" si="4"/>
        <v>0</v>
      </c>
      <c r="P19" s="46">
        <f t="shared" ref="P19:S19" si="5">SUM(P16:P18)</f>
        <v>0</v>
      </c>
      <c r="Q19" s="46">
        <f t="shared" si="5"/>
        <v>0</v>
      </c>
      <c r="R19" s="46">
        <f t="shared" si="5"/>
        <v>0</v>
      </c>
      <c r="S19" s="46">
        <f t="shared" si="5"/>
        <v>0</v>
      </c>
      <c r="T19" s="54">
        <f>SUM(T15:T18)</f>
        <v>0</v>
      </c>
      <c r="U19" s="46">
        <f t="shared" ref="U19:Z19" si="6">SUM(U16:U18)</f>
        <v>0</v>
      </c>
      <c r="V19" s="22">
        <f t="shared" si="6"/>
        <v>0</v>
      </c>
      <c r="W19" s="46">
        <f t="shared" si="6"/>
        <v>0</v>
      </c>
      <c r="X19" s="22">
        <f t="shared" si="6"/>
        <v>0</v>
      </c>
      <c r="Y19" s="22">
        <f t="shared" si="6"/>
        <v>0</v>
      </c>
      <c r="Z19" s="46">
        <f t="shared" si="6"/>
        <v>0</v>
      </c>
      <c r="AA19" s="22">
        <f>SUM(AA16:AA18)</f>
        <v>0</v>
      </c>
      <c r="AB19" s="46">
        <f>SUM(AB16:AB18)</f>
        <v>0</v>
      </c>
      <c r="AC19" s="46">
        <f>SUM(AC16:AC18)</f>
        <v>0</v>
      </c>
      <c r="AD19" s="46"/>
      <c r="AE19" s="46">
        <f t="shared" ref="AE19:AK19" si="7">SUM(AE16:AE18)</f>
        <v>0</v>
      </c>
      <c r="AF19" s="46">
        <f t="shared" si="7"/>
        <v>0</v>
      </c>
      <c r="AG19" s="46">
        <f t="shared" ref="AG19:AH19" si="8">SUM(AG16:AG18)</f>
        <v>0</v>
      </c>
      <c r="AH19" s="46">
        <f t="shared" si="8"/>
        <v>0</v>
      </c>
      <c r="AI19" s="46">
        <f t="shared" si="7"/>
        <v>-6319267.5535104107</v>
      </c>
      <c r="AJ19" s="46">
        <f t="shared" si="7"/>
        <v>0</v>
      </c>
      <c r="AK19" s="28">
        <f t="shared" si="7"/>
        <v>-79688247.402835742</v>
      </c>
      <c r="AL19" s="28">
        <f>J19+AK19</f>
        <v>815784351.17716432</v>
      </c>
      <c r="AN19" s="3"/>
      <c r="AO19" s="3"/>
    </row>
    <row r="20" spans="1:41">
      <c r="A20" s="12">
        <f t="shared" si="3"/>
        <v>5</v>
      </c>
      <c r="D20" s="28"/>
      <c r="E20" s="23"/>
      <c r="F20" s="297"/>
      <c r="M20" s="17"/>
      <c r="P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3"/>
      <c r="AL20" s="23"/>
      <c r="AN20" s="3"/>
      <c r="AO20" s="3"/>
    </row>
    <row r="21" spans="1:41">
      <c r="A21" s="12">
        <f t="shared" si="3"/>
        <v>6</v>
      </c>
      <c r="C21" s="23"/>
      <c r="D21" s="23"/>
      <c r="E21" s="23"/>
      <c r="F21" s="156"/>
      <c r="G21" s="23"/>
      <c r="H21" s="23"/>
      <c r="I21" s="23"/>
      <c r="J21" s="68"/>
      <c r="K21" s="25"/>
      <c r="L21" s="25"/>
      <c r="M21" s="25" t="s">
        <v>18</v>
      </c>
      <c r="N21" s="25" t="s">
        <v>18</v>
      </c>
      <c r="O21" s="25" t="s">
        <v>18</v>
      </c>
      <c r="P21" s="25"/>
      <c r="Q21" s="25" t="s">
        <v>18</v>
      </c>
      <c r="R21" s="25" t="s">
        <v>18</v>
      </c>
      <c r="S21" s="25"/>
      <c r="T21" s="25"/>
      <c r="U21" s="25"/>
      <c r="W21" s="25"/>
      <c r="Z21" s="25" t="s">
        <v>18</v>
      </c>
      <c r="AA21" s="16" t="s">
        <v>18</v>
      </c>
      <c r="AB21" s="25" t="s">
        <v>18</v>
      </c>
      <c r="AC21" s="25"/>
      <c r="AD21" s="25"/>
      <c r="AE21" s="25"/>
      <c r="AF21" s="25"/>
      <c r="AG21" s="25"/>
      <c r="AH21" s="25"/>
      <c r="AI21" s="25"/>
      <c r="AJ21" s="25"/>
      <c r="AK21" s="23"/>
      <c r="AL21" s="23"/>
      <c r="AN21" s="3"/>
      <c r="AO21" s="3"/>
    </row>
    <row r="22" spans="1:41">
      <c r="A22" s="12">
        <f t="shared" si="3"/>
        <v>7</v>
      </c>
      <c r="B22" s="83" t="s">
        <v>4</v>
      </c>
      <c r="C22" s="23"/>
      <c r="D22" s="23"/>
      <c r="E22" s="23"/>
      <c r="F22" s="23"/>
      <c r="G22" s="23"/>
      <c r="H22" s="23"/>
      <c r="I22" s="245"/>
      <c r="J22" s="2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W22" s="23"/>
      <c r="Z22" s="23"/>
      <c r="AA22" s="19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N22" s="3"/>
      <c r="AO22" s="3"/>
    </row>
    <row r="23" spans="1:41">
      <c r="A23" s="12">
        <f t="shared" si="3"/>
        <v>8</v>
      </c>
      <c r="C23" s="23"/>
      <c r="D23" s="23"/>
      <c r="E23" s="23"/>
      <c r="F23" s="23" t="s">
        <v>18</v>
      </c>
      <c r="G23" s="23"/>
      <c r="H23" s="23"/>
      <c r="I23" s="61"/>
      <c r="AA23" s="2"/>
      <c r="AK23" s="23"/>
      <c r="AL23" s="23"/>
      <c r="AN23" s="3"/>
      <c r="AO23" s="3"/>
    </row>
    <row r="24" spans="1:41">
      <c r="A24" s="12">
        <f t="shared" si="3"/>
        <v>9</v>
      </c>
      <c r="B24" s="13" t="s">
        <v>120</v>
      </c>
      <c r="C24" s="23"/>
      <c r="D24" s="23"/>
      <c r="E24" s="23"/>
      <c r="F24" s="23" t="s">
        <v>18</v>
      </c>
      <c r="G24" s="23"/>
      <c r="H24" s="23"/>
      <c r="I24" s="61"/>
      <c r="J24" s="8"/>
      <c r="K24" s="27"/>
      <c r="L24" s="27"/>
      <c r="M24" s="23"/>
      <c r="N24" s="27"/>
      <c r="O24" s="27"/>
      <c r="P24" s="23"/>
      <c r="Q24" s="27"/>
      <c r="R24" s="27"/>
      <c r="S24" s="23"/>
      <c r="T24" s="23"/>
      <c r="U24" s="23"/>
      <c r="W24" s="23"/>
      <c r="Z24" s="23"/>
      <c r="AA24" s="19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N24" s="3"/>
      <c r="AO24" s="3"/>
    </row>
    <row r="25" spans="1:41">
      <c r="A25" s="12">
        <f t="shared" si="3"/>
        <v>10</v>
      </c>
      <c r="B25" s="13"/>
      <c r="C25" s="59"/>
      <c r="D25" s="59"/>
      <c r="E25" s="80"/>
      <c r="F25" s="80"/>
      <c r="G25" s="80"/>
      <c r="H25" s="80"/>
      <c r="I25" s="217"/>
      <c r="J25" s="9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28"/>
      <c r="W25" s="59"/>
      <c r="X25" s="28"/>
      <c r="Y25" s="28"/>
      <c r="Z25" s="59"/>
      <c r="AA25" s="51"/>
      <c r="AB25" s="59"/>
      <c r="AC25" s="257"/>
      <c r="AD25" s="257"/>
      <c r="AE25" s="257"/>
      <c r="AF25" s="257"/>
      <c r="AG25" s="257"/>
      <c r="AH25" s="257"/>
      <c r="AI25" s="257"/>
      <c r="AJ25" s="257"/>
      <c r="AK25" s="28"/>
      <c r="AL25" s="28"/>
      <c r="AN25" s="3"/>
      <c r="AO25" s="3"/>
    </row>
    <row r="26" spans="1:41">
      <c r="A26" s="12">
        <f t="shared" si="3"/>
        <v>11</v>
      </c>
      <c r="B26" s="13" t="s">
        <v>121</v>
      </c>
      <c r="C26" s="27">
        <f>'Exh. BGM-4 (2) Adj. Detail'!J26</f>
        <v>326393369.14999998</v>
      </c>
      <c r="D26" s="27">
        <f>'Exh. BGM-4 (2) Adj. Detail'!AK26</f>
        <v>30828021.837998457</v>
      </c>
      <c r="E26" s="77">
        <f>+C26+D26</f>
        <v>357221390.98799843</v>
      </c>
      <c r="F26" s="77">
        <v>0</v>
      </c>
      <c r="G26" s="77">
        <f>+E26+F26</f>
        <v>357221390.98799843</v>
      </c>
      <c r="H26" s="77"/>
      <c r="I26" s="78"/>
      <c r="J26" s="8">
        <f>[14]Allocated!$C$22</f>
        <v>326393369.14999998</v>
      </c>
      <c r="K26" s="27">
        <f>+'Exh. BGM-4 (4) Rstng and PF Adj'!D38</f>
        <v>-25171487.659241237</v>
      </c>
      <c r="L26" s="27">
        <f>'Exh. BGM-4 (4) Rstng and PF Adj'!J45</f>
        <v>30724733.927239694</v>
      </c>
      <c r="M26" s="27">
        <f>'Exh. BGM-4 (4) Rstng and PF Adj'!O37+'Exh. BGM-4 (4) Rstng and PF Adj'!O38</f>
        <v>25274775.57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/>
      <c r="U26" s="27">
        <v>0</v>
      </c>
      <c r="V26" s="28">
        <v>0</v>
      </c>
      <c r="W26" s="27"/>
      <c r="X26" s="28">
        <v>0</v>
      </c>
      <c r="Y26" s="28">
        <v>0</v>
      </c>
      <c r="Z26" s="27">
        <v>0</v>
      </c>
      <c r="AA26" s="51">
        <v>0</v>
      </c>
      <c r="AB26" s="27">
        <v>0</v>
      </c>
      <c r="AC26" s="330"/>
      <c r="AD26" s="330"/>
      <c r="AE26" s="330"/>
      <c r="AF26" s="330"/>
      <c r="AG26" s="330"/>
      <c r="AH26" s="330"/>
      <c r="AI26" s="330"/>
      <c r="AJ26" s="330"/>
      <c r="AK26" s="28">
        <f>SUM(K26:AJ26)</f>
        <v>30828021.837998457</v>
      </c>
      <c r="AL26" s="28">
        <f>J26+AK26</f>
        <v>357221390.98799843</v>
      </c>
      <c r="AN26" s="3"/>
      <c r="AO26" s="3"/>
    </row>
    <row r="27" spans="1:41">
      <c r="A27" s="12">
        <f t="shared" si="3"/>
        <v>12</v>
      </c>
      <c r="B27" s="13"/>
      <c r="C27" s="49"/>
      <c r="D27" s="48"/>
      <c r="E27" s="78"/>
      <c r="F27" s="78"/>
      <c r="G27" s="79"/>
      <c r="H27" s="58"/>
      <c r="I27" s="78"/>
      <c r="J27" s="52"/>
      <c r="K27" s="48"/>
      <c r="L27" s="48"/>
      <c r="M27" s="49"/>
      <c r="N27" s="48"/>
      <c r="O27" s="48"/>
      <c r="P27" s="49"/>
      <c r="Q27" s="48"/>
      <c r="R27" s="48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85"/>
      <c r="AD27" s="85"/>
      <c r="AE27" s="85"/>
      <c r="AF27" s="85"/>
      <c r="AG27" s="85"/>
      <c r="AH27" s="85"/>
      <c r="AI27" s="85"/>
      <c r="AJ27" s="85"/>
      <c r="AK27" s="49"/>
      <c r="AL27" s="49"/>
      <c r="AN27" s="3"/>
      <c r="AO27" s="3"/>
    </row>
    <row r="28" spans="1:41">
      <c r="A28" s="12">
        <f t="shared" si="3"/>
        <v>13</v>
      </c>
      <c r="B28" s="13" t="s">
        <v>5</v>
      </c>
      <c r="C28" s="47">
        <f>SUM(C24:C27)</f>
        <v>326393369.14999998</v>
      </c>
      <c r="D28" s="47">
        <f>SUM(D24:D27)</f>
        <v>30828021.837998457</v>
      </c>
      <c r="E28" s="47">
        <f>SUM(E24:E27)</f>
        <v>357221390.98799843</v>
      </c>
      <c r="F28" s="47">
        <f>SUM(F24:F27)</f>
        <v>0</v>
      </c>
      <c r="G28" s="47">
        <f>SUM(G24:G27)</f>
        <v>357221390.98799843</v>
      </c>
      <c r="H28" s="55"/>
      <c r="I28" s="55"/>
      <c r="J28" s="47">
        <f t="shared" ref="J28:O28" si="9">SUM(J25:J27)</f>
        <v>326393369.14999998</v>
      </c>
      <c r="K28" s="47">
        <f>SUM(K25:K27)</f>
        <v>-25171487.659241237</v>
      </c>
      <c r="L28" s="47">
        <f>SUM(L25:L27)</f>
        <v>30724733.927239694</v>
      </c>
      <c r="M28" s="47">
        <f>SUM(M25:M27)</f>
        <v>25274775.57</v>
      </c>
      <c r="N28" s="47">
        <f>SUM(N25:N27)</f>
        <v>0</v>
      </c>
      <c r="O28" s="47">
        <f t="shared" si="9"/>
        <v>0</v>
      </c>
      <c r="P28" s="47">
        <f t="shared" ref="P28:S28" si="10">SUM(P25:P27)</f>
        <v>0</v>
      </c>
      <c r="Q28" s="47">
        <f t="shared" si="10"/>
        <v>0</v>
      </c>
      <c r="R28" s="47">
        <f t="shared" si="10"/>
        <v>0</v>
      </c>
      <c r="S28" s="47">
        <f t="shared" si="10"/>
        <v>0</v>
      </c>
      <c r="T28" s="55">
        <f>SUM(T23:T27)</f>
        <v>0</v>
      </c>
      <c r="U28" s="47">
        <f t="shared" ref="U28:Z28" si="11">SUM(U25:U27)</f>
        <v>0</v>
      </c>
      <c r="V28" s="28">
        <f t="shared" si="11"/>
        <v>0</v>
      </c>
      <c r="W28" s="47">
        <f t="shared" si="11"/>
        <v>0</v>
      </c>
      <c r="X28" s="28">
        <f t="shared" si="11"/>
        <v>0</v>
      </c>
      <c r="Y28" s="28">
        <f t="shared" si="11"/>
        <v>0</v>
      </c>
      <c r="Z28" s="47">
        <f t="shared" si="11"/>
        <v>0</v>
      </c>
      <c r="AA28" s="28">
        <f>SUM(AA25:AA27)</f>
        <v>0</v>
      </c>
      <c r="AB28" s="47">
        <f>SUM(AB25:AB27)</f>
        <v>0</v>
      </c>
      <c r="AC28" s="327">
        <f>SUM(AC25:AC27)</f>
        <v>0</v>
      </c>
      <c r="AD28" s="327"/>
      <c r="AE28" s="327">
        <f t="shared" ref="AE28:AK28" si="12">SUM(AE25:AE27)</f>
        <v>0</v>
      </c>
      <c r="AF28" s="327">
        <f t="shared" si="12"/>
        <v>0</v>
      </c>
      <c r="AG28" s="327">
        <f t="shared" ref="AG28:AH28" si="13">SUM(AG25:AG27)</f>
        <v>0</v>
      </c>
      <c r="AH28" s="327">
        <f t="shared" si="13"/>
        <v>0</v>
      </c>
      <c r="AI28" s="327">
        <f t="shared" si="12"/>
        <v>0</v>
      </c>
      <c r="AJ28" s="327">
        <f t="shared" si="12"/>
        <v>0</v>
      </c>
      <c r="AK28" s="47">
        <f t="shared" si="12"/>
        <v>30828021.837998457</v>
      </c>
      <c r="AL28" s="28">
        <f>J28+AK28</f>
        <v>357221390.98799843</v>
      </c>
      <c r="AN28" s="3"/>
      <c r="AO28" s="3"/>
    </row>
    <row r="29" spans="1:41">
      <c r="A29" s="12">
        <f t="shared" si="3"/>
        <v>14</v>
      </c>
      <c r="B29" s="97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2"/>
      <c r="O29" s="42"/>
      <c r="P29" s="43"/>
      <c r="Q29" s="42"/>
      <c r="R29" s="42"/>
      <c r="S29" s="43"/>
      <c r="T29" s="43"/>
      <c r="U29" s="43"/>
      <c r="V29" s="44"/>
      <c r="W29" s="43"/>
      <c r="X29" s="44"/>
      <c r="Y29" s="44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2"/>
      <c r="AL29" s="42"/>
      <c r="AM29" s="74"/>
      <c r="AN29" s="74"/>
      <c r="AO29" s="74"/>
    </row>
    <row r="30" spans="1:41">
      <c r="A30" s="12">
        <f t="shared" si="3"/>
        <v>15</v>
      </c>
      <c r="B30" s="83" t="s">
        <v>71</v>
      </c>
      <c r="C30" s="27">
        <f>'Exh. BGM-4 (2) Adj. Detail'!J30</f>
        <v>2420905.35</v>
      </c>
      <c r="D30" s="27">
        <f>'Exh. BGM-4 (2) Adj. Detail'!AK30</f>
        <v>32568.211171221199</v>
      </c>
      <c r="E30" s="77">
        <f>C30+D30</f>
        <v>2453473.5611712211</v>
      </c>
      <c r="F30" s="77">
        <v>0</v>
      </c>
      <c r="G30" s="77">
        <f>E30+F30</f>
        <v>2453473.5611712211</v>
      </c>
      <c r="H30" s="77"/>
      <c r="I30" s="77"/>
      <c r="J30" s="50">
        <f>[14]Allocated!$C24</f>
        <v>2420905.35</v>
      </c>
      <c r="K30" s="27"/>
      <c r="L30" s="27">
        <v>0</v>
      </c>
      <c r="M30" s="27"/>
      <c r="N30" s="27">
        <v>0</v>
      </c>
      <c r="O30" s="27">
        <v>0</v>
      </c>
      <c r="P30" s="51">
        <v>0</v>
      </c>
      <c r="Q30" s="27">
        <v>0</v>
      </c>
      <c r="R30" s="27">
        <v>0</v>
      </c>
      <c r="S30" s="51">
        <f>'Exh. BGM-4 (4) Rstng and PF Adj'!AT15+'Exh. BGM-4 (4) Rstng and PF Adj'!AT16+'Exh. BGM-4 (4) Rstng and PF Adj'!AT17</f>
        <v>-7714.9439954954223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f>+'Exh. BGM-4 (4) Rstng and PF Adj'!CC16+'Exh. BGM-4 (4) Rstng and PF Adj'!CC17+'Exh. BGM-4 (4) Rstng and PF Adj'!CC15</f>
        <v>40283.15516671662</v>
      </c>
      <c r="AA30" s="51">
        <v>0</v>
      </c>
      <c r="AB30" s="51">
        <v>0</v>
      </c>
      <c r="AC30" s="332"/>
      <c r="AD30" s="332"/>
      <c r="AE30" s="332"/>
      <c r="AF30" s="332"/>
      <c r="AG30" s="332"/>
      <c r="AH30" s="332"/>
      <c r="AI30" s="332"/>
      <c r="AJ30" s="332"/>
      <c r="AK30" s="28">
        <f t="shared" ref="AK30:AK44" si="14">SUM(K30:AJ30)</f>
        <v>32568.211171221199</v>
      </c>
      <c r="AL30" s="28">
        <f t="shared" ref="AL30:AL44" si="15">J30+AK30</f>
        <v>2453473.5611712211</v>
      </c>
      <c r="AN30" s="3"/>
      <c r="AO30" s="3"/>
    </row>
    <row r="31" spans="1:41">
      <c r="A31" s="12">
        <f t="shared" si="3"/>
        <v>16</v>
      </c>
      <c r="B31" s="13" t="s">
        <v>6</v>
      </c>
      <c r="C31" s="48">
        <f>'Exh. BGM-4 (2) Adj. Detail'!J31</f>
        <v>0</v>
      </c>
      <c r="D31" s="94">
        <f>'Exh. BGM-4 (2) Adj. Detail'!AK31</f>
        <v>0</v>
      </c>
      <c r="E31" s="78">
        <f t="shared" ref="E31:E44" si="16">+C31+D31</f>
        <v>0</v>
      </c>
      <c r="F31" s="78"/>
      <c r="G31" s="78">
        <f t="shared" ref="G31:G44" si="17">+E31+F31</f>
        <v>0</v>
      </c>
      <c r="H31" s="78"/>
      <c r="I31" s="78"/>
      <c r="J31" s="50">
        <f>[14]Allocated!$C25</f>
        <v>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>
        <f>+'Exh. BGM-4 (4) Rstng and PF Adj'!CC18</f>
        <v>0</v>
      </c>
      <c r="AA31" s="61"/>
      <c r="AB31" s="48"/>
      <c r="AC31" s="257"/>
      <c r="AD31" s="257"/>
      <c r="AE31" s="257"/>
      <c r="AF31" s="257"/>
      <c r="AG31" s="257"/>
      <c r="AH31" s="257"/>
      <c r="AI31" s="257"/>
      <c r="AJ31" s="257"/>
      <c r="AK31" s="257">
        <f t="shared" si="14"/>
        <v>0</v>
      </c>
      <c r="AL31" s="48">
        <f t="shared" si="15"/>
        <v>0</v>
      </c>
      <c r="AN31" s="3"/>
      <c r="AO31" s="3"/>
    </row>
    <row r="32" spans="1:41">
      <c r="A32" s="12">
        <f t="shared" si="3"/>
        <v>17</v>
      </c>
      <c r="B32" s="13" t="s">
        <v>7</v>
      </c>
      <c r="C32" s="48">
        <f>'Exh. BGM-4 (2) Adj. Detail'!J32</f>
        <v>55510540.469999999</v>
      </c>
      <c r="D32" s="94">
        <f>'Exh. BGM-4 (2) Adj. Detail'!AK32</f>
        <v>634071.67063171277</v>
      </c>
      <c r="E32" s="78">
        <f t="shared" si="16"/>
        <v>56144612.140631713</v>
      </c>
      <c r="F32" s="78"/>
      <c r="G32" s="78">
        <f t="shared" si="17"/>
        <v>56144612.140631713</v>
      </c>
      <c r="H32" s="78"/>
      <c r="I32" s="78"/>
      <c r="J32" s="50">
        <f>[14]Allocated!$C26</f>
        <v>55510540.469999999</v>
      </c>
      <c r="K32" s="48"/>
      <c r="L32" s="48"/>
      <c r="M32" s="48"/>
      <c r="N32" s="48"/>
      <c r="O32" s="48"/>
      <c r="P32" s="48"/>
      <c r="Q32" s="48"/>
      <c r="R32" s="48"/>
      <c r="S32" s="48">
        <f>'Exh. BGM-4 (4) Rstng and PF Adj'!AT19</f>
        <v>-159844.74593767663</v>
      </c>
      <c r="T32" s="48"/>
      <c r="U32" s="48"/>
      <c r="V32" s="48"/>
      <c r="W32" s="48"/>
      <c r="X32" s="48"/>
      <c r="Y32" s="48"/>
      <c r="Z32" s="48">
        <f>'Exh. BGM-4 (4) Rstng and PF Adj'!CC19</f>
        <v>793916.4165693894</v>
      </c>
      <c r="AA32" s="61"/>
      <c r="AB32" s="48"/>
      <c r="AC32" s="257"/>
      <c r="AD32" s="257"/>
      <c r="AE32" s="257"/>
      <c r="AF32" s="257"/>
      <c r="AG32" s="257"/>
      <c r="AH32" s="257"/>
      <c r="AI32" s="257"/>
      <c r="AJ32" s="257"/>
      <c r="AK32" s="257">
        <f t="shared" si="14"/>
        <v>634071.67063171277</v>
      </c>
      <c r="AL32" s="48">
        <f t="shared" si="15"/>
        <v>56144612.140631713</v>
      </c>
      <c r="AN32" s="3"/>
      <c r="AO32" s="3"/>
    </row>
    <row r="33" spans="1:41">
      <c r="A33" s="12">
        <f t="shared" si="3"/>
        <v>18</v>
      </c>
      <c r="B33" s="72" t="s">
        <v>76</v>
      </c>
      <c r="C33" s="48">
        <f>'Exh. BGM-4 (2) Adj. Detail'!J33</f>
        <v>26085152.498175003</v>
      </c>
      <c r="D33" s="94">
        <f>'Exh. BGM-4 (2) Adj. Detail'!AK33</f>
        <v>3343185.8972946191</v>
      </c>
      <c r="E33" s="78">
        <f t="shared" si="16"/>
        <v>29428338.395469621</v>
      </c>
      <c r="F33" s="78">
        <f>F19*('Exh. BGM-4 (3) Param'!O14)</f>
        <v>27135.329579999998</v>
      </c>
      <c r="G33" s="78">
        <f t="shared" si="17"/>
        <v>29455473.725049622</v>
      </c>
      <c r="H33" s="78"/>
      <c r="I33" s="78"/>
      <c r="J33" s="50">
        <f>[14]Allocated!$C27</f>
        <v>26085152.498175003</v>
      </c>
      <c r="K33" s="50">
        <f>+'Exh. BGM-4 (4) Rstng and PF Adj'!D40</f>
        <v>-406226.28187695163</v>
      </c>
      <c r="L33" s="50">
        <f>'Exh. BGM-4 (4) Rstng and PF Adj'!J48</f>
        <v>298575</v>
      </c>
      <c r="M33" s="48">
        <f>'Exh. BGM-4 (4) Rstng and PF Adj'!O28</f>
        <v>-269466</v>
      </c>
      <c r="N33" s="50"/>
      <c r="O33" s="50"/>
      <c r="P33" s="48"/>
      <c r="Q33" s="50"/>
      <c r="R33" s="50">
        <f>'Exh. BGM-4 (4) Rstng and PF Adj'!AO27</f>
        <v>244361</v>
      </c>
      <c r="S33" s="48">
        <f>'Exh. BGM-4 (4) Rstng and PF Adj'!AT20</f>
        <v>-53777.651341797726</v>
      </c>
      <c r="T33" s="48"/>
      <c r="U33" s="48">
        <f>'Exh. BGM-4 (4) Rstng and PF Adj'!BD14</f>
        <v>30708.659753503118</v>
      </c>
      <c r="V33" s="48"/>
      <c r="W33" s="48"/>
      <c r="X33" s="48"/>
      <c r="Y33" s="48"/>
      <c r="Z33" s="48">
        <f>+'Exh. BGM-4 (4) Rstng and PF Adj'!CC20</f>
        <v>107338.32466447074</v>
      </c>
      <c r="AA33" s="61"/>
      <c r="AB33" s="48"/>
      <c r="AC33" s="257"/>
      <c r="AD33" s="257">
        <f>'Exh. BGM-4 (4) Rstng and PF Adj'!CU16+'Exh. BGM-4 (4) Rstng and PF Adj'!CU22</f>
        <v>3424153.8813204383</v>
      </c>
      <c r="AE33" s="257"/>
      <c r="AF33" s="257"/>
      <c r="AG33" s="257"/>
      <c r="AH33" s="257"/>
      <c r="AI33" s="257">
        <f>'Not Used'!F22</f>
        <v>-32481.03522504351</v>
      </c>
      <c r="AJ33" s="257"/>
      <c r="AK33" s="257">
        <f t="shared" si="14"/>
        <v>3343185.8972946191</v>
      </c>
      <c r="AL33" s="48">
        <f t="shared" si="15"/>
        <v>29428338.395469621</v>
      </c>
      <c r="AN33" s="3"/>
      <c r="AO33" s="3"/>
    </row>
    <row r="34" spans="1:41">
      <c r="A34" s="12">
        <f t="shared" si="3"/>
        <v>19</v>
      </c>
      <c r="B34" s="13" t="s">
        <v>8</v>
      </c>
      <c r="C34" s="48">
        <f>'Exh. BGM-4 (2) Adj. Detail'!J34</f>
        <v>7953019.309071999</v>
      </c>
      <c r="D34" s="94">
        <f>'Exh. BGM-4 (2) Adj. Detail'!AK34</f>
        <v>-5668709.0200789645</v>
      </c>
      <c r="E34" s="78">
        <f t="shared" si="16"/>
        <v>2284310.2889930345</v>
      </c>
      <c r="F34" s="78"/>
      <c r="G34" s="78">
        <f t="shared" si="17"/>
        <v>2284310.2889930345</v>
      </c>
      <c r="H34" s="78"/>
      <c r="I34" s="78"/>
      <c r="J34" s="50">
        <f>[14]Allocated!$C28</f>
        <v>7953019.309071999</v>
      </c>
      <c r="K34" s="48"/>
      <c r="L34" s="48"/>
      <c r="M34" s="48">
        <f>'Exh. BGM-4 (4) Rstng and PF Adj'!O34+'Exh. BGM-4 (4) Rstng and PF Adj'!O39</f>
        <v>-5693635.8600000003</v>
      </c>
      <c r="N34" s="48"/>
      <c r="O34" s="48"/>
      <c r="P34" s="48"/>
      <c r="Q34" s="48"/>
      <c r="R34" s="48"/>
      <c r="S34" s="48">
        <f>'Exh. BGM-4 (4) Rstng and PF Adj'!AT21+'Exh. BGM-4 (4) Rstng and PF Adj'!AT22</f>
        <v>-6348.373091474069</v>
      </c>
      <c r="T34" s="48"/>
      <c r="U34" s="48"/>
      <c r="V34" s="48"/>
      <c r="W34" s="48"/>
      <c r="X34" s="48"/>
      <c r="Y34" s="48"/>
      <c r="Z34" s="48">
        <f>+'Exh. BGM-4 (4) Rstng and PF Adj'!CC21+'Exh. BGM-4 (4) Rstng and PF Adj'!CC22</f>
        <v>31275.213012510412</v>
      </c>
      <c r="AA34" s="61"/>
      <c r="AB34" s="48"/>
      <c r="AC34" s="257"/>
      <c r="AD34" s="257"/>
      <c r="AE34" s="257"/>
      <c r="AF34" s="257"/>
      <c r="AG34" s="257"/>
      <c r="AH34" s="257"/>
      <c r="AI34" s="257"/>
      <c r="AJ34" s="257"/>
      <c r="AK34" s="257">
        <f t="shared" si="14"/>
        <v>-5668709.0200789645</v>
      </c>
      <c r="AL34" s="48">
        <f t="shared" si="15"/>
        <v>2284310.2889930345</v>
      </c>
      <c r="AN34" s="3"/>
      <c r="AO34" s="3"/>
    </row>
    <row r="35" spans="1:41">
      <c r="A35" s="12">
        <f t="shared" si="3"/>
        <v>20</v>
      </c>
      <c r="B35" s="13" t="s">
        <v>9</v>
      </c>
      <c r="C35" s="48">
        <f>'Exh. BGM-4 (2) Adj. Detail'!J35</f>
        <v>12460807.43</v>
      </c>
      <c r="D35" s="94">
        <f>'Exh. BGM-4 (2) Adj. Detail'!AK35</f>
        <v>-12460807.43</v>
      </c>
      <c r="E35" s="78">
        <f t="shared" si="16"/>
        <v>0</v>
      </c>
      <c r="F35" s="78"/>
      <c r="G35" s="78">
        <f t="shared" si="17"/>
        <v>0</v>
      </c>
      <c r="H35" s="78"/>
      <c r="I35" s="78"/>
      <c r="J35" s="50">
        <f>[14]Allocated!$C29</f>
        <v>12460807.43</v>
      </c>
      <c r="K35" s="48"/>
      <c r="L35" s="48"/>
      <c r="M35" s="50">
        <f>'Exh. BGM-4 (4) Rstng and PF Adj'!O35</f>
        <v>-12460807.43</v>
      </c>
      <c r="N35" s="48"/>
      <c r="O35" s="48"/>
      <c r="P35" s="50"/>
      <c r="Q35" s="48"/>
      <c r="R35" s="48"/>
      <c r="S35" s="50"/>
      <c r="T35" s="50"/>
      <c r="U35" s="50"/>
      <c r="V35" s="50"/>
      <c r="W35" s="50"/>
      <c r="X35" s="50"/>
      <c r="Y35" s="50"/>
      <c r="Z35" s="50"/>
      <c r="AA35" s="62"/>
      <c r="AB35" s="50"/>
      <c r="AC35" s="50"/>
      <c r="AD35" s="50"/>
      <c r="AE35" s="50"/>
      <c r="AF35" s="50"/>
      <c r="AG35" s="50"/>
      <c r="AH35" s="50"/>
      <c r="AI35" s="50"/>
      <c r="AJ35" s="50"/>
      <c r="AK35" s="257">
        <f t="shared" si="14"/>
        <v>-12460807.43</v>
      </c>
      <c r="AL35" s="48">
        <f t="shared" si="15"/>
        <v>0</v>
      </c>
      <c r="AM35" s="24"/>
      <c r="AN35" s="24"/>
      <c r="AO35" s="24"/>
    </row>
    <row r="36" spans="1:41">
      <c r="A36" s="12">
        <f t="shared" si="3"/>
        <v>21</v>
      </c>
      <c r="B36" s="13" t="s">
        <v>10</v>
      </c>
      <c r="C36" s="48">
        <f>'Exh. BGM-4 (2) Adj. Detail'!J36</f>
        <v>50479810.318484999</v>
      </c>
      <c r="D36" s="94">
        <f>'Exh. BGM-4 (2) Adj. Detail'!AK36</f>
        <v>-470644.13252762472</v>
      </c>
      <c r="E36" s="78">
        <f t="shared" si="16"/>
        <v>50009166.185957372</v>
      </c>
      <c r="F36" s="78">
        <f>F19*('Exh. BGM-4 (3) Param'!O15)</f>
        <v>10558.494000000001</v>
      </c>
      <c r="G36" s="78">
        <f t="shared" si="17"/>
        <v>50019724.679957375</v>
      </c>
      <c r="H36" s="78"/>
      <c r="I36" s="78"/>
      <c r="J36" s="50">
        <f>[14]Allocated!$C30</f>
        <v>50479810.318484999</v>
      </c>
      <c r="K36" s="48">
        <f>+'Exh. BGM-4 (4) Rstng and PF Adj'!D41</f>
        <v>-158064.70111943645</v>
      </c>
      <c r="L36" s="48">
        <f>'Exh. BGM-4 (4) Rstng and PF Adj'!J49</f>
        <v>116177</v>
      </c>
      <c r="M36" s="48">
        <f>'Exh. BGM-4 (4) Rstng and PF Adj'!O29</f>
        <v>-104850</v>
      </c>
      <c r="N36" s="48"/>
      <c r="O36" s="48"/>
      <c r="P36" s="48"/>
      <c r="Q36" s="48">
        <f>'Exh. BGM-4 (4) Rstng and PF Adj'!AH18</f>
        <v>88826.625337333404</v>
      </c>
      <c r="R36" s="48">
        <v>0</v>
      </c>
      <c r="S36" s="48">
        <f>'Exh. BGM-4 (4) Rstng and PF Adj'!AT23</f>
        <v>-81048.715158138424</v>
      </c>
      <c r="T36" s="48">
        <f>'Exh. BGM-4 (4) Rstng and PF Adj'!AY18</f>
        <v>-17901.10630472796</v>
      </c>
      <c r="U36" s="48"/>
      <c r="V36" s="48">
        <f>'Exh. BGM-4 (4) Rstng and PF Adj'!BH24</f>
        <v>431718.93264399999</v>
      </c>
      <c r="W36" s="48"/>
      <c r="X36" s="48">
        <f>'Exh. BGM-4 (4) Rstng and PF Adj'!BQ16</f>
        <v>-69498.846616303519</v>
      </c>
      <c r="Y36" s="48">
        <f>'Exh. BGM-4 (4) Rstng and PF Adj'!BV15</f>
        <v>-690445.95113803679</v>
      </c>
      <c r="Z36" s="48">
        <f>+'Exh. BGM-4 (4) Rstng and PF Adj'!CC23</f>
        <v>446330.40153229795</v>
      </c>
      <c r="AA36" s="48">
        <f>'Exh. BGM-4 (4) Rstng and PF Adj'!CH33</f>
        <v>79135.487875506748</v>
      </c>
      <c r="AB36" s="48">
        <f>'Exh. BGM-4 (4) Rstng and PF Adj'!CL21</f>
        <v>90432.566327203065</v>
      </c>
      <c r="AC36" s="257"/>
      <c r="AD36" s="257"/>
      <c r="AE36" s="257">
        <f>+'Exh. BGM-4 (4) Rstng and PF Adj'!CZ26</f>
        <v>-177705.85300030193</v>
      </c>
      <c r="AF36" s="257">
        <f>+'Exh. BGM-4 (4) Rstng and PF Adj'!DE15</f>
        <v>-44763.437799999956</v>
      </c>
      <c r="AG36" s="257"/>
      <c r="AH36" s="257">
        <f>+'Exh. BGM-4 (4) Rstng and PF Adj'!DT15</f>
        <v>-366348</v>
      </c>
      <c r="AI36" s="257">
        <f>'Not Used'!F23</f>
        <v>-12638.535107020822</v>
      </c>
      <c r="AJ36" s="257"/>
      <c r="AK36" s="257">
        <f t="shared" si="14"/>
        <v>-470644.13252762472</v>
      </c>
      <c r="AL36" s="48">
        <f t="shared" si="15"/>
        <v>50009166.185957372</v>
      </c>
      <c r="AN36" s="3"/>
      <c r="AO36" s="3"/>
    </row>
    <row r="37" spans="1:41">
      <c r="A37" s="12">
        <f t="shared" si="3"/>
        <v>22</v>
      </c>
      <c r="B37" s="13" t="s">
        <v>128</v>
      </c>
      <c r="C37" s="48">
        <f>'Exh. BGM-4 (2) Adj. Detail'!J37</f>
        <v>122080785.06602001</v>
      </c>
      <c r="D37" s="94">
        <f>'Exh. BGM-4 (2) Adj. Detail'!AK37</f>
        <v>-20280517.163459849</v>
      </c>
      <c r="E37" s="78">
        <f t="shared" si="16"/>
        <v>101800267.90256016</v>
      </c>
      <c r="F37" s="78"/>
      <c r="G37" s="78">
        <f t="shared" si="17"/>
        <v>101800267.90256016</v>
      </c>
      <c r="H37" s="78"/>
      <c r="I37" s="78"/>
      <c r="J37" s="50">
        <f>[14]Allocated!$C31</f>
        <v>122080785.06602001</v>
      </c>
      <c r="K37" s="48"/>
      <c r="L37" s="48"/>
      <c r="M37" s="48"/>
      <c r="N37" s="48"/>
      <c r="O37" s="48"/>
      <c r="P37" s="48">
        <f>SUM('Exh. BGM-4 (4) Rstng and PF Adj'!AC14,'Exh. BGM-4 (4) Rstng and PF Adj'!AC15,'Exh. BGM-4 (4) Rstng and PF Adj'!AC22,'Exh. BGM-4 (4) Rstng and PF Adj'!AC31)</f>
        <v>-20259589.246512432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61"/>
      <c r="AB37" s="48"/>
      <c r="AC37" s="257"/>
      <c r="AD37" s="257"/>
      <c r="AE37" s="257">
        <f>SUM('Exh. BGM-4 (4) Rstng and PF Adj'!CZ27:CZ29)</f>
        <v>-148522.28624783427</v>
      </c>
      <c r="AF37" s="257"/>
      <c r="AG37" s="257"/>
      <c r="AH37" s="257"/>
      <c r="AI37" s="257">
        <f>'Not Used'!F18+'Not Used'!F19</f>
        <v>127594.3693004176</v>
      </c>
      <c r="AJ37" s="257"/>
      <c r="AK37" s="257">
        <f t="shared" si="14"/>
        <v>-20280517.163459849</v>
      </c>
      <c r="AL37" s="48">
        <f t="shared" si="15"/>
        <v>101800267.90256016</v>
      </c>
      <c r="AN37" s="3"/>
      <c r="AO37" s="3"/>
    </row>
    <row r="38" spans="1:41">
      <c r="A38" s="12">
        <f t="shared" si="3"/>
        <v>23</v>
      </c>
      <c r="B38" s="13" t="s">
        <v>43</v>
      </c>
      <c r="C38" s="48">
        <f>'Exh. BGM-4 (2) Adj. Detail'!J38</f>
        <v>11666003.494102001</v>
      </c>
      <c r="D38" s="94">
        <f>'Exh. BGM-4 (2) Adj. Detail'!AK38</f>
        <v>-8253.1208267101902</v>
      </c>
      <c r="E38" s="78">
        <f t="shared" si="16"/>
        <v>11657750.373275291</v>
      </c>
      <c r="F38" s="78"/>
      <c r="G38" s="78">
        <f t="shared" si="17"/>
        <v>11657750.373275291</v>
      </c>
      <c r="H38" s="78"/>
      <c r="I38" s="78"/>
      <c r="J38" s="50">
        <f>[14]Allocated!$C32</f>
        <v>11666003.494102001</v>
      </c>
      <c r="K38" s="48"/>
      <c r="L38" s="48"/>
      <c r="M38" s="48"/>
      <c r="N38" s="48"/>
      <c r="O38" s="48"/>
      <c r="P38" s="48">
        <f>'Exh. BGM-4 (4) Rstng and PF Adj'!AC29</f>
        <v>-8253.1208267101902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7"/>
      <c r="AD38" s="257"/>
      <c r="AE38" s="257"/>
      <c r="AF38" s="257"/>
      <c r="AG38" s="257"/>
      <c r="AH38" s="257"/>
      <c r="AI38" s="257"/>
      <c r="AJ38" s="257"/>
      <c r="AK38" s="257">
        <f t="shared" si="14"/>
        <v>-8253.1208267101902</v>
      </c>
      <c r="AL38" s="48">
        <f t="shared" si="15"/>
        <v>11657750.373275291</v>
      </c>
      <c r="AN38" s="3"/>
      <c r="AO38" s="3"/>
    </row>
    <row r="39" spans="1:41">
      <c r="A39" s="12">
        <f t="shared" si="3"/>
        <v>24</v>
      </c>
      <c r="B39" s="13" t="s">
        <v>78</v>
      </c>
      <c r="C39" s="48">
        <f>'Exh. BGM-4 (2) Adj. Detail'!J39</f>
        <v>0</v>
      </c>
      <c r="D39" s="94">
        <f>'Exh. BGM-4 (2) Adj. Detail'!AK39</f>
        <v>0</v>
      </c>
      <c r="E39" s="78">
        <f t="shared" si="16"/>
        <v>0</v>
      </c>
      <c r="F39" s="78"/>
      <c r="G39" s="78">
        <f t="shared" si="17"/>
        <v>0</v>
      </c>
      <c r="H39" s="78"/>
      <c r="I39" s="78"/>
      <c r="J39" s="50">
        <f>[14]Allocated!$C33</f>
        <v>0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61"/>
      <c r="AB39" s="48"/>
      <c r="AC39" s="257"/>
      <c r="AD39" s="257"/>
      <c r="AE39" s="257"/>
      <c r="AF39" s="257"/>
      <c r="AG39" s="257"/>
      <c r="AH39" s="257"/>
      <c r="AI39" s="257"/>
      <c r="AJ39" s="257"/>
      <c r="AK39" s="257">
        <f t="shared" si="14"/>
        <v>0</v>
      </c>
      <c r="AL39" s="48">
        <f t="shared" si="15"/>
        <v>0</v>
      </c>
      <c r="AN39" s="3"/>
      <c r="AO39" s="3"/>
    </row>
    <row r="40" spans="1:41">
      <c r="A40" s="12">
        <f t="shared" si="3"/>
        <v>25</v>
      </c>
      <c r="B40" s="13" t="s">
        <v>11</v>
      </c>
      <c r="C40" s="48">
        <f>'Exh. BGM-4 (2) Adj. Detail'!J40</f>
        <v>-230972.9548859999</v>
      </c>
      <c r="D40" s="94">
        <f>'Exh. BGM-4 (2) Adj. Detail'!AK40</f>
        <v>4546628.4066666644</v>
      </c>
      <c r="E40" s="78">
        <f t="shared" si="16"/>
        <v>4315655.4517806647</v>
      </c>
      <c r="F40" s="78"/>
      <c r="G40" s="78">
        <f t="shared" si="17"/>
        <v>4315655.4517806647</v>
      </c>
      <c r="H40" s="78"/>
      <c r="I40" s="78"/>
      <c r="J40" s="50">
        <f>[14]Allocated!$C34</f>
        <v>-230972.9548859999</v>
      </c>
      <c r="K40" s="48">
        <v>0</v>
      </c>
      <c r="L40" s="48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>
        <f>'Exh. BGM-4 (4) Rstng and PF Adj'!BL28</f>
        <v>161676.64666666661</v>
      </c>
      <c r="X40" s="48"/>
      <c r="Y40" s="48"/>
      <c r="Z40" s="48"/>
      <c r="AA40" s="61"/>
      <c r="AB40" s="48"/>
      <c r="AC40" s="257">
        <f>'Exh. BGM-4 (4) Rstng and PF Adj'!CP24</f>
        <v>4384951.7599999979</v>
      </c>
      <c r="AD40" s="257"/>
      <c r="AE40" s="257"/>
      <c r="AF40" s="257"/>
      <c r="AG40" s="257"/>
      <c r="AH40" s="257"/>
      <c r="AI40" s="257"/>
      <c r="AJ40" s="257"/>
      <c r="AK40" s="257">
        <f t="shared" si="14"/>
        <v>4546628.4066666644</v>
      </c>
      <c r="AL40" s="48">
        <f t="shared" si="15"/>
        <v>4315655.4517806647</v>
      </c>
      <c r="AN40" s="3"/>
      <c r="AO40" s="3"/>
    </row>
    <row r="41" spans="1:41">
      <c r="A41" s="12">
        <f t="shared" si="3"/>
        <v>26</v>
      </c>
      <c r="B41" s="3" t="s">
        <v>233</v>
      </c>
      <c r="C41" s="48">
        <f>'Exh. BGM-4 (2) Adj. Detail'!J41</f>
        <v>0</v>
      </c>
      <c r="D41" s="94">
        <f>'Exh. BGM-4 (2) Adj. Detail'!AK41</f>
        <v>0</v>
      </c>
      <c r="E41" s="78">
        <f t="shared" si="16"/>
        <v>0</v>
      </c>
      <c r="F41" s="78"/>
      <c r="G41" s="78">
        <f t="shared" si="17"/>
        <v>0</v>
      </c>
      <c r="H41" s="78"/>
      <c r="I41" s="78"/>
      <c r="J41" s="50">
        <f>[14]Allocated!$C35</f>
        <v>0</v>
      </c>
      <c r="AK41" s="257">
        <f t="shared" si="14"/>
        <v>0</v>
      </c>
      <c r="AL41" s="48">
        <f t="shared" si="15"/>
        <v>0</v>
      </c>
      <c r="AN41" s="3"/>
      <c r="AO41" s="3"/>
    </row>
    <row r="42" spans="1:41">
      <c r="A42" s="12">
        <f t="shared" si="3"/>
        <v>27</v>
      </c>
      <c r="B42" s="13" t="s">
        <v>164</v>
      </c>
      <c r="C42" s="48">
        <f>'Exh. BGM-4 (2) Adj. Detail'!J42</f>
        <v>95653986.857809991</v>
      </c>
      <c r="D42" s="94">
        <f>'Exh. BGM-4 (2) Adj. Detail'!AK42</f>
        <v>-61297863.427566573</v>
      </c>
      <c r="E42" s="78">
        <f t="shared" si="16"/>
        <v>34356123.430243418</v>
      </c>
      <c r="F42" s="78">
        <f>F19*('Exh. BGM-4 (3) Param'!O16)</f>
        <v>202311.30353400001</v>
      </c>
      <c r="G42" s="78">
        <f t="shared" si="17"/>
        <v>34558434.733777419</v>
      </c>
      <c r="H42" s="78"/>
      <c r="I42" s="58"/>
      <c r="J42" s="50">
        <f>[14]Allocated!$C36</f>
        <v>95653986.857809991</v>
      </c>
      <c r="K42" s="48">
        <f>+'Exh. BGM-4 (4) Rstng and PF Adj'!E46</f>
        <v>-3028677.7381495219</v>
      </c>
      <c r="L42" s="48">
        <f>'Exh. BGM-4 (4) Rstng and PF Adj'!J52</f>
        <v>2226070</v>
      </c>
      <c r="M42" s="48">
        <f>'Exh. BGM-4 (4) Rstng and PF Adj'!O30+'Exh. BGM-4 (4) Rstng and PF Adj'!O36+'Exh. BGM-4 (4) Rstng and PF Adj'!O40</f>
        <v>-60303750.510000005</v>
      </c>
      <c r="N42" s="48"/>
      <c r="O42" s="48"/>
      <c r="P42" s="48"/>
      <c r="Q42" s="48"/>
      <c r="R42" s="48"/>
      <c r="S42" s="48">
        <f>'Exh. BGM-4 (4) Rstng and PF Adj'!AT26</f>
        <v>-19047.267248915508</v>
      </c>
      <c r="T42" s="48"/>
      <c r="U42" s="48"/>
      <c r="V42" s="48"/>
      <c r="W42" s="48"/>
      <c r="X42" s="48"/>
      <c r="Y42" s="48"/>
      <c r="Z42" s="48">
        <f>+'Exh. BGM-4 (4) Rstng and PF Adj'!CC26</f>
        <v>76498.777279491536</v>
      </c>
      <c r="AA42" s="61"/>
      <c r="AB42" s="48"/>
      <c r="AC42" s="257"/>
      <c r="AD42" s="257"/>
      <c r="AE42" s="257"/>
      <c r="AF42" s="257">
        <f>+'Exh. BGM-4 (4) Rstng and PF Adj'!DE14</f>
        <v>-6789.7182619981468</v>
      </c>
      <c r="AG42" s="257">
        <v>0</v>
      </c>
      <c r="AH42" s="257">
        <v>0</v>
      </c>
      <c r="AI42" s="257">
        <f>'Not Used'!F26</f>
        <v>-242166.97118562597</v>
      </c>
      <c r="AJ42" s="257">
        <v>0</v>
      </c>
      <c r="AK42" s="257">
        <f t="shared" si="14"/>
        <v>-61297863.427566573</v>
      </c>
      <c r="AL42" s="48">
        <f t="shared" si="15"/>
        <v>34356123.430243418</v>
      </c>
      <c r="AN42" s="3"/>
      <c r="AO42" s="3"/>
    </row>
    <row r="43" spans="1:41">
      <c r="A43" s="12">
        <f t="shared" si="3"/>
        <v>28</v>
      </c>
      <c r="B43" s="13" t="s">
        <v>163</v>
      </c>
      <c r="C43" s="48">
        <f>'Exh. BGM-4 (2) Adj. Detail'!J43</f>
        <v>0</v>
      </c>
      <c r="D43" s="94">
        <f>'Exh. BGM-4 (2) Adj. Detail'!AK43</f>
        <v>1732523.1526380703</v>
      </c>
      <c r="E43" s="78">
        <f t="shared" si="16"/>
        <v>1732523.1526380703</v>
      </c>
      <c r="F43" s="78">
        <f>F19*'Exh. BGM-4 (3) Param'!O21</f>
        <v>1763733.071736</v>
      </c>
      <c r="G43" s="78">
        <f t="shared" si="17"/>
        <v>3496256.2243740703</v>
      </c>
      <c r="H43" s="58"/>
      <c r="I43" s="133"/>
      <c r="J43" s="50">
        <f>[14]Allocated!$C37</f>
        <v>0</v>
      </c>
      <c r="K43" s="48">
        <f>+'Exh. BGM-4 (4) Rstng and PF Adj'!E49</f>
        <v>-17593763</v>
      </c>
      <c r="L43" s="48">
        <f>'Exh. BGM-4 (4) Rstng and PF Adj'!K57</f>
        <v>8653055</v>
      </c>
      <c r="M43" s="48">
        <f>'Exh. BGM-4 (4) Rstng and PF Adj'!O44</f>
        <v>396387.33050000144</v>
      </c>
      <c r="N43" s="48">
        <f>'Exh. BGM-4 (4) Rstng and PF Adj'!T31</f>
        <v>26587825.211927671</v>
      </c>
      <c r="O43" s="48">
        <f>+'Exh. BGM-4 (4) Rstng and PF Adj'!X23</f>
        <v>-18255976.517619833</v>
      </c>
      <c r="P43" s="48">
        <f>'Exh. BGM-4 (4) Rstng and PF Adj'!AC35</f>
        <v>7093744.8285686923</v>
      </c>
      <c r="Q43" s="48">
        <f>'Exh. BGM-4 (4) Rstng and PF Adj'!AH19</f>
        <v>-31089</v>
      </c>
      <c r="R43" s="48">
        <f>'Exh. BGM-4 (4) Rstng and PF Adj'!AO29</f>
        <v>-85526</v>
      </c>
      <c r="S43" s="48">
        <f>'Exh. BGM-4 (4) Rstng and PF Adj'!AT29</f>
        <v>114723.59387072441</v>
      </c>
      <c r="T43" s="48">
        <f>'Exh. BGM-4 (4) Rstng and PF Adj'!AY20</f>
        <v>6265.3872066547856</v>
      </c>
      <c r="U43" s="48"/>
      <c r="V43" s="28">
        <f>'Exh. BGM-4 (4) Rstng and PF Adj'!BH26</f>
        <v>-151101.6264254</v>
      </c>
      <c r="W43" s="48">
        <f>'Exh. BGM-4 (4) Rstng and PF Adj'!BL30</f>
        <v>-56586.826333333309</v>
      </c>
      <c r="X43" s="48">
        <f>'Exh. BGM-4 (4) Rstng and PF Adj'!BQ19</f>
        <v>24324.596315706229</v>
      </c>
      <c r="Y43" s="48">
        <f>'Exh. BGM-4 (4) Rstng and PF Adj'!BV18</f>
        <v>241656.08289831286</v>
      </c>
      <c r="Z43" s="48">
        <f>'Exh. BGM-4 (4) Rstng and PF Adj'!CC30</f>
        <v>-523474.80087870394</v>
      </c>
      <c r="AA43" s="48">
        <f>'Exh. BGM-4 (4) Rstng and PF Adj'!CH35</f>
        <v>-27697</v>
      </c>
      <c r="AB43" s="48">
        <f>'Exh. BGM-4 (4) Rstng and PF Adj'!CL23</f>
        <v>-31651.398214521072</v>
      </c>
      <c r="AC43" s="257">
        <f>'Exh. BGM-4 (4) Rstng and PF Adj'!CP26</f>
        <v>-1534733.1159999992</v>
      </c>
      <c r="AD43" s="257">
        <f>'Exh. BGM-4 (4) Rstng and PF Adj'!CU26</f>
        <v>-1198453.8584621532</v>
      </c>
      <c r="AE43" s="257">
        <f>'Exh. BGM-4 (4) Rstng and PF Adj'!CZ32</f>
        <v>114179.84873684766</v>
      </c>
      <c r="AF43" s="257">
        <f>'Exh. BGM-4 (4) Rstng and PF Adj'!DE19</f>
        <v>18044</v>
      </c>
      <c r="AG43" s="257">
        <f>'Exh. BGM-4 (4) Rstng and PF Adj'!DF19</f>
        <v>0</v>
      </c>
      <c r="AH43" s="257">
        <f>-AH36*0.35</f>
        <v>128221.79999999999</v>
      </c>
      <c r="AI43" s="257">
        <f>+'Not Used'!F31</f>
        <v>-2155851.383452598</v>
      </c>
      <c r="AJ43" s="257">
        <f>'Exh. BGM-4 (4) Rstng and PF Adj'!DI19</f>
        <v>0</v>
      </c>
      <c r="AK43" s="257">
        <f t="shared" si="14"/>
        <v>1732523.1526380703</v>
      </c>
      <c r="AL43" s="48">
        <f t="shared" si="15"/>
        <v>1732523.1526380703</v>
      </c>
      <c r="AN43" s="3"/>
      <c r="AO43" s="3"/>
    </row>
    <row r="44" spans="1:41">
      <c r="A44" s="12">
        <f t="shared" si="3"/>
        <v>29</v>
      </c>
      <c r="B44" s="3" t="s">
        <v>12</v>
      </c>
      <c r="C44" s="49">
        <f>'Exh. BGM-4 (2) Adj. Detail'!J44</f>
        <v>65853422.740000002</v>
      </c>
      <c r="D44" s="95">
        <f>'Exh. BGM-4 (2) Adj. Detail'!AK44</f>
        <v>-27288647.120000005</v>
      </c>
      <c r="E44" s="79">
        <f t="shared" si="16"/>
        <v>38564775.619999997</v>
      </c>
      <c r="F44" s="79"/>
      <c r="G44" s="79">
        <f t="shared" si="17"/>
        <v>38564775.619999997</v>
      </c>
      <c r="H44" s="55"/>
      <c r="J44" s="50">
        <f>[14]Allocated!$C38</f>
        <v>65853422.740000002</v>
      </c>
      <c r="K44" s="48"/>
      <c r="L44" s="48"/>
      <c r="M44" s="49"/>
      <c r="N44" s="48">
        <f>'Exh. BGM-4 (4) Rstng and PF Adj'!T32</f>
        <v>-27288647.120000005</v>
      </c>
      <c r="O44" s="48"/>
      <c r="P44" s="49"/>
      <c r="Q44" s="48"/>
      <c r="R44" s="48"/>
      <c r="S44" s="49"/>
      <c r="T44" s="61"/>
      <c r="U44" s="49"/>
      <c r="V44" s="49"/>
      <c r="W44" s="61"/>
      <c r="X44" s="49"/>
      <c r="Y44" s="49"/>
      <c r="Z44" s="49"/>
      <c r="AA44" s="49"/>
      <c r="AB44" s="49"/>
      <c r="AC44" s="258"/>
      <c r="AD44" s="258"/>
      <c r="AE44" s="258"/>
      <c r="AF44" s="258"/>
      <c r="AG44" s="258"/>
      <c r="AH44" s="258"/>
      <c r="AI44" s="258"/>
      <c r="AJ44" s="258"/>
      <c r="AK44" s="257">
        <f t="shared" si="14"/>
        <v>-27288647.120000005</v>
      </c>
      <c r="AL44" s="49">
        <f t="shared" si="15"/>
        <v>38564775.619999997</v>
      </c>
      <c r="AN44" s="3"/>
      <c r="AO44" s="3"/>
    </row>
    <row r="45" spans="1:41">
      <c r="A45" s="12">
        <f t="shared" si="3"/>
        <v>30</v>
      </c>
      <c r="B45" s="13" t="s">
        <v>13</v>
      </c>
      <c r="C45" s="47">
        <f>SUM(C28:C44)</f>
        <v>776326829.72877812</v>
      </c>
      <c r="D45" s="47">
        <f>SUM(D30:D44)</f>
        <v>-117186464.07605743</v>
      </c>
      <c r="E45" s="47">
        <f>SUM(E30:E44)</f>
        <v>332746996.50272059</v>
      </c>
      <c r="F45" s="47">
        <f>SUM(F30:F44)</f>
        <v>2003738.19885</v>
      </c>
      <c r="G45" s="47">
        <f>SUM(G30:G44)</f>
        <v>334750734.70157057</v>
      </c>
      <c r="H45" s="28"/>
      <c r="J45" s="47">
        <f>SUM(J28:J44)</f>
        <v>776326829.72877812</v>
      </c>
      <c r="K45" s="47">
        <f>SUM(K30:K44)</f>
        <v>-21186731.721145909</v>
      </c>
      <c r="L45" s="47">
        <f>SUM(L30:L44)</f>
        <v>11293877</v>
      </c>
      <c r="M45" s="47">
        <f>SUM(M30:M44)</f>
        <v>-78436122.469500005</v>
      </c>
      <c r="N45" s="47">
        <f>SUM(N30:N44)</f>
        <v>-700821.90807233378</v>
      </c>
      <c r="O45" s="47">
        <f t="shared" ref="O45:P45" si="18">SUM(O30:O44)</f>
        <v>-18255976.517619833</v>
      </c>
      <c r="P45" s="47">
        <f t="shared" si="18"/>
        <v>-13174097.538770448</v>
      </c>
      <c r="Q45" s="47">
        <f>SUM(Q28:Q44)</f>
        <v>57737.625337333404</v>
      </c>
      <c r="R45" s="47">
        <f>SUM(R30:R44)</f>
        <v>158835</v>
      </c>
      <c r="S45" s="47">
        <f>SUM(S30:S44)</f>
        <v>-213058.10290277333</v>
      </c>
      <c r="T45" s="47">
        <f>SUM(T30:T44)</f>
        <v>-11635.719098073176</v>
      </c>
      <c r="U45" s="47">
        <f>SUM(U28:U44)</f>
        <v>30708.659753503118</v>
      </c>
      <c r="V45" s="47">
        <f>SUM(V30:V44)</f>
        <v>280617.30621860002</v>
      </c>
      <c r="W45" s="47">
        <f>SUM(W30:W44)</f>
        <v>105089.82033333331</v>
      </c>
      <c r="X45" s="47">
        <f>SUM(X30:X44)</f>
        <v>-45174.25030059729</v>
      </c>
      <c r="Y45" s="47">
        <f>SUM(Y30:Y44)</f>
        <v>-448789.86823972396</v>
      </c>
      <c r="Z45" s="47">
        <f>SUM(Z30:Z44)</f>
        <v>972167.48734617291</v>
      </c>
      <c r="AA45" s="47">
        <f>SUM(AA28:AA44)</f>
        <v>51438.487875506748</v>
      </c>
      <c r="AB45" s="47">
        <f t="shared" ref="AB45:AL45" si="19">SUM(AB30:AB44)</f>
        <v>58781.168112681989</v>
      </c>
      <c r="AC45" s="327">
        <f t="shared" si="19"/>
        <v>2850218.6439999985</v>
      </c>
      <c r="AD45" s="327">
        <f t="shared" si="19"/>
        <v>2225700.0228582853</v>
      </c>
      <c r="AE45" s="327">
        <f t="shared" ref="AE45" si="20">SUM(AE30:AE44)</f>
        <v>-212048.29051128853</v>
      </c>
      <c r="AF45" s="327">
        <f t="shared" ref="AF45:AG45" si="21">SUM(AF30:AF44)</f>
        <v>-33509.156061998103</v>
      </c>
      <c r="AG45" s="327">
        <f t="shared" si="21"/>
        <v>0</v>
      </c>
      <c r="AH45" s="327">
        <f t="shared" ref="AH45" si="22">SUM(AH30:AH44)</f>
        <v>-238126.2</v>
      </c>
      <c r="AI45" s="327">
        <f t="shared" si="19"/>
        <v>-2315543.5556698707</v>
      </c>
      <c r="AJ45" s="327">
        <f t="shared" si="19"/>
        <v>0</v>
      </c>
      <c r="AK45" s="47">
        <f t="shared" si="19"/>
        <v>-117186464.07605743</v>
      </c>
      <c r="AL45" s="47">
        <f t="shared" si="19"/>
        <v>332746996.50272059</v>
      </c>
      <c r="AN45" s="3"/>
      <c r="AO45" s="3"/>
    </row>
    <row r="46" spans="1:41">
      <c r="A46" s="12">
        <f t="shared" si="3"/>
        <v>31</v>
      </c>
      <c r="C46" s="28"/>
      <c r="D46" s="28"/>
      <c r="E46" s="28" t="s">
        <v>18</v>
      </c>
      <c r="F46" s="28"/>
      <c r="G46" s="28"/>
      <c r="H46" s="8"/>
      <c r="J46" s="28"/>
      <c r="K46" s="29" t="s">
        <v>18</v>
      </c>
      <c r="L46" s="29" t="s">
        <v>18</v>
      </c>
      <c r="M46" s="19"/>
      <c r="N46" s="29" t="s">
        <v>18</v>
      </c>
      <c r="O46" s="29" t="s">
        <v>18</v>
      </c>
      <c r="P46" s="19"/>
      <c r="Q46" s="28"/>
      <c r="R46" s="29" t="s">
        <v>18</v>
      </c>
      <c r="S46" s="19"/>
      <c r="T46" s="19"/>
      <c r="U46" s="28"/>
      <c r="V46" s="25" t="s">
        <v>18</v>
      </c>
      <c r="W46" s="19"/>
      <c r="X46" s="25"/>
      <c r="Y46" s="25"/>
      <c r="Z46" s="19"/>
      <c r="AA46" s="28"/>
      <c r="AB46" s="19"/>
      <c r="AC46" s="19"/>
      <c r="AD46" s="19"/>
      <c r="AE46" s="19"/>
      <c r="AF46" s="19"/>
      <c r="AG46" s="19"/>
      <c r="AH46" s="19"/>
      <c r="AI46" s="19"/>
      <c r="AJ46" s="19"/>
      <c r="AK46" s="23" t="s">
        <v>18</v>
      </c>
      <c r="AL46" s="23"/>
      <c r="AN46" s="3"/>
      <c r="AO46" s="3"/>
    </row>
    <row r="47" spans="1:41" ht="13.5" thickBot="1">
      <c r="A47" s="12">
        <f t="shared" si="3"/>
        <v>32</v>
      </c>
      <c r="B47" s="3" t="s">
        <v>14</v>
      </c>
      <c r="C47" s="54">
        <f>C19-C45</f>
        <v>119145768.85122192</v>
      </c>
      <c r="D47" s="54">
        <f>D19-D28-D45</f>
        <v>6670194.8352232277</v>
      </c>
      <c r="E47" s="54">
        <f>E19-E28-E45</f>
        <v>125815963.6864453</v>
      </c>
      <c r="F47" s="54">
        <f>F19-F28-F45</f>
        <v>3275508.8011499997</v>
      </c>
      <c r="G47" s="54">
        <f>G19-G28-G45</f>
        <v>129091472.48759532</v>
      </c>
      <c r="H47" s="29"/>
      <c r="J47" s="323">
        <f>J19-J45</f>
        <v>119145768.85122192</v>
      </c>
      <c r="K47" s="323">
        <f t="shared" ref="K47:R47" si="23">K19-K28-K45</f>
        <v>-32674131.179331075</v>
      </c>
      <c r="L47" s="324">
        <f t="shared" si="23"/>
        <v>16069958.616006494</v>
      </c>
      <c r="M47" s="324">
        <f t="shared" si="23"/>
        <v>736148.06664671004</v>
      </c>
      <c r="N47" s="324">
        <f t="shared" si="23"/>
        <v>700821.90807233378</v>
      </c>
      <c r="O47" s="324">
        <f t="shared" si="23"/>
        <v>18255976.517619833</v>
      </c>
      <c r="P47" s="324">
        <f t="shared" si="23"/>
        <v>13174097.538770448</v>
      </c>
      <c r="Q47" s="324">
        <f t="shared" si="23"/>
        <v>-57737.625337333404</v>
      </c>
      <c r="R47" s="324">
        <f t="shared" si="23"/>
        <v>-158835</v>
      </c>
      <c r="S47" s="324">
        <f t="shared" ref="S47:AJ47" si="24">S19-S28-S45</f>
        <v>213058.10290277333</v>
      </c>
      <c r="T47" s="324">
        <f t="shared" si="24"/>
        <v>11635.719098073176</v>
      </c>
      <c r="U47" s="324">
        <f t="shared" si="24"/>
        <v>-30708.659753503118</v>
      </c>
      <c r="V47" s="324">
        <f t="shared" si="24"/>
        <v>-280617.30621860002</v>
      </c>
      <c r="W47" s="324">
        <f t="shared" si="24"/>
        <v>-105089.82033333331</v>
      </c>
      <c r="X47" s="324">
        <f t="shared" si="24"/>
        <v>45174.25030059729</v>
      </c>
      <c r="Y47" s="324">
        <f t="shared" si="24"/>
        <v>448789.86823972396</v>
      </c>
      <c r="Z47" s="324">
        <f t="shared" si="24"/>
        <v>-972167.48734617291</v>
      </c>
      <c r="AA47" s="324">
        <f t="shared" si="24"/>
        <v>-51438.487875506748</v>
      </c>
      <c r="AB47" s="324">
        <f t="shared" si="24"/>
        <v>-58781.168112681989</v>
      </c>
      <c r="AC47" s="324">
        <f t="shared" si="24"/>
        <v>-2850218.6439999985</v>
      </c>
      <c r="AD47" s="324">
        <f t="shared" si="24"/>
        <v>-2225700.0228582853</v>
      </c>
      <c r="AE47" s="324">
        <f t="shared" ref="AE47" si="25">AE19-AE28-AE45</f>
        <v>212048.29051128853</v>
      </c>
      <c r="AF47" s="324">
        <f t="shared" ref="AF47:AG47" si="26">AF19-AF28-AF45</f>
        <v>33509.156061998103</v>
      </c>
      <c r="AG47" s="324">
        <f t="shared" si="26"/>
        <v>0</v>
      </c>
      <c r="AH47" s="324">
        <f t="shared" ref="AH47" si="27">AH19-AH28-AH45</f>
        <v>238126.2</v>
      </c>
      <c r="AI47" s="324">
        <f t="shared" si="24"/>
        <v>-4003723.99784054</v>
      </c>
      <c r="AJ47" s="324">
        <f t="shared" si="24"/>
        <v>0</v>
      </c>
      <c r="AK47" s="323">
        <f t="shared" ref="AK47:AL47" si="28">AK19-AK28-AK45</f>
        <v>6670194.8352232277</v>
      </c>
      <c r="AL47" s="323">
        <f t="shared" si="28"/>
        <v>125815963.6864453</v>
      </c>
      <c r="AN47" s="3"/>
      <c r="AO47" s="3"/>
    </row>
    <row r="48" spans="1:41" ht="13.5" thickTop="1">
      <c r="A48" s="12">
        <f t="shared" si="3"/>
        <v>33</v>
      </c>
      <c r="B48" s="13"/>
      <c r="C48" s="29"/>
      <c r="D48" s="29"/>
      <c r="E48" s="29"/>
      <c r="F48" s="29"/>
      <c r="G48" s="29"/>
      <c r="H48" s="28"/>
      <c r="J48" s="28"/>
      <c r="K48" s="28"/>
      <c r="L48" s="28"/>
      <c r="M48" s="16" t="s">
        <v>18</v>
      </c>
      <c r="N48" s="28"/>
      <c r="O48" s="28"/>
      <c r="P48" s="16"/>
      <c r="Q48" s="28"/>
      <c r="R48" s="28"/>
      <c r="S48" s="16"/>
      <c r="T48" s="16"/>
      <c r="U48" s="16"/>
      <c r="W48" s="16"/>
      <c r="Z48" s="16" t="s">
        <v>18</v>
      </c>
      <c r="AA48" s="16" t="s">
        <v>18</v>
      </c>
      <c r="AB48" s="16" t="s">
        <v>18</v>
      </c>
      <c r="AC48" s="16"/>
      <c r="AD48" s="16"/>
      <c r="AE48" s="16"/>
      <c r="AF48" s="16"/>
      <c r="AG48" s="16"/>
      <c r="AH48" s="16"/>
      <c r="AI48" s="16"/>
      <c r="AJ48" s="16"/>
      <c r="AK48" s="23"/>
      <c r="AL48" s="23"/>
      <c r="AN48" s="3"/>
      <c r="AO48" s="3"/>
    </row>
    <row r="49" spans="1:41" ht="13.5" thickBot="1">
      <c r="A49" s="12">
        <f t="shared" si="3"/>
        <v>34</v>
      </c>
      <c r="B49" s="13" t="s">
        <v>15</v>
      </c>
      <c r="C49" s="28">
        <f>'Exh. BGM-4 (2) Adj. Detail'!J49</f>
        <v>1727319760.395555</v>
      </c>
      <c r="D49" s="291">
        <f>'Exh. BGM-4 (2) Adj. Detail'!AK49</f>
        <v>17159601.058801122</v>
      </c>
      <c r="E49" s="28">
        <f>+C49+D49</f>
        <v>1744479361.4543562</v>
      </c>
      <c r="F49" s="28">
        <v>0</v>
      </c>
      <c r="G49" s="28">
        <f>+E49+F49</f>
        <v>1744479361.4543562</v>
      </c>
      <c r="J49" s="323">
        <f>J60</f>
        <v>1727319760.395555</v>
      </c>
      <c r="K49" s="324">
        <f>K60</f>
        <v>0</v>
      </c>
      <c r="L49" s="324">
        <f t="shared" ref="L49:AK49" si="29">L60</f>
        <v>0</v>
      </c>
      <c r="M49" s="324">
        <f t="shared" si="29"/>
        <v>0</v>
      </c>
      <c r="N49" s="324">
        <f t="shared" si="29"/>
        <v>0</v>
      </c>
      <c r="O49" s="324">
        <f t="shared" si="29"/>
        <v>0</v>
      </c>
      <c r="P49" s="324">
        <f t="shared" si="29"/>
        <v>6587048.7693852149</v>
      </c>
      <c r="Q49" s="324">
        <f t="shared" si="29"/>
        <v>0</v>
      </c>
      <c r="R49" s="324">
        <f t="shared" si="29"/>
        <v>0</v>
      </c>
      <c r="S49" s="324">
        <f t="shared" si="29"/>
        <v>0</v>
      </c>
      <c r="T49" s="324">
        <f t="shared" si="29"/>
        <v>0</v>
      </c>
      <c r="U49" s="324">
        <f t="shared" si="29"/>
        <v>0</v>
      </c>
      <c r="V49" s="324">
        <f t="shared" si="29"/>
        <v>0</v>
      </c>
      <c r="W49" s="324">
        <f t="shared" si="29"/>
        <v>0</v>
      </c>
      <c r="X49" s="324">
        <f t="shared" si="29"/>
        <v>0</v>
      </c>
      <c r="Y49" s="324">
        <f t="shared" si="29"/>
        <v>0</v>
      </c>
      <c r="Z49" s="324">
        <f t="shared" si="29"/>
        <v>0</v>
      </c>
      <c r="AA49" s="324">
        <f t="shared" si="29"/>
        <v>0</v>
      </c>
      <c r="AB49" s="324">
        <f t="shared" si="29"/>
        <v>0</v>
      </c>
      <c r="AC49" s="324">
        <f t="shared" si="29"/>
        <v>0</v>
      </c>
      <c r="AD49" s="324">
        <f t="shared" si="29"/>
        <v>0</v>
      </c>
      <c r="AE49" s="324">
        <f t="shared" si="29"/>
        <v>7775115.6953258077</v>
      </c>
      <c r="AF49" s="324">
        <f>AF60</f>
        <v>0</v>
      </c>
      <c r="AG49" s="324">
        <f>AG60</f>
        <v>-3591494.7587500005</v>
      </c>
      <c r="AH49" s="324">
        <f>AH60</f>
        <v>0</v>
      </c>
      <c r="AI49" s="324">
        <f t="shared" si="29"/>
        <v>19011708.408931427</v>
      </c>
      <c r="AJ49" s="324">
        <f>AJ60</f>
        <v>-12622777.056091331</v>
      </c>
      <c r="AK49" s="324">
        <f t="shared" si="29"/>
        <v>17159601.058801122</v>
      </c>
      <c r="AL49" s="315">
        <f>J49+AK49</f>
        <v>1744479361.4543562</v>
      </c>
      <c r="AN49" s="3"/>
      <c r="AO49" s="3"/>
    </row>
    <row r="50" spans="1:41" ht="13.5" thickTop="1">
      <c r="A50" s="12">
        <f t="shared" si="3"/>
        <v>35</v>
      </c>
      <c r="H50" s="60"/>
      <c r="M50" s="19"/>
      <c r="P50" s="2"/>
      <c r="S50" s="2"/>
      <c r="T50" s="2"/>
      <c r="U50" s="2"/>
      <c r="W50" s="2"/>
      <c r="Z50" s="2"/>
      <c r="AA50" s="2"/>
      <c r="AB50" s="2"/>
      <c r="AC50" s="123"/>
      <c r="AD50" s="123"/>
      <c r="AE50" s="123"/>
      <c r="AF50" s="123"/>
      <c r="AG50" s="123"/>
      <c r="AH50" s="123"/>
      <c r="AI50" s="123"/>
      <c r="AJ50" s="123"/>
      <c r="AK50" s="23"/>
      <c r="AL50" s="23"/>
      <c r="AN50" s="3"/>
      <c r="AO50" s="3"/>
    </row>
    <row r="51" spans="1:41">
      <c r="A51" s="12">
        <f t="shared" si="3"/>
        <v>36</v>
      </c>
      <c r="B51" s="13" t="s">
        <v>16</v>
      </c>
      <c r="C51" s="60">
        <f>'Exh. BGM-4 (2) Adj. Detail'!J51</f>
        <v>6.8977251104878012E-2</v>
      </c>
      <c r="E51" s="60">
        <f>E47/E49</f>
        <v>7.2122357229582643E-2</v>
      </c>
      <c r="F51" s="60"/>
      <c r="G51" s="60">
        <f>G47/G49</f>
        <v>7.3999999850942896E-2</v>
      </c>
      <c r="H51" s="81"/>
      <c r="J51" s="107">
        <f>J47/J49</f>
        <v>6.8977251104878012E-2</v>
      </c>
      <c r="M51" s="2"/>
      <c r="P51" s="2"/>
      <c r="Q51" s="56"/>
      <c r="S51" s="2"/>
      <c r="T51" s="2"/>
      <c r="U51" s="2"/>
      <c r="W51" s="2"/>
      <c r="Z51" s="2"/>
      <c r="AA51" s="2"/>
      <c r="AB51" s="2"/>
      <c r="AC51" s="123"/>
      <c r="AD51" s="123"/>
      <c r="AE51" s="123"/>
      <c r="AF51" s="123"/>
      <c r="AG51" s="123"/>
      <c r="AH51" s="123"/>
      <c r="AI51" s="123"/>
      <c r="AJ51" s="123"/>
      <c r="AK51" s="3"/>
      <c r="AL51" s="60">
        <f>AL47/AL49</f>
        <v>7.2122357229582643E-2</v>
      </c>
      <c r="AN51" s="3"/>
      <c r="AO51" s="3"/>
    </row>
    <row r="52" spans="1:41">
      <c r="A52" s="12">
        <f t="shared" si="3"/>
        <v>37</v>
      </c>
      <c r="C52" s="81"/>
      <c r="E52" s="81"/>
      <c r="F52" s="81"/>
      <c r="G52" s="81"/>
      <c r="AK52" s="3"/>
      <c r="AN52" s="3"/>
      <c r="AO52" s="3"/>
    </row>
    <row r="53" spans="1:41">
      <c r="A53" s="12">
        <f t="shared" si="3"/>
        <v>38</v>
      </c>
      <c r="B53" s="3" t="s">
        <v>95</v>
      </c>
      <c r="M53" s="2"/>
      <c r="P53" s="2"/>
      <c r="S53" s="2"/>
      <c r="T53" s="2"/>
      <c r="U53" s="2"/>
      <c r="W53" s="2"/>
      <c r="Z53" s="2"/>
      <c r="AA53" s="2"/>
      <c r="AB53" s="2"/>
      <c r="AC53" s="123"/>
      <c r="AD53" s="123"/>
      <c r="AE53" s="123"/>
      <c r="AF53" s="123"/>
      <c r="AG53" s="123"/>
      <c r="AH53" s="123"/>
      <c r="AI53" s="123"/>
      <c r="AJ53" s="123"/>
      <c r="AK53" s="3"/>
      <c r="AL53" s="23"/>
      <c r="AN53" s="3"/>
      <c r="AO53" s="3"/>
    </row>
    <row r="54" spans="1:41">
      <c r="A54" s="12">
        <f t="shared" si="3"/>
        <v>39</v>
      </c>
      <c r="B54" s="193" t="s">
        <v>145</v>
      </c>
      <c r="C54" s="191">
        <f>J54</f>
        <v>3545031363</v>
      </c>
      <c r="D54" s="191">
        <f>+'Exh. BGM-4 (2) Adj. Detail'!AK54</f>
        <v>23481967.516859867</v>
      </c>
      <c r="E54" s="8">
        <f>+D54+C54</f>
        <v>3568513330.51686</v>
      </c>
      <c r="G54" s="254">
        <f t="shared" ref="G54:G59" si="30">+E54+F54</f>
        <v>3568513330.51686</v>
      </c>
      <c r="H54" s="192"/>
      <c r="J54" s="254">
        <f>[15]GRB!$D$19</f>
        <v>3545031363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/>
      <c r="Q54" s="8">
        <v>0</v>
      </c>
      <c r="R54" s="8">
        <v>0</v>
      </c>
      <c r="S54" s="8">
        <v>0</v>
      </c>
      <c r="T54" s="8">
        <v>0</v>
      </c>
      <c r="U54" s="8">
        <f>'Exh. BGM-4 (4) Rstng and PF Adj'!BC26</f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254">
        <v>0</v>
      </c>
      <c r="AD54" s="254">
        <v>0</v>
      </c>
      <c r="AE54" s="254">
        <f>'Exh. BGM-4 (4) Rstng and PF Adj'!CZ16+'Exh. BGM-4 (4) Rstng and PF Adj'!CZ17</f>
        <v>7690286.2237249985</v>
      </c>
      <c r="AF54" s="254"/>
      <c r="AG54" s="254">
        <f>+'Exh. BGM-4 (4) Rstng and PF Adj'!DJ15</f>
        <v>-3591494.7587500005</v>
      </c>
      <c r="AH54" s="254"/>
      <c r="AI54" s="254">
        <f>'Not Used'!F36</f>
        <v>32005953.107976198</v>
      </c>
      <c r="AJ54" s="254">
        <f>+'Exh. BGM-4 (4) Rstng and PF Adj'!DO15</f>
        <v>-12622777.056091331</v>
      </c>
      <c r="AK54" s="8">
        <f>SUM(K54:AJ54)</f>
        <v>23481967.516859867</v>
      </c>
      <c r="AL54" s="8">
        <f>+AK54+J54</f>
        <v>3568513330.51686</v>
      </c>
      <c r="AN54" s="3"/>
      <c r="AO54" s="3"/>
    </row>
    <row r="55" spans="1:41">
      <c r="A55" s="12">
        <f t="shared" si="3"/>
        <v>40</v>
      </c>
      <c r="B55" s="192" t="s">
        <v>96</v>
      </c>
      <c r="C55" s="52">
        <f>+'Exh. BGM-4 (2) Adj. Detail'!J55</f>
        <v>-1363034789</v>
      </c>
      <c r="D55" s="52">
        <f>+'Exh. BGM-4 (2) Adj. Detail'!AK55</f>
        <v>2736291.3136779414</v>
      </c>
      <c r="E55" s="52">
        <f>+D55+C55</f>
        <v>-1360298497.686322</v>
      </c>
      <c r="F55" s="192"/>
      <c r="G55" s="96">
        <f t="shared" si="30"/>
        <v>-1360298497.686322</v>
      </c>
      <c r="H55" s="194"/>
      <c r="J55" s="52">
        <f>[15]GRB!$D$21+[15]GRB!$D$22</f>
        <v>-1363034789</v>
      </c>
      <c r="K55" s="52"/>
      <c r="L55" s="52"/>
      <c r="M55" s="52"/>
      <c r="N55" s="52"/>
      <c r="O55" s="52"/>
      <c r="P55" s="52">
        <f>'Exh. BGM-4 (4) Rstng and PF Adj'!AC40</f>
        <v>10133921.183669562</v>
      </c>
      <c r="Q55" s="52">
        <f>'Exh. BGM-4 (4) Rstng and PF Adj'!AH33</f>
        <v>0</v>
      </c>
      <c r="R55" s="52"/>
      <c r="S55" s="52"/>
      <c r="T55" s="96"/>
      <c r="U55" s="96">
        <f>'Exh. BGM-4 (4) Rstng and PF Adj'!BC27</f>
        <v>0</v>
      </c>
      <c r="V55" s="52"/>
      <c r="W55" s="96"/>
      <c r="X55" s="52"/>
      <c r="Y55" s="52"/>
      <c r="Z55" s="52"/>
      <c r="AA55" s="52"/>
      <c r="AB55" s="52"/>
      <c r="AC55" s="96"/>
      <c r="AD55" s="96"/>
      <c r="AE55" s="96">
        <f>'Exh. BGM-4 (4) Rstng and PF Adj'!CZ18+'Exh. BGM-4 (4) Rstng and PF Adj'!CZ20+'Exh. BGM-4 (4) Rstng and PF Adj'!CZ19</f>
        <v>-49519.887071927762</v>
      </c>
      <c r="AF55" s="96"/>
      <c r="AG55" s="96"/>
      <c r="AH55" s="96"/>
      <c r="AI55" s="96">
        <f>'Not Used'!F37+'Not Used'!F38</f>
        <v>-7348109.9829196921</v>
      </c>
      <c r="AJ55" s="96"/>
      <c r="AK55" s="96">
        <f>SUM(K55:AJ55)</f>
        <v>2736291.3136779414</v>
      </c>
      <c r="AL55" s="52">
        <f>+AK55+J55</f>
        <v>-1360298497.686322</v>
      </c>
      <c r="AN55" s="3"/>
      <c r="AO55" s="3"/>
    </row>
    <row r="56" spans="1:41">
      <c r="A56" s="12">
        <f t="shared" si="3"/>
        <v>41</v>
      </c>
      <c r="B56" s="192" t="s">
        <v>230</v>
      </c>
      <c r="C56" s="127">
        <f>+'Exh. BGM-4 (2) Adj. Detail'!J56</f>
        <v>-502155617.94390869</v>
      </c>
      <c r="D56" s="127">
        <f>+'Exh. BGM-4 (2) Adj. Detail'!AK56</f>
        <v>-9058657.7717366852</v>
      </c>
      <c r="E56" s="127">
        <f>+D56+C56</f>
        <v>-511214275.71564537</v>
      </c>
      <c r="F56" s="194"/>
      <c r="G56" s="127">
        <f t="shared" si="30"/>
        <v>-511214275.71564537</v>
      </c>
      <c r="H56" s="191"/>
      <c r="J56" s="127">
        <f>[15]GRB!$D$24+[15]GRB!$D$25+[15]GRB!$D$26</f>
        <v>-502155617.94390869</v>
      </c>
      <c r="K56" s="127"/>
      <c r="L56" s="127"/>
      <c r="M56" s="127"/>
      <c r="N56" s="127"/>
      <c r="O56" s="127"/>
      <c r="P56" s="127">
        <f>'Exh. BGM-4 (4) Rstng and PF Adj'!AC41</f>
        <v>-3546872.4142843462</v>
      </c>
      <c r="Q56" s="127">
        <f>'Exh. BGM-4 (4) Rstng and PF Adj'!AH34</f>
        <v>0</v>
      </c>
      <c r="R56" s="127"/>
      <c r="S56" s="127"/>
      <c r="T56" s="96"/>
      <c r="U56" s="96">
        <f>'Exh. BGM-4 (4) Rstng and PF Adj'!BC28</f>
        <v>0</v>
      </c>
      <c r="V56" s="127"/>
      <c r="W56" s="96"/>
      <c r="X56" s="127"/>
      <c r="Y56" s="127"/>
      <c r="Z56" s="127"/>
      <c r="AA56" s="127"/>
      <c r="AB56" s="127"/>
      <c r="AC56" s="127"/>
      <c r="AD56" s="127"/>
      <c r="AE56" s="127">
        <f>'Exh. BGM-4 (4) Rstng and PF Adj'!CZ21+'Exh. BGM-4 (4) Rstng and PF Adj'!CZ22</f>
        <v>134349.35867273732</v>
      </c>
      <c r="AF56" s="127"/>
      <c r="AG56" s="127"/>
      <c r="AH56" s="127"/>
      <c r="AI56" s="127">
        <f>'Not Used'!F39+'Not Used'!F40</f>
        <v>-5646134.7161250766</v>
      </c>
      <c r="AJ56" s="127"/>
      <c r="AK56" s="96">
        <f>SUM(K56:AJ56)</f>
        <v>-9058657.7717366852</v>
      </c>
      <c r="AL56" s="52">
        <f>+AK56+J56</f>
        <v>-511214275.71564537</v>
      </c>
      <c r="AN56" s="3"/>
      <c r="AO56" s="3"/>
    </row>
    <row r="57" spans="1:41" ht="13.5">
      <c r="A57" s="12">
        <f t="shared" si="3"/>
        <v>42</v>
      </c>
      <c r="B57" s="192" t="s">
        <v>144</v>
      </c>
      <c r="C57" s="57">
        <f>+'Exh. BGM-4 (2) Adj. Detail'!J57</f>
        <v>-30161803</v>
      </c>
      <c r="D57" s="57">
        <f>+'Exh. BGM-4 (2) Adj. Detail'!AK57</f>
        <v>0</v>
      </c>
      <c r="E57" s="57">
        <f>+D57+C57</f>
        <v>-30161803</v>
      </c>
      <c r="F57" s="191"/>
      <c r="G57" s="290">
        <f t="shared" si="30"/>
        <v>-30161803</v>
      </c>
      <c r="H57" s="194"/>
      <c r="I57" s="195"/>
      <c r="J57" s="57">
        <f>[15]GRB!$D$23+[15]GRB!$D$27</f>
        <v>-30161803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281">
        <f>'Exh. BGM-4 (4) Rstng and PF Adj'!BD22</f>
        <v>0</v>
      </c>
      <c r="V57" s="57"/>
      <c r="W57" s="57"/>
      <c r="X57" s="57"/>
      <c r="Y57" s="57"/>
      <c r="Z57" s="57"/>
      <c r="AA57" s="57"/>
      <c r="AB57" s="57"/>
      <c r="AC57" s="290"/>
      <c r="AD57" s="290"/>
      <c r="AE57" s="290"/>
      <c r="AF57" s="290"/>
      <c r="AG57" s="290"/>
      <c r="AH57" s="290"/>
      <c r="AI57" s="290"/>
      <c r="AJ57" s="290"/>
      <c r="AK57" s="290">
        <f>SUM(K57:AJ57)</f>
        <v>0</v>
      </c>
      <c r="AL57" s="57">
        <f>+AK57+J57</f>
        <v>-30161803</v>
      </c>
      <c r="AN57" s="3"/>
      <c r="AO57" s="3"/>
    </row>
    <row r="58" spans="1:41">
      <c r="A58" s="12">
        <f t="shared" si="3"/>
        <v>43</v>
      </c>
      <c r="B58" s="192" t="s">
        <v>99</v>
      </c>
      <c r="C58" s="191">
        <f>SUM(C54:C57)</f>
        <v>1649679153.0560913</v>
      </c>
      <c r="D58" s="191">
        <f>SUM(D54:D57)</f>
        <v>17159601.058801122</v>
      </c>
      <c r="E58" s="191">
        <f>SUM(E54:E57)</f>
        <v>1666838754.1148925</v>
      </c>
      <c r="F58" s="194"/>
      <c r="G58" s="191">
        <f>SUM(G54:G57)</f>
        <v>1666838754.1148925</v>
      </c>
      <c r="H58" s="195"/>
      <c r="I58" s="196"/>
      <c r="J58" s="191">
        <f t="shared" ref="J58:O58" si="31">SUM(J54:J57)</f>
        <v>1649679153.0560913</v>
      </c>
      <c r="K58" s="191">
        <f>SUM(K54:K57)</f>
        <v>0</v>
      </c>
      <c r="L58" s="191">
        <f>SUM(L54:L57)</f>
        <v>0</v>
      </c>
      <c r="M58" s="191">
        <f>SUM(M54:M57)</f>
        <v>0</v>
      </c>
      <c r="N58" s="191">
        <f>SUM(N54:N57)</f>
        <v>0</v>
      </c>
      <c r="O58" s="191">
        <f t="shared" si="31"/>
        <v>0</v>
      </c>
      <c r="P58" s="191">
        <f t="shared" ref="P58:S58" si="32">SUM(P54:P57)</f>
        <v>6587048.7693852149</v>
      </c>
      <c r="Q58" s="191">
        <f t="shared" si="32"/>
        <v>0</v>
      </c>
      <c r="R58" s="191">
        <f t="shared" si="32"/>
        <v>0</v>
      </c>
      <c r="S58" s="191">
        <f t="shared" si="32"/>
        <v>0</v>
      </c>
      <c r="T58" s="191">
        <f>SUM(T54:T57)</f>
        <v>0</v>
      </c>
      <c r="U58" s="191">
        <f t="shared" ref="U58:Z58" si="33">SUM(U54:U57)</f>
        <v>0</v>
      </c>
      <c r="V58" s="191">
        <f t="shared" si="33"/>
        <v>0</v>
      </c>
      <c r="W58" s="191">
        <f t="shared" si="33"/>
        <v>0</v>
      </c>
      <c r="X58" s="191">
        <f t="shared" si="33"/>
        <v>0</v>
      </c>
      <c r="Y58" s="191">
        <f t="shared" si="33"/>
        <v>0</v>
      </c>
      <c r="Z58" s="191">
        <f t="shared" si="33"/>
        <v>0</v>
      </c>
      <c r="AA58" s="191">
        <f t="shared" ref="AA58:AL58" si="34">SUM(AA54:AA57)</f>
        <v>0</v>
      </c>
      <c r="AB58" s="191">
        <f t="shared" si="34"/>
        <v>0</v>
      </c>
      <c r="AC58" s="191">
        <f t="shared" si="34"/>
        <v>0</v>
      </c>
      <c r="AD58" s="191">
        <f t="shared" si="34"/>
        <v>0</v>
      </c>
      <c r="AE58" s="191">
        <f t="shared" ref="AE58" si="35">SUM(AE54:AE57)</f>
        <v>7775115.6953258077</v>
      </c>
      <c r="AF58" s="191">
        <f t="shared" ref="AF58:AG58" si="36">SUM(AF54:AF57)</f>
        <v>0</v>
      </c>
      <c r="AG58" s="191">
        <f t="shared" si="36"/>
        <v>-3591494.7587500005</v>
      </c>
      <c r="AH58" s="191">
        <f t="shared" ref="AH58" si="37">SUM(AH54:AH57)</f>
        <v>0</v>
      </c>
      <c r="AI58" s="191">
        <f t="shared" si="34"/>
        <v>19011708.408931427</v>
      </c>
      <c r="AJ58" s="191">
        <f t="shared" si="34"/>
        <v>-12622777.056091331</v>
      </c>
      <c r="AK58" s="191">
        <f t="shared" si="34"/>
        <v>17159601.058801122</v>
      </c>
      <c r="AL58" s="191">
        <f t="shared" si="34"/>
        <v>1666838754.1148925</v>
      </c>
      <c r="AN58" s="3"/>
      <c r="AO58" s="3"/>
    </row>
    <row r="59" spans="1:41">
      <c r="A59" s="12">
        <f t="shared" si="3"/>
        <v>44</v>
      </c>
      <c r="B59" s="192" t="s">
        <v>97</v>
      </c>
      <c r="C59" s="57">
        <f>+'Exh. BGM-4 (2) Adj. Detail'!J59</f>
        <v>77640607.339463621</v>
      </c>
      <c r="D59" s="57">
        <f>+'Exh. BGM-4 (2) Adj. Detail'!AK59</f>
        <v>0</v>
      </c>
      <c r="E59" s="57">
        <f>+D59+C59</f>
        <v>77640607.339463621</v>
      </c>
      <c r="F59" s="195"/>
      <c r="G59" s="290">
        <f t="shared" si="30"/>
        <v>77640607.339463621</v>
      </c>
      <c r="H59" s="415"/>
      <c r="I59" s="197"/>
      <c r="J59" s="57">
        <f>[15]GRB!$D$31</f>
        <v>77640607.339463621</v>
      </c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>
        <f>'Exh. BGM-4 (4) Rstng and PF Adj'!BD23</f>
        <v>0</v>
      </c>
      <c r="V59" s="57"/>
      <c r="W59" s="57"/>
      <c r="X59" s="57"/>
      <c r="Y59" s="57"/>
      <c r="Z59" s="57"/>
      <c r="AA59" s="57"/>
      <c r="AB59" s="57"/>
      <c r="AC59" s="290"/>
      <c r="AD59" s="290"/>
      <c r="AE59" s="290"/>
      <c r="AF59" s="290"/>
      <c r="AG59" s="290"/>
      <c r="AH59" s="290"/>
      <c r="AI59" s="290"/>
      <c r="AJ59" s="290"/>
      <c r="AK59" s="57">
        <f>SUM(K59:AJ59)</f>
        <v>0</v>
      </c>
      <c r="AL59" s="57">
        <f>+AK59+J59</f>
        <v>77640607.339463621</v>
      </c>
      <c r="AN59" s="3"/>
      <c r="AO59" s="3"/>
    </row>
    <row r="60" spans="1:41" ht="13.5" thickBot="1">
      <c r="A60" s="12">
        <v>46</v>
      </c>
      <c r="B60" s="193" t="s">
        <v>98</v>
      </c>
      <c r="C60" s="307">
        <f>SUM(C58:C59)</f>
        <v>1727319760.395555</v>
      </c>
      <c r="D60" s="307">
        <f>SUM(D58:D59)</f>
        <v>17159601.058801122</v>
      </c>
      <c r="E60" s="307">
        <f>SUM(E58:E59)</f>
        <v>1744479361.4543562</v>
      </c>
      <c r="F60" s="196"/>
      <c r="G60" s="198">
        <f>SUM(G58:G59)</f>
        <v>1744479361.4543562</v>
      </c>
      <c r="H60" s="197"/>
      <c r="J60" s="198">
        <f t="shared" ref="J60:O60" si="38">SUM(J58:J59)</f>
        <v>1727319760.395555</v>
      </c>
      <c r="K60" s="198">
        <f>SUM(K58:K59)</f>
        <v>0</v>
      </c>
      <c r="L60" s="198">
        <f>SUM(L58:L59)</f>
        <v>0</v>
      </c>
      <c r="M60" s="198">
        <f>SUM(M58:M59)</f>
        <v>0</v>
      </c>
      <c r="N60" s="198">
        <f>SUM(N58:N59)</f>
        <v>0</v>
      </c>
      <c r="O60" s="198">
        <f t="shared" si="38"/>
        <v>0</v>
      </c>
      <c r="P60" s="198">
        <f t="shared" ref="P60:S60" si="39">SUM(P58:P59)</f>
        <v>6587048.7693852149</v>
      </c>
      <c r="Q60" s="198">
        <f t="shared" si="39"/>
        <v>0</v>
      </c>
      <c r="R60" s="198">
        <f t="shared" si="39"/>
        <v>0</v>
      </c>
      <c r="S60" s="198">
        <f t="shared" si="39"/>
        <v>0</v>
      </c>
      <c r="T60" s="198">
        <f>SUM(T58:T59)</f>
        <v>0</v>
      </c>
      <c r="U60" s="198">
        <f t="shared" ref="U60:Z60" si="40">SUM(U58:U59)</f>
        <v>0</v>
      </c>
      <c r="V60" s="198">
        <f t="shared" si="40"/>
        <v>0</v>
      </c>
      <c r="W60" s="198">
        <f t="shared" si="40"/>
        <v>0</v>
      </c>
      <c r="X60" s="198">
        <f t="shared" si="40"/>
        <v>0</v>
      </c>
      <c r="Y60" s="198">
        <f t="shared" si="40"/>
        <v>0</v>
      </c>
      <c r="Z60" s="198">
        <f t="shared" si="40"/>
        <v>0</v>
      </c>
      <c r="AA60" s="198">
        <f t="shared" ref="AA60:AL60" si="41">SUM(AA58:AA59)</f>
        <v>0</v>
      </c>
      <c r="AB60" s="198">
        <f t="shared" si="41"/>
        <v>0</v>
      </c>
      <c r="AC60" s="198">
        <f t="shared" si="41"/>
        <v>0</v>
      </c>
      <c r="AD60" s="198">
        <f t="shared" si="41"/>
        <v>0</v>
      </c>
      <c r="AE60" s="198">
        <f t="shared" ref="AE60" si="42">SUM(AE58:AE59)</f>
        <v>7775115.6953258077</v>
      </c>
      <c r="AF60" s="198">
        <f t="shared" ref="AF60:AG60" si="43">SUM(AF58:AF59)</f>
        <v>0</v>
      </c>
      <c r="AG60" s="198">
        <f t="shared" si="43"/>
        <v>-3591494.7587500005</v>
      </c>
      <c r="AH60" s="198">
        <f t="shared" ref="AH60" si="44">SUM(AH58:AH59)</f>
        <v>0</v>
      </c>
      <c r="AI60" s="198">
        <f t="shared" si="41"/>
        <v>19011708.408931427</v>
      </c>
      <c r="AJ60" s="198">
        <f t="shared" si="41"/>
        <v>-12622777.056091331</v>
      </c>
      <c r="AK60" s="198">
        <f t="shared" si="41"/>
        <v>17159601.058801122</v>
      </c>
      <c r="AL60" s="198">
        <f t="shared" si="41"/>
        <v>1744479361.4543562</v>
      </c>
      <c r="AN60" s="3"/>
      <c r="AO60" s="3"/>
    </row>
    <row r="61" spans="1:41" ht="13.5" thickTop="1">
      <c r="A61" s="12"/>
      <c r="F61" s="197"/>
      <c r="G61" s="197"/>
      <c r="AK61" s="3"/>
      <c r="AN61" s="3"/>
      <c r="AO61" s="3"/>
    </row>
    <row r="62" spans="1:41">
      <c r="G62"/>
      <c r="H62"/>
    </row>
    <row r="63" spans="1:41">
      <c r="G63"/>
      <c r="H63"/>
    </row>
  </sheetData>
  <phoneticPr fontId="0" type="noConversion"/>
  <conditionalFormatting sqref="A1:AM1">
    <cfRule type="cellIs" dxfId="13" priority="15" stopIfTrue="1" operator="notEqual">
      <formula>0</formula>
    </cfRule>
  </conditionalFormatting>
  <printOptions horizontalCentered="1"/>
  <pageMargins left="0.45" right="0.45" top="0.5" bottom="0.5" header="0" footer="0.05"/>
  <pageSetup scale="65" orientation="landscape" r:id="rId1"/>
  <colBreaks count="4" manualBreakCount="4">
    <brk id="9" min="1" max="59" man="1"/>
    <brk id="16" min="1" max="59" man="1"/>
    <brk id="25" min="1" max="59" man="1"/>
    <brk id="33" min="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zoomScaleSheetLayoutView="100" workbookViewId="0">
      <pane xSplit="1" ySplit="12" topLeftCell="B13" activePane="bottomRight" state="frozen"/>
      <selection activeCell="U13" sqref="U13"/>
      <selection pane="topRight" activeCell="U13" sqref="U13"/>
      <selection pane="bottomLeft" activeCell="U13" sqref="U13"/>
      <selection pane="bottomRight" activeCell="B13" sqref="B13"/>
    </sheetView>
  </sheetViews>
  <sheetFormatPr defaultRowHeight="12.75"/>
  <cols>
    <col min="1" max="1" width="6.1640625" style="3" customWidth="1"/>
    <col min="2" max="2" width="52.1640625" style="3" customWidth="1"/>
    <col min="3" max="3" width="14.33203125" style="3" customWidth="1"/>
    <col min="4" max="4" width="3.1640625" style="3" customWidth="1"/>
    <col min="5" max="5" width="19.1640625" style="3" customWidth="1"/>
    <col min="6" max="6" width="6.83203125" style="3" customWidth="1"/>
    <col min="7" max="7" width="47.5" style="3" customWidth="1"/>
    <col min="8" max="8" width="14.5" style="3" customWidth="1"/>
    <col min="9" max="9" width="10.83203125" style="3" customWidth="1"/>
    <col min="10" max="10" width="13" style="3" customWidth="1"/>
    <col min="11" max="11" width="6.83203125" style="3" customWidth="1"/>
    <col min="12" max="12" width="52.1640625" style="3" customWidth="1"/>
    <col min="13" max="13" width="17.6640625" style="3" customWidth="1"/>
    <col min="14" max="14" width="22.33203125" style="3" customWidth="1"/>
    <col min="15" max="15" width="19.1640625" style="3" customWidth="1"/>
    <col min="16" max="16" width="12.5" bestFit="1" customWidth="1"/>
  </cols>
  <sheetData>
    <row r="1" spans="1:19" s="516" customFormat="1"/>
    <row r="2" spans="1:19">
      <c r="A2" s="33"/>
      <c r="B2" s="1"/>
      <c r="C2" s="140"/>
      <c r="E2" s="250"/>
      <c r="F2" s="33"/>
      <c r="H2" s="2"/>
      <c r="J2" s="250"/>
      <c r="O2" s="250"/>
    </row>
    <row r="3" spans="1:19">
      <c r="A3" s="84"/>
      <c r="E3" s="53"/>
      <c r="F3" s="84"/>
      <c r="H3" s="2"/>
      <c r="J3" s="53"/>
      <c r="K3" s="33"/>
      <c r="L3" s="1"/>
      <c r="M3" s="140"/>
      <c r="O3" s="53"/>
    </row>
    <row r="4" spans="1:19" ht="15.75">
      <c r="A4" s="33"/>
      <c r="B4" s="155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</row>
    <row r="5" spans="1:19">
      <c r="B5" s="10"/>
      <c r="C5" s="6"/>
      <c r="D5" s="35"/>
      <c r="J5" s="6"/>
      <c r="K5" s="33"/>
      <c r="L5" s="6"/>
      <c r="M5" s="33"/>
      <c r="N5" s="33"/>
    </row>
    <row r="6" spans="1:19">
      <c r="A6" s="141" t="s">
        <v>480</v>
      </c>
      <c r="B6" s="141"/>
      <c r="C6" s="6"/>
      <c r="D6" s="35"/>
      <c r="E6" s="10"/>
      <c r="F6" s="141" t="s">
        <v>480</v>
      </c>
      <c r="G6" s="6"/>
      <c r="H6" s="6"/>
      <c r="I6" s="6"/>
      <c r="J6" s="6"/>
      <c r="K6" s="141" t="s">
        <v>480</v>
      </c>
      <c r="L6" s="6"/>
      <c r="M6" s="6"/>
      <c r="N6" s="6"/>
      <c r="O6" s="6"/>
    </row>
    <row r="7" spans="1:19">
      <c r="A7" s="32" t="s">
        <v>225</v>
      </c>
      <c r="B7" s="10"/>
      <c r="C7" s="6"/>
      <c r="D7" s="6"/>
      <c r="E7" s="10"/>
      <c r="F7" s="32" t="s">
        <v>123</v>
      </c>
      <c r="G7" s="6"/>
      <c r="H7" s="35"/>
      <c r="I7" s="6"/>
      <c r="J7" s="6"/>
      <c r="K7" s="6" t="s">
        <v>21</v>
      </c>
      <c r="L7" s="6"/>
      <c r="M7" s="6"/>
      <c r="N7" s="6"/>
      <c r="O7" s="6"/>
    </row>
    <row r="8" spans="1:19">
      <c r="A8" s="6" t="str">
        <f>keep_TESTYEAR</f>
        <v>FOR THE TWELVE MONTHS ENDED SEPTEMBER 30, 2016</v>
      </c>
      <c r="B8" s="10"/>
      <c r="C8" s="6"/>
      <c r="D8" s="6"/>
      <c r="E8" s="10"/>
      <c r="F8" s="6" t="str">
        <f>keep_TESTYEAR</f>
        <v>FOR THE TWELVE MONTHS ENDED SEPTEMBER 30, 2016</v>
      </c>
      <c r="G8" s="6"/>
      <c r="H8" s="6"/>
      <c r="I8" s="6"/>
      <c r="J8" s="6"/>
      <c r="K8" s="6" t="str">
        <f>keep_TESTYEAR</f>
        <v>FOR THE TWELVE MONTHS ENDED SEPTEMBER 30, 2016</v>
      </c>
      <c r="L8" s="6"/>
      <c r="M8" s="6"/>
      <c r="N8" s="6"/>
      <c r="O8" s="6"/>
    </row>
    <row r="9" spans="1:19">
      <c r="A9" s="32" t="str">
        <f>kp_DOCKET</f>
        <v>GENERAL RATE CASE</v>
      </c>
      <c r="B9" s="6"/>
      <c r="C9" s="6"/>
      <c r="D9" s="6"/>
      <c r="E9" s="10"/>
      <c r="F9" s="32" t="str">
        <f>kp_DOCKET</f>
        <v>GENERAL RATE CASE</v>
      </c>
      <c r="G9" s="6"/>
      <c r="H9" s="6"/>
      <c r="I9" s="6"/>
      <c r="J9" s="33"/>
      <c r="K9" s="32" t="str">
        <f>kp_DOCKET</f>
        <v>GENERAL RATE CASE</v>
      </c>
      <c r="L9" s="6"/>
      <c r="M9" s="6"/>
      <c r="N9" s="6"/>
      <c r="O9" s="6"/>
    </row>
    <row r="10" spans="1:19">
      <c r="A10" s="33"/>
      <c r="B10" s="33"/>
      <c r="C10" s="33"/>
      <c r="D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9">
      <c r="A11" s="11" t="s">
        <v>23</v>
      </c>
      <c r="E11" s="12" t="s">
        <v>18</v>
      </c>
      <c r="F11" s="11" t="s">
        <v>23</v>
      </c>
      <c r="G11" s="33"/>
      <c r="H11" s="11" t="s">
        <v>122</v>
      </c>
      <c r="I11" s="11"/>
      <c r="J11" s="11" t="s">
        <v>73</v>
      </c>
      <c r="K11" s="11" t="s">
        <v>23</v>
      </c>
      <c r="L11" s="33"/>
      <c r="M11" s="33"/>
      <c r="N11" s="33"/>
      <c r="O11" s="33"/>
    </row>
    <row r="12" spans="1:19">
      <c r="A12" s="21" t="s">
        <v>35</v>
      </c>
      <c r="B12" s="39" t="s">
        <v>36</v>
      </c>
      <c r="C12" s="91"/>
      <c r="D12" s="91"/>
      <c r="E12" s="274" t="s">
        <v>18</v>
      </c>
      <c r="F12" s="152" t="s">
        <v>35</v>
      </c>
      <c r="G12" s="153" t="s">
        <v>36</v>
      </c>
      <c r="H12" s="152" t="s">
        <v>79</v>
      </c>
      <c r="I12" s="152" t="s">
        <v>74</v>
      </c>
      <c r="J12" s="152" t="s">
        <v>75</v>
      </c>
      <c r="K12" s="21" t="s">
        <v>35</v>
      </c>
      <c r="L12" s="40" t="s">
        <v>36</v>
      </c>
      <c r="M12" s="21" t="s">
        <v>52</v>
      </c>
      <c r="N12" s="21" t="s">
        <v>53</v>
      </c>
      <c r="O12" s="21" t="s">
        <v>38</v>
      </c>
    </row>
    <row r="13" spans="1:19">
      <c r="E13" s="33"/>
      <c r="F13" s="5"/>
      <c r="G13" s="5"/>
      <c r="H13" s="5"/>
      <c r="I13" s="5"/>
      <c r="J13" s="5"/>
    </row>
    <row r="14" spans="1:19">
      <c r="A14" s="12">
        <v>1</v>
      </c>
      <c r="B14" s="3" t="s">
        <v>80</v>
      </c>
      <c r="E14" s="77">
        <f>'Exh. BGM-4 (2) Adj. Detail'!E60</f>
        <v>1744479361.4543562</v>
      </c>
      <c r="F14" s="12">
        <v>1</v>
      </c>
      <c r="G14" s="300" t="s">
        <v>289</v>
      </c>
      <c r="H14" s="133">
        <f>'[16]Pg 1 CofCap'!$D$21</f>
        <v>0.51500000000000001</v>
      </c>
      <c r="I14" s="133">
        <f>'[16]Pg 1 CofCap'!$E$21</f>
        <v>5.8058252427184473E-2</v>
      </c>
      <c r="J14" s="133">
        <f>ROUND(+H14*I14,4)</f>
        <v>2.9899999999999999E-2</v>
      </c>
      <c r="K14" s="12">
        <v>1</v>
      </c>
      <c r="L14" s="13" t="s">
        <v>111</v>
      </c>
      <c r="M14" s="263"/>
      <c r="N14" s="263"/>
      <c r="O14" s="263">
        <f>ROUND('Exh. BGM-4 (4) Rstng and PF Adj'!AO18,6)</f>
        <v>5.1399999999999996E-3</v>
      </c>
    </row>
    <row r="15" spans="1:19">
      <c r="A15" s="12">
        <f t="shared" ref="A15:A23" si="0">A14+1</f>
        <v>2</v>
      </c>
      <c r="B15" s="13" t="s">
        <v>16</v>
      </c>
      <c r="E15" s="154">
        <f>+J16</f>
        <v>7.3999999999999996E-2</v>
      </c>
      <c r="F15" s="12">
        <v>2</v>
      </c>
      <c r="G15" s="300" t="s">
        <v>290</v>
      </c>
      <c r="H15" s="133">
        <f>'[16]Pg 1 CofCap'!$D$22</f>
        <v>0.48499999999999999</v>
      </c>
      <c r="I15" s="133">
        <v>9.0999999999999998E-2</v>
      </c>
      <c r="J15" s="133">
        <f>ROUND(+H15*I15,4)</f>
        <v>4.41E-2</v>
      </c>
      <c r="K15" s="12">
        <f t="shared" ref="K15:K23" si="1">+K14+1</f>
        <v>2</v>
      </c>
      <c r="L15" s="3" t="s">
        <v>194</v>
      </c>
      <c r="M15" s="263"/>
      <c r="N15" s="263"/>
      <c r="O15" s="263">
        <f>'[17]3.05 G'!$E$14</f>
        <v>2E-3</v>
      </c>
    </row>
    <row r="16" spans="1:19">
      <c r="A16" s="12">
        <f t="shared" si="0"/>
        <v>3</v>
      </c>
      <c r="B16" s="13"/>
      <c r="F16" s="12">
        <v>3</v>
      </c>
      <c r="G16" s="300" t="s">
        <v>291</v>
      </c>
      <c r="H16" s="467">
        <f>SUM(H14:H15)</f>
        <v>1</v>
      </c>
      <c r="I16" s="388"/>
      <c r="J16" s="467">
        <f>SUM(J14:J15)</f>
        <v>7.3999999999999996E-2</v>
      </c>
      <c r="K16" s="12">
        <f t="shared" si="1"/>
        <v>3</v>
      </c>
      <c r="L16" s="160" t="str">
        <f>"STATE UTILITY TAX ( "&amp;N16*100&amp;"% - ( LINE 1 * "&amp;N16*100&amp;"% )  )"</f>
        <v>STATE UTILITY TAX ( 3.852% - ( LINE 1 * 3.852% )  )</v>
      </c>
      <c r="M16" s="164"/>
      <c r="N16" s="272">
        <f>'[17]3.05 G'!$D$15</f>
        <v>3.8519999999999999E-2</v>
      </c>
      <c r="O16" s="273">
        <f>ROUND(N16-(N16*O14),6)</f>
        <v>3.8322000000000002E-2</v>
      </c>
    </row>
    <row r="17" spans="1:15">
      <c r="A17" s="12">
        <f t="shared" si="0"/>
        <v>4</v>
      </c>
      <c r="B17" s="3" t="s">
        <v>133</v>
      </c>
      <c r="E17" s="28">
        <f>E14*E15</f>
        <v>129091472.74762236</v>
      </c>
      <c r="F17" s="12">
        <v>4</v>
      </c>
      <c r="G17" s="391"/>
      <c r="H17" s="300"/>
      <c r="I17" s="300"/>
      <c r="J17" s="123"/>
      <c r="K17" s="12">
        <f t="shared" si="1"/>
        <v>4</v>
      </c>
      <c r="M17" s="263"/>
      <c r="N17" s="263"/>
      <c r="O17" s="263"/>
    </row>
    <row r="18" spans="1:15">
      <c r="A18" s="12">
        <f t="shared" si="0"/>
        <v>5</v>
      </c>
      <c r="B18" s="13"/>
      <c r="E18" s="28"/>
      <c r="F18" s="12">
        <v>5</v>
      </c>
      <c r="G18" s="300" t="s">
        <v>292</v>
      </c>
      <c r="H18" s="298">
        <f>+H14</f>
        <v>0.51500000000000001</v>
      </c>
      <c r="I18" s="298">
        <f>+I14</f>
        <v>5.8058252427184473E-2</v>
      </c>
      <c r="J18" s="133">
        <f>ROUND(J14*0.65,4)</f>
        <v>1.9400000000000001E-2</v>
      </c>
      <c r="K18" s="12">
        <f t="shared" si="1"/>
        <v>5</v>
      </c>
      <c r="L18" s="160" t="s">
        <v>201</v>
      </c>
      <c r="M18" s="263"/>
      <c r="N18" s="263"/>
      <c r="O18" s="271">
        <f>SUM(O14:O17)</f>
        <v>4.5462000000000002E-2</v>
      </c>
    </row>
    <row r="19" spans="1:15">
      <c r="A19" s="12">
        <f t="shared" si="0"/>
        <v>6</v>
      </c>
      <c r="B19" s="13" t="s">
        <v>134</v>
      </c>
      <c r="E19" s="331">
        <f>'Exh. BGM-4 (2) Adj. Detail'!E47</f>
        <v>125815963.6864453</v>
      </c>
      <c r="F19" s="12">
        <v>6</v>
      </c>
      <c r="G19" s="300" t="s">
        <v>290</v>
      </c>
      <c r="H19" s="298">
        <f>+H15</f>
        <v>0.48499999999999999</v>
      </c>
      <c r="I19" s="298">
        <f>+I15</f>
        <v>9.0999999999999998E-2</v>
      </c>
      <c r="J19" s="133">
        <f>ROUND(H19*I19,4)</f>
        <v>4.41E-2</v>
      </c>
      <c r="K19" s="12">
        <f t="shared" si="1"/>
        <v>6</v>
      </c>
    </row>
    <row r="20" spans="1:15">
      <c r="A20" s="12">
        <f t="shared" si="0"/>
        <v>7</v>
      </c>
      <c r="B20" s="13" t="s">
        <v>135</v>
      </c>
      <c r="E20" s="28">
        <f>+E17-E19</f>
        <v>3275509.06117706</v>
      </c>
      <c r="F20" s="12">
        <v>7</v>
      </c>
      <c r="G20" s="300" t="s">
        <v>293</v>
      </c>
      <c r="H20" s="467">
        <f>SUM(H18:H19)</f>
        <v>1</v>
      </c>
      <c r="I20" s="388"/>
      <c r="J20" s="467">
        <f>SUM(J18:J19)</f>
        <v>6.3500000000000001E-2</v>
      </c>
      <c r="K20" s="12">
        <f t="shared" si="1"/>
        <v>7</v>
      </c>
      <c r="L20" s="164" t="s">
        <v>202</v>
      </c>
      <c r="M20" s="164"/>
      <c r="N20" s="164"/>
      <c r="O20" s="271">
        <f>ROUND(1-O18,6)</f>
        <v>0.954538</v>
      </c>
    </row>
    <row r="21" spans="1:15">
      <c r="A21" s="12">
        <f t="shared" si="0"/>
        <v>8</v>
      </c>
      <c r="E21" s="28"/>
      <c r="F21"/>
      <c r="G21"/>
      <c r="H21"/>
      <c r="I21"/>
      <c r="J21"/>
      <c r="K21" s="12">
        <f t="shared" si="1"/>
        <v>8</v>
      </c>
      <c r="L21" s="160" t="s">
        <v>203</v>
      </c>
      <c r="M21" s="263"/>
      <c r="N21" s="132">
        <v>0.35</v>
      </c>
      <c r="O21" s="271">
        <f>ROUND(O20*N21,6)</f>
        <v>0.334088</v>
      </c>
    </row>
    <row r="22" spans="1:15">
      <c r="A22" s="12">
        <f t="shared" si="0"/>
        <v>9</v>
      </c>
      <c r="B22" s="3" t="s">
        <v>21</v>
      </c>
      <c r="E22" s="343">
        <f>'Exh. BGM-4 (3) Param'!O23</f>
        <v>0.62044999999999995</v>
      </c>
      <c r="F22"/>
      <c r="G22"/>
      <c r="H22"/>
      <c r="I22"/>
      <c r="J22"/>
      <c r="K22" s="12">
        <f t="shared" si="1"/>
        <v>9</v>
      </c>
      <c r="L22" s="13"/>
      <c r="M22" s="263"/>
      <c r="N22" s="265"/>
      <c r="O22" s="264"/>
    </row>
    <row r="23" spans="1:15" ht="13.5" thickBot="1">
      <c r="A23" s="114">
        <f t="shared" si="0"/>
        <v>10</v>
      </c>
      <c r="B23" s="74" t="s">
        <v>205</v>
      </c>
      <c r="C23" s="74"/>
      <c r="E23" s="327">
        <f>ROUND(+E20/E22,0)</f>
        <v>5279247</v>
      </c>
      <c r="F23"/>
      <c r="G23"/>
      <c r="H23"/>
      <c r="I23"/>
      <c r="J23"/>
      <c r="K23" s="12">
        <f t="shared" si="1"/>
        <v>10</v>
      </c>
      <c r="L23" s="13" t="s">
        <v>21</v>
      </c>
      <c r="M23" s="263"/>
      <c r="N23" s="265"/>
      <c r="O23" s="345">
        <f>O20-O21</f>
        <v>0.62044999999999995</v>
      </c>
    </row>
    <row r="24" spans="1:15" ht="13.5" thickTop="1">
      <c r="A24" s="114"/>
      <c r="E24" s="28"/>
      <c r="F24"/>
      <c r="G24"/>
      <c r="H24"/>
      <c r="I24"/>
      <c r="J24"/>
      <c r="K24" s="12"/>
    </row>
    <row r="25" spans="1:15">
      <c r="A25" s="114"/>
      <c r="E25"/>
      <c r="F25"/>
      <c r="G25"/>
      <c r="H25"/>
      <c r="I25"/>
      <c r="J25"/>
      <c r="K25" s="12"/>
      <c r="O25" s="306"/>
    </row>
    <row r="26" spans="1:15">
      <c r="A26" s="114"/>
      <c r="B26" s="74"/>
      <c r="C26" s="75"/>
      <c r="D26" s="75"/>
      <c r="E26"/>
      <c r="F26"/>
      <c r="G26"/>
      <c r="H26"/>
      <c r="I26"/>
      <c r="J26"/>
      <c r="K26" s="12"/>
      <c r="O26" s="271"/>
    </row>
    <row r="27" spans="1:15" ht="13.5">
      <c r="A27" s="275"/>
      <c r="B27" s="7"/>
      <c r="E27"/>
      <c r="F27"/>
      <c r="G27"/>
      <c r="H27"/>
      <c r="I27"/>
      <c r="J27"/>
    </row>
    <row r="28" spans="1:15">
      <c r="B28"/>
      <c r="C28"/>
      <c r="D28"/>
      <c r="E28"/>
      <c r="F28"/>
      <c r="G28"/>
      <c r="H28"/>
      <c r="I28"/>
      <c r="J28"/>
    </row>
    <row r="29" spans="1:15">
      <c r="B29"/>
      <c r="C29"/>
      <c r="D29"/>
      <c r="E29"/>
      <c r="G29"/>
      <c r="H29"/>
      <c r="I29"/>
      <c r="J29"/>
    </row>
    <row r="30" spans="1:15">
      <c r="B30"/>
      <c r="C30"/>
      <c r="D30"/>
      <c r="E30"/>
      <c r="F30"/>
      <c r="G30"/>
      <c r="H30"/>
      <c r="I30"/>
      <c r="J30"/>
    </row>
    <row r="31" spans="1:15">
      <c r="B31"/>
      <c r="C31"/>
      <c r="D31"/>
      <c r="E31"/>
      <c r="F31"/>
      <c r="G31"/>
      <c r="H31"/>
      <c r="I31"/>
      <c r="J31"/>
    </row>
    <row r="32" spans="1:15">
      <c r="B32"/>
      <c r="C32"/>
      <c r="D32"/>
      <c r="E32"/>
      <c r="F32"/>
      <c r="G32"/>
      <c r="H32"/>
      <c r="I32"/>
      <c r="J32"/>
    </row>
    <row r="33" spans="2:10">
      <c r="B33"/>
      <c r="C33"/>
      <c r="D33"/>
      <c r="E33"/>
      <c r="F33"/>
      <c r="G33"/>
      <c r="H33"/>
      <c r="I33"/>
      <c r="J33"/>
    </row>
    <row r="34" spans="2:10">
      <c r="B34"/>
      <c r="C34"/>
      <c r="D34"/>
      <c r="E34"/>
      <c r="F34"/>
      <c r="G34"/>
      <c r="H34"/>
      <c r="I34"/>
      <c r="J34"/>
    </row>
    <row r="35" spans="2:10">
      <c r="B35"/>
      <c r="C35"/>
      <c r="D35"/>
      <c r="E35"/>
      <c r="F35"/>
      <c r="G35"/>
      <c r="H35"/>
      <c r="I35"/>
      <c r="J35"/>
    </row>
    <row r="36" spans="2:10">
      <c r="B36"/>
      <c r="C36"/>
      <c r="D36"/>
      <c r="E36"/>
      <c r="F36"/>
      <c r="G36"/>
      <c r="H36"/>
      <c r="I36"/>
      <c r="J36"/>
    </row>
    <row r="37" spans="2:10">
      <c r="B37"/>
      <c r="C37"/>
      <c r="D37"/>
      <c r="E37"/>
      <c r="F37"/>
      <c r="G37"/>
      <c r="H37"/>
      <c r="I37"/>
      <c r="J37"/>
    </row>
    <row r="38" spans="2:10">
      <c r="B38"/>
      <c r="C38"/>
      <c r="D38"/>
      <c r="E38"/>
      <c r="F38"/>
      <c r="G38"/>
      <c r="H38"/>
      <c r="I38"/>
      <c r="J38"/>
    </row>
    <row r="39" spans="2:10">
      <c r="B39"/>
      <c r="C39"/>
      <c r="D39"/>
      <c r="E39"/>
      <c r="F39"/>
      <c r="G39"/>
      <c r="H39"/>
      <c r="I39"/>
      <c r="J39"/>
    </row>
    <row r="40" spans="2:10">
      <c r="B40"/>
      <c r="C40"/>
      <c r="D40"/>
      <c r="E40"/>
      <c r="F40"/>
      <c r="G40"/>
      <c r="H40"/>
      <c r="I40"/>
      <c r="J40"/>
    </row>
    <row r="41" spans="2:10">
      <c r="B41"/>
      <c r="C41"/>
      <c r="D41"/>
      <c r="E41"/>
      <c r="F41"/>
      <c r="G41"/>
      <c r="H41"/>
      <c r="I41"/>
      <c r="J41"/>
    </row>
    <row r="42" spans="2:10">
      <c r="B42"/>
      <c r="C42"/>
      <c r="D42"/>
      <c r="E42"/>
      <c r="F42"/>
      <c r="G42"/>
      <c r="H42"/>
      <c r="I42"/>
      <c r="J42"/>
    </row>
    <row r="43" spans="2:10">
      <c r="B43"/>
      <c r="C43"/>
      <c r="D43"/>
      <c r="E43"/>
      <c r="F43"/>
      <c r="G43"/>
      <c r="H43"/>
      <c r="I43"/>
      <c r="J43"/>
    </row>
    <row r="44" spans="2:10">
      <c r="B44"/>
      <c r="C44"/>
      <c r="D44"/>
      <c r="E44"/>
      <c r="F44"/>
      <c r="G44"/>
      <c r="H44"/>
      <c r="I44"/>
      <c r="J44"/>
    </row>
    <row r="45" spans="2:10">
      <c r="B45"/>
      <c r="C45"/>
      <c r="D45"/>
      <c r="E45"/>
      <c r="F45"/>
      <c r="G45"/>
      <c r="H45"/>
      <c r="I45"/>
      <c r="J45"/>
    </row>
    <row r="46" spans="2:10">
      <c r="B46"/>
      <c r="C46"/>
      <c r="D46"/>
      <c r="E46"/>
      <c r="F46"/>
      <c r="G46"/>
      <c r="H46"/>
      <c r="I46"/>
      <c r="J46"/>
    </row>
    <row r="47" spans="2:10">
      <c r="B47"/>
      <c r="C47"/>
      <c r="D47"/>
      <c r="E47"/>
      <c r="F47"/>
      <c r="G47"/>
      <c r="H47"/>
      <c r="I47"/>
      <c r="J47"/>
    </row>
    <row r="48" spans="2:10">
      <c r="B48"/>
      <c r="C48"/>
      <c r="D48"/>
      <c r="E48"/>
      <c r="F48"/>
      <c r="G48"/>
      <c r="H48"/>
      <c r="I48"/>
      <c r="J48"/>
    </row>
    <row r="49" spans="2:10">
      <c r="B49"/>
      <c r="C49"/>
      <c r="D49"/>
      <c r="E49"/>
      <c r="F49"/>
      <c r="G49"/>
      <c r="H49"/>
      <c r="I49"/>
      <c r="J49"/>
    </row>
    <row r="50" spans="2:10">
      <c r="B50"/>
      <c r="C50"/>
      <c r="D50"/>
      <c r="E50"/>
      <c r="F50"/>
      <c r="G50"/>
      <c r="H50"/>
      <c r="I50"/>
      <c r="J50"/>
    </row>
    <row r="51" spans="2:10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>
      <c r="B53"/>
      <c r="C53"/>
      <c r="D53"/>
      <c r="E53"/>
      <c r="F53"/>
      <c r="G53"/>
      <c r="H53"/>
      <c r="I53"/>
      <c r="J53"/>
    </row>
    <row r="54" spans="2:10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>
      <c r="B57"/>
      <c r="C57"/>
      <c r="D57"/>
      <c r="E57"/>
      <c r="F57"/>
      <c r="G57"/>
      <c r="H57"/>
      <c r="I57"/>
      <c r="J57"/>
    </row>
    <row r="58" spans="2:10">
      <c r="B58"/>
      <c r="C58"/>
      <c r="D58"/>
      <c r="E58"/>
      <c r="F58"/>
      <c r="G58" s="340"/>
      <c r="H58" s="341"/>
      <c r="I58" s="339"/>
      <c r="J58" s="342"/>
    </row>
    <row r="59" spans="2:10">
      <c r="B59"/>
      <c r="C59"/>
      <c r="D59"/>
      <c r="E59"/>
      <c r="F59"/>
      <c r="G59" s="339"/>
      <c r="H59" s="339"/>
      <c r="I59" s="339"/>
      <c r="J59" s="339"/>
    </row>
    <row r="60" spans="2:10">
      <c r="B60"/>
      <c r="C60"/>
      <c r="D60"/>
      <c r="E60"/>
      <c r="F60"/>
      <c r="G60" s="339"/>
      <c r="H60" s="339"/>
      <c r="I60" s="339"/>
      <c r="J60" s="339"/>
    </row>
    <row r="61" spans="2:10">
      <c r="B61"/>
      <c r="C61"/>
      <c r="D61"/>
      <c r="E61"/>
      <c r="F61"/>
    </row>
    <row r="62" spans="2:10">
      <c r="F62"/>
    </row>
    <row r="63" spans="2:10">
      <c r="F63"/>
    </row>
  </sheetData>
  <phoneticPr fontId="0" type="noConversion"/>
  <conditionalFormatting sqref="K1:O1">
    <cfRule type="cellIs" dxfId="12" priority="3" stopIfTrue="1" operator="notEqual">
      <formula>0</formula>
    </cfRule>
  </conditionalFormatting>
  <printOptions horizontalCentered="1"/>
  <pageMargins left="0.7" right="0.7" top="0.75" bottom="0.75" header="0.3" footer="0.3"/>
  <pageSetup scale="80" orientation="portrait" r:id="rId1"/>
  <colBreaks count="2" manualBreakCount="2">
    <brk id="5" max="1048575" man="1"/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EO334"/>
  <sheetViews>
    <sheetView zoomScaleNormal="100" zoomScaleSheetLayoutView="40" workbookViewId="0">
      <pane xSplit="1" ySplit="12" topLeftCell="B13" activePane="bottomRight" state="frozen"/>
      <selection activeCell="AE45" sqref="AE45"/>
      <selection pane="topRight" activeCell="AE45" sqref="AE45"/>
      <selection pane="bottomLeft" activeCell="AE45" sqref="AE45"/>
      <selection pane="bottomRight" activeCell="U13" sqref="U13"/>
    </sheetView>
  </sheetViews>
  <sheetFormatPr defaultColWidth="9.33203125" defaultRowHeight="12.75" customHeight="1" outlineLevelCol="1"/>
  <cols>
    <col min="1" max="1" width="7.33203125" style="3" hidden="1" customWidth="1"/>
    <col min="2" max="2" width="57.5" style="3" hidden="1" customWidth="1"/>
    <col min="3" max="3" width="11.5" style="3" hidden="1" customWidth="1"/>
    <col min="4" max="4" width="20" style="3" hidden="1" customWidth="1"/>
    <col min="5" max="5" width="21.1640625" style="3" hidden="1" customWidth="1"/>
    <col min="6" max="6" width="6.6640625" style="300" hidden="1" customWidth="1"/>
    <col min="7" max="7" width="25.6640625" style="3" hidden="1" customWidth="1"/>
    <col min="8" max="8" width="24.83203125" style="3" hidden="1" customWidth="1"/>
    <col min="9" max="10" width="17.83203125" style="3" hidden="1" customWidth="1"/>
    <col min="11" max="11" width="17" style="3" hidden="1" customWidth="1"/>
    <col min="12" max="12" width="6.83203125" style="3" hidden="1" customWidth="1"/>
    <col min="13" max="13" width="72.1640625" style="3" hidden="1" customWidth="1"/>
    <col min="14" max="14" width="18.83203125" style="3" hidden="1" customWidth="1"/>
    <col min="15" max="15" width="17.83203125" style="3" hidden="1" customWidth="1"/>
    <col min="16" max="16" width="6.83203125" style="3" hidden="1" customWidth="1"/>
    <col min="17" max="19" width="23" style="3" hidden="1" customWidth="1"/>
    <col min="20" max="20" width="20" style="3" hidden="1" customWidth="1"/>
    <col min="21" max="21" width="6.83203125" style="3" customWidth="1"/>
    <col min="22" max="22" width="60" style="3" customWidth="1"/>
    <col min="23" max="23" width="19.1640625" style="3" customWidth="1"/>
    <col min="24" max="24" width="20" style="3" customWidth="1"/>
    <col min="25" max="25" width="7.33203125" style="3" customWidth="1"/>
    <col min="26" max="26" width="76.83203125" style="3" customWidth="1"/>
    <col min="27" max="27" width="17.33203125" style="3" customWidth="1"/>
    <col min="28" max="29" width="18.33203125" style="3" customWidth="1"/>
    <col min="30" max="30" width="7.5" style="3" hidden="1" customWidth="1"/>
    <col min="31" max="31" width="50.5" style="3" hidden="1" customWidth="1"/>
    <col min="32" max="34" width="17.83203125" style="3" hidden="1" customWidth="1"/>
    <col min="35" max="35" width="6.83203125" style="3" hidden="1" customWidth="1"/>
    <col min="36" max="36" width="42.5" style="3" hidden="1" customWidth="1"/>
    <col min="37" max="37" width="15.83203125" style="3" hidden="1" customWidth="1"/>
    <col min="38" max="38" width="19.1640625" style="3" hidden="1" customWidth="1" outlineLevel="1"/>
    <col min="39" max="39" width="15.83203125" style="3" hidden="1" customWidth="1" outlineLevel="1"/>
    <col min="40" max="40" width="19.1640625" style="3" hidden="1" customWidth="1" collapsed="1"/>
    <col min="41" max="41" width="14.1640625" style="3" hidden="1" customWidth="1"/>
    <col min="42" max="42" width="7.33203125" style="3" hidden="1" customWidth="1"/>
    <col min="43" max="43" width="46.83203125" style="3" hidden="1" customWidth="1"/>
    <col min="44" max="44" width="15.6640625" style="3" hidden="1" customWidth="1"/>
    <col min="45" max="45" width="16" style="3" hidden="1" customWidth="1"/>
    <col min="46" max="46" width="16.5" style="3" hidden="1" customWidth="1"/>
    <col min="47" max="47" width="7.33203125" style="3" hidden="1" customWidth="1"/>
    <col min="48" max="48" width="38.5" style="3" hidden="1" customWidth="1"/>
    <col min="49" max="49" width="15.83203125" style="3" hidden="1" customWidth="1"/>
    <col min="50" max="50" width="13.33203125" style="3" hidden="1" customWidth="1"/>
    <col min="51" max="51" width="20" style="3" hidden="1" customWidth="1"/>
    <col min="52" max="52" width="7.1640625" style="3" hidden="1" customWidth="1"/>
    <col min="53" max="53" width="41.1640625" style="3" hidden="1" customWidth="1"/>
    <col min="54" max="54" width="18.33203125" style="3" hidden="1" customWidth="1"/>
    <col min="55" max="55" width="11.83203125" style="3" hidden="1" customWidth="1"/>
    <col min="56" max="56" width="18.33203125" style="3" hidden="1" customWidth="1"/>
    <col min="57" max="57" width="5.83203125" style="48" hidden="1" customWidth="1"/>
    <col min="58" max="58" width="72.5" style="48" hidden="1" customWidth="1"/>
    <col min="59" max="59" width="20.1640625" style="48" hidden="1" customWidth="1"/>
    <col min="60" max="60" width="17.5" style="48" hidden="1" customWidth="1"/>
    <col min="61" max="61" width="5.83203125" style="3" hidden="1" customWidth="1"/>
    <col min="62" max="62" width="71" style="3" hidden="1" customWidth="1"/>
    <col min="63" max="63" width="14.1640625" style="3" hidden="1" customWidth="1"/>
    <col min="64" max="64" width="17.33203125" style="3" hidden="1" customWidth="1"/>
    <col min="65" max="65" width="6.5" style="3" hidden="1" customWidth="1"/>
    <col min="66" max="66" width="43.83203125" style="3" hidden="1" customWidth="1"/>
    <col min="67" max="67" width="17.33203125" style="3" hidden="1" customWidth="1"/>
    <col min="68" max="68" width="18.83203125" style="3" hidden="1" customWidth="1"/>
    <col min="69" max="69" width="18.33203125" style="3" hidden="1" customWidth="1"/>
    <col min="70" max="70" width="7.33203125" style="3" customWidth="1"/>
    <col min="71" max="71" width="43.83203125" style="3" customWidth="1"/>
    <col min="72" max="73" width="17.33203125" style="3" customWidth="1"/>
    <col min="74" max="74" width="19.1640625" style="3" customWidth="1"/>
    <col min="75" max="75" width="6.83203125" style="3" hidden="1" customWidth="1"/>
    <col min="76" max="76" width="42.83203125" style="3" hidden="1" customWidth="1"/>
    <col min="77" max="77" width="4.83203125" style="3" hidden="1" customWidth="1"/>
    <col min="78" max="78" width="5.83203125" style="3" hidden="1" customWidth="1"/>
    <col min="79" max="79" width="15.83203125" style="3" hidden="1" customWidth="1"/>
    <col min="80" max="80" width="18.83203125" style="3" hidden="1" customWidth="1"/>
    <col min="81" max="81" width="17.33203125" style="3" hidden="1" customWidth="1"/>
    <col min="82" max="82" width="7.5" style="3" hidden="1" customWidth="1"/>
    <col min="83" max="83" width="62.83203125" style="3" hidden="1" customWidth="1"/>
    <col min="84" max="84" width="13.6640625" style="3" hidden="1" customWidth="1"/>
    <col min="85" max="86" width="18" style="3" hidden="1" customWidth="1"/>
    <col min="87" max="87" width="6.83203125" style="3" hidden="1" customWidth="1"/>
    <col min="88" max="88" width="50.83203125" style="3" hidden="1" customWidth="1"/>
    <col min="89" max="89" width="13.6640625" style="3" hidden="1" customWidth="1"/>
    <col min="90" max="90" width="26.5" style="3" hidden="1" customWidth="1"/>
    <col min="91" max="91" width="6.83203125" style="300" customWidth="1"/>
    <col min="92" max="92" width="90.83203125" style="300" customWidth="1"/>
    <col min="93" max="93" width="20" style="300" bestFit="1" customWidth="1"/>
    <col min="94" max="94" width="18.6640625" style="300" customWidth="1"/>
    <col min="95" max="95" width="6.33203125" hidden="1" customWidth="1"/>
    <col min="96" max="96" width="52.83203125" hidden="1" customWidth="1"/>
    <col min="97" max="97" width="14.5" hidden="1" customWidth="1"/>
    <col min="98" max="98" width="15.5" hidden="1" customWidth="1"/>
    <col min="99" max="99" width="20.5" hidden="1" customWidth="1"/>
    <col min="100" max="100" width="6.5" hidden="1" customWidth="1"/>
    <col min="101" max="101" width="61.6640625" hidden="1" customWidth="1"/>
    <col min="102" max="102" width="18" hidden="1" customWidth="1"/>
    <col min="103" max="103" width="17.83203125" hidden="1" customWidth="1"/>
    <col min="104" max="104" width="17.6640625" hidden="1" customWidth="1"/>
    <col min="105" max="105" width="7.5" style="3" hidden="1" customWidth="1"/>
    <col min="106" max="106" width="62.5" style="3" hidden="1" customWidth="1"/>
    <col min="107" max="108" width="15.83203125" style="3" hidden="1" customWidth="1"/>
    <col min="109" max="109" width="17.83203125" style="3" hidden="1" customWidth="1"/>
    <col min="111" max="111" width="59" customWidth="1"/>
    <col min="112" max="113" width="15.83203125" customWidth="1"/>
    <col min="114" max="114" width="17.33203125" customWidth="1"/>
    <col min="116" max="116" width="59" customWidth="1"/>
    <col min="117" max="118" width="15.83203125" customWidth="1"/>
    <col min="119" max="119" width="17.33203125" customWidth="1"/>
    <col min="121" max="121" width="59" customWidth="1"/>
    <col min="122" max="123" width="15.83203125" customWidth="1"/>
    <col min="124" max="124" width="17.33203125" customWidth="1"/>
    <col min="125" max="125" width="22.33203125" style="3" customWidth="1"/>
    <col min="126" max="126" width="23.6640625" style="3" customWidth="1"/>
    <col min="127" max="127" width="7.1640625" style="3" bestFit="1" customWidth="1"/>
    <col min="128" max="128" width="59.83203125" style="3" bestFit="1" customWidth="1"/>
    <col min="129" max="133" width="23.6640625" style="3" customWidth="1"/>
    <col min="134" max="134" width="24.83203125" style="3" bestFit="1" customWidth="1"/>
    <col min="135" max="135" width="20.5" style="3" bestFit="1" customWidth="1"/>
    <col min="136" max="136" width="10.83203125" style="3" customWidth="1"/>
    <col min="137" max="137" width="56.5" style="3" bestFit="1" customWidth="1"/>
    <col min="138" max="138" width="19.83203125" style="3" bestFit="1" customWidth="1"/>
    <col min="139" max="139" width="22" style="3" bestFit="1" customWidth="1"/>
    <col min="140" max="140" width="20.5" style="3" bestFit="1" customWidth="1"/>
    <col min="141" max="141" width="24.83203125" style="3" customWidth="1"/>
    <col min="142" max="142" width="23.33203125" style="3" customWidth="1"/>
    <col min="143" max="143" width="2.83203125" style="3" customWidth="1"/>
    <col min="144" max="144" width="17.33203125" style="3" bestFit="1" customWidth="1"/>
    <col min="145" max="145" width="21.1640625" style="3" customWidth="1"/>
    <col min="146" max="16384" width="9.33203125" style="3"/>
  </cols>
  <sheetData>
    <row r="1" spans="1:145" s="516" customFormat="1" ht="12.75" customHeight="1">
      <c r="E1" s="8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</row>
    <row r="2" spans="1:145" s="300" customFormat="1" ht="14.25" customHeight="1">
      <c r="A2" s="33"/>
      <c r="B2" s="256"/>
      <c r="C2" s="256"/>
      <c r="E2" s="250"/>
      <c r="F2" s="33"/>
      <c r="K2" s="250"/>
      <c r="L2" s="165"/>
      <c r="M2" s="165"/>
      <c r="N2" s="165"/>
      <c r="O2" s="250"/>
      <c r="P2" s="33"/>
      <c r="T2" s="250"/>
      <c r="U2" s="33"/>
      <c r="X2" s="250"/>
      <c r="Z2" s="33"/>
      <c r="AC2" s="250"/>
      <c r="AH2" s="250"/>
      <c r="AO2" s="250"/>
      <c r="AQ2" s="33"/>
      <c r="AT2" s="250"/>
      <c r="AY2" s="250"/>
      <c r="BD2" s="250"/>
      <c r="BE2" s="257"/>
      <c r="BF2" s="257"/>
      <c r="BG2" s="257"/>
      <c r="BH2" s="250"/>
      <c r="BL2" s="250"/>
      <c r="BQ2" s="250"/>
      <c r="BV2" s="250"/>
      <c r="CC2" s="250"/>
      <c r="CH2" s="250"/>
      <c r="CL2" s="250"/>
      <c r="CP2" s="250"/>
      <c r="CU2" s="250"/>
      <c r="CZ2" s="250"/>
      <c r="DE2" s="250"/>
      <c r="DF2" s="123"/>
      <c r="DG2" s="123"/>
      <c r="DH2" s="123"/>
      <c r="DI2" s="518"/>
      <c r="DJ2" s="138"/>
      <c r="DK2" s="123"/>
      <c r="DL2" s="123"/>
      <c r="DM2" s="123"/>
      <c r="DN2" s="518"/>
      <c r="DO2" s="138"/>
      <c r="DP2" s="123"/>
      <c r="DQ2" s="123"/>
      <c r="DR2" s="123"/>
      <c r="DS2" s="518"/>
      <c r="DT2" s="138"/>
    </row>
    <row r="3" spans="1:145" s="300" customFormat="1" ht="14.25" customHeight="1" thickBot="1">
      <c r="A3" s="33"/>
      <c r="B3" s="256"/>
      <c r="C3" s="256"/>
      <c r="E3" s="1"/>
      <c r="F3" s="33"/>
      <c r="H3" s="113"/>
      <c r="K3" s="1"/>
      <c r="L3" s="170"/>
      <c r="M3" s="170"/>
      <c r="N3" s="170"/>
      <c r="O3" s="1"/>
      <c r="P3" s="84"/>
      <c r="T3" s="1"/>
      <c r="U3" s="84"/>
      <c r="X3" s="1"/>
      <c r="Y3" s="33"/>
      <c r="Z3" s="33"/>
      <c r="AC3" s="1"/>
      <c r="AD3" s="33"/>
      <c r="AE3" s="1"/>
      <c r="AF3" s="140"/>
      <c r="AG3" s="140"/>
      <c r="AH3" s="1"/>
      <c r="AI3" s="33"/>
      <c r="AJ3" s="75"/>
      <c r="AK3" s="75"/>
      <c r="AL3" s="75"/>
      <c r="AM3" s="75"/>
      <c r="AN3" s="75"/>
      <c r="AO3" s="1"/>
      <c r="AP3" s="33"/>
      <c r="AQ3" s="33"/>
      <c r="AT3" s="1"/>
      <c r="AU3" s="33"/>
      <c r="AV3" s="256"/>
      <c r="AW3" s="256"/>
      <c r="AX3" s="256"/>
      <c r="AY3" s="1"/>
      <c r="AZ3" s="33"/>
      <c r="BA3" s="129"/>
      <c r="BB3" s="129"/>
      <c r="BC3" s="129"/>
      <c r="BD3" s="1"/>
      <c r="BE3" s="33"/>
      <c r="BF3" s="214"/>
      <c r="BG3" s="257"/>
      <c r="BH3" s="1"/>
      <c r="BI3" s="33"/>
      <c r="BJ3" s="1"/>
      <c r="BK3" s="1"/>
      <c r="BL3" s="1"/>
      <c r="BM3" s="33"/>
      <c r="BQ3" s="1"/>
      <c r="BR3" s="33"/>
      <c r="BS3" s="33"/>
      <c r="BV3" s="1"/>
      <c r="BW3" s="33"/>
      <c r="BX3" s="33"/>
      <c r="CC3" s="1"/>
      <c r="CD3" s="33"/>
      <c r="CE3" s="33"/>
      <c r="CH3" s="1"/>
      <c r="CI3" s="33"/>
      <c r="CJ3" s="33"/>
      <c r="CL3" s="1"/>
      <c r="CM3" s="33"/>
      <c r="CN3" s="33"/>
      <c r="CP3" s="1"/>
      <c r="CQ3" s="33"/>
      <c r="CR3" s="256"/>
      <c r="CS3" s="256"/>
      <c r="CT3" s="256"/>
      <c r="CU3" s="1"/>
      <c r="CV3" s="33"/>
      <c r="CW3" s="256"/>
      <c r="CX3" s="256"/>
      <c r="CY3" s="256"/>
      <c r="CZ3" s="1"/>
      <c r="DE3" s="1"/>
      <c r="DI3" s="519"/>
      <c r="DJ3" s="1"/>
      <c r="DN3" s="519"/>
      <c r="DO3" s="1"/>
      <c r="DS3" s="519"/>
      <c r="DT3" s="1"/>
    </row>
    <row r="4" spans="1:145" ht="14.25" customHeight="1" thickTop="1" thickBot="1">
      <c r="E4" s="465">
        <v>6.01</v>
      </c>
      <c r="K4" s="465">
        <f>E4+0.01</f>
        <v>6.02</v>
      </c>
      <c r="O4" s="465">
        <f>K4+0.01</f>
        <v>6.0299999999999994</v>
      </c>
      <c r="T4" s="465">
        <f>O4+0.01</f>
        <v>6.0399999999999991</v>
      </c>
      <c r="X4" s="465">
        <f>T4+0.01</f>
        <v>6.0499999999999989</v>
      </c>
      <c r="AC4" s="465">
        <f>X4+0.01</f>
        <v>6.0599999999999987</v>
      </c>
      <c r="AH4" s="465">
        <f>AC4+0.01</f>
        <v>6.0699999999999985</v>
      </c>
      <c r="AO4" s="465">
        <f>AH4+0.01</f>
        <v>6.0799999999999983</v>
      </c>
      <c r="AT4" s="465">
        <f>AO4+0.01</f>
        <v>6.0899999999999981</v>
      </c>
      <c r="AY4" s="465">
        <f>AT4+0.01</f>
        <v>6.0999999999999979</v>
      </c>
      <c r="BD4" s="465">
        <f>AY4+0.01</f>
        <v>6.1099999999999977</v>
      </c>
      <c r="BH4" s="465">
        <f>BD4+0.01</f>
        <v>6.1199999999999974</v>
      </c>
      <c r="BL4" s="465">
        <f>BH4+0.01</f>
        <v>6.1299999999999972</v>
      </c>
      <c r="BQ4" s="465">
        <f>BL4+0.01</f>
        <v>6.139999999999997</v>
      </c>
      <c r="BV4" s="465">
        <f>BQ4+0.01</f>
        <v>6.1499999999999968</v>
      </c>
      <c r="CC4" s="465">
        <f>BV4+0.01</f>
        <v>6.1599999999999966</v>
      </c>
      <c r="CH4" s="465">
        <f>CC4+0.01</f>
        <v>6.1699999999999964</v>
      </c>
      <c r="CL4" s="465">
        <f>CH4+0.01</f>
        <v>6.1799999999999962</v>
      </c>
      <c r="CP4" s="465">
        <f>CL4+0.01</f>
        <v>6.1899999999999959</v>
      </c>
      <c r="CU4" s="465">
        <f>CP4+0.01</f>
        <v>6.1999999999999957</v>
      </c>
      <c r="CZ4" s="465">
        <f>CU4+0.01</f>
        <v>6.2099999999999955</v>
      </c>
      <c r="DE4" s="465">
        <f>CZ4+0.01</f>
        <v>6.2199999999999953</v>
      </c>
      <c r="DF4" s="300"/>
      <c r="DG4" s="300"/>
      <c r="DH4" s="300"/>
      <c r="DI4" s="519"/>
      <c r="DJ4" s="465" t="s">
        <v>428</v>
      </c>
      <c r="DK4" s="300"/>
      <c r="DL4" s="300"/>
      <c r="DM4" s="300"/>
      <c r="DN4" s="519"/>
      <c r="DO4" s="465" t="s">
        <v>433</v>
      </c>
      <c r="DP4" s="300"/>
      <c r="DQ4" s="300"/>
      <c r="DR4" s="300"/>
      <c r="DS4" s="519"/>
      <c r="DT4" s="465" t="s">
        <v>433</v>
      </c>
    </row>
    <row r="5" spans="1:145" s="33" customFormat="1" ht="14.45" customHeight="1" thickTop="1">
      <c r="B5" s="317"/>
      <c r="C5" s="317"/>
      <c r="D5" s="3"/>
      <c r="G5" s="3"/>
      <c r="H5" s="3"/>
      <c r="I5" s="3"/>
      <c r="J5" s="3"/>
      <c r="L5" s="230"/>
      <c r="M5" s="230"/>
      <c r="N5" s="230"/>
      <c r="P5" s="3"/>
      <c r="Q5" s="3"/>
      <c r="R5" s="3"/>
      <c r="S5" s="3"/>
      <c r="U5" s="3"/>
      <c r="V5" s="318" t="s">
        <v>18</v>
      </c>
      <c r="W5" s="3"/>
      <c r="Y5" s="53"/>
      <c r="Z5" s="319"/>
      <c r="AA5" s="53"/>
      <c r="AB5" s="53"/>
      <c r="AD5" s="3"/>
      <c r="AE5" s="3"/>
      <c r="AF5" s="3"/>
      <c r="AG5" s="3"/>
      <c r="AI5" s="3"/>
      <c r="AJ5" s="75"/>
      <c r="AK5" s="75"/>
      <c r="AL5" s="75"/>
      <c r="AM5" s="75"/>
      <c r="AN5" s="75"/>
      <c r="AP5" s="53"/>
      <c r="AQ5" s="319"/>
      <c r="AR5" s="53"/>
      <c r="AS5" s="53"/>
      <c r="AU5" s="164"/>
      <c r="AV5" s="158"/>
      <c r="AW5" s="158"/>
      <c r="AX5" s="158"/>
      <c r="AZ5" s="3"/>
      <c r="BA5" s="138"/>
      <c r="BB5" s="138"/>
      <c r="BC5" s="138"/>
      <c r="BE5" s="48"/>
      <c r="BF5" s="214"/>
      <c r="BG5" s="48"/>
      <c r="BI5" s="1"/>
      <c r="BJ5" s="1"/>
      <c r="BK5" s="1"/>
      <c r="BM5" s="3"/>
      <c r="BN5" s="3"/>
      <c r="BO5" s="3"/>
      <c r="BP5" s="3"/>
      <c r="BR5" s="3"/>
      <c r="BS5" s="3"/>
      <c r="BT5" s="3"/>
      <c r="BU5" s="3"/>
      <c r="BW5" s="3"/>
      <c r="BY5" s="3"/>
      <c r="BZ5" s="3"/>
      <c r="CA5" s="3"/>
      <c r="CB5" s="3"/>
      <c r="CD5" s="3"/>
      <c r="CF5" s="3"/>
      <c r="CG5" s="3"/>
      <c r="CI5" s="3"/>
      <c r="CJ5" s="3"/>
      <c r="CK5" s="3"/>
      <c r="CM5" s="300"/>
      <c r="CN5" s="300"/>
      <c r="CO5" s="300"/>
      <c r="CQ5" s="256"/>
      <c r="CR5" s="158"/>
      <c r="CS5" s="158"/>
      <c r="CT5" s="158"/>
      <c r="CV5" s="256"/>
      <c r="CW5" s="158"/>
      <c r="CX5" s="158"/>
      <c r="CY5" s="158"/>
      <c r="DA5" s="3"/>
      <c r="DB5" s="3"/>
      <c r="DC5" s="3"/>
      <c r="DD5" s="3"/>
      <c r="DF5" s="32"/>
      <c r="DG5" s="113"/>
      <c r="DH5" s="113"/>
      <c r="DI5" s="113"/>
      <c r="DJ5" s="121"/>
      <c r="DK5" s="32"/>
      <c r="DL5" s="113"/>
      <c r="DM5" s="113"/>
      <c r="DN5" s="113"/>
      <c r="DO5" s="121"/>
      <c r="DP5" s="32"/>
      <c r="DQ5" s="113"/>
      <c r="DR5" s="113"/>
      <c r="DS5" s="113"/>
      <c r="DT5" s="121"/>
      <c r="DU5" s="3"/>
      <c r="DV5" s="3"/>
    </row>
    <row r="6" spans="1:145" s="33" customFormat="1" ht="14.25" customHeight="1">
      <c r="A6" s="32" t="s">
        <v>20</v>
      </c>
      <c r="B6" s="113"/>
      <c r="C6" s="113"/>
      <c r="D6" s="113"/>
      <c r="E6" s="87"/>
      <c r="F6" s="86"/>
      <c r="G6" s="551" t="str">
        <f>keep_PSE</f>
        <v xml:space="preserve">PUGET SOUND ENERGY-GAS </v>
      </c>
      <c r="H6" s="551"/>
      <c r="I6" s="551"/>
      <c r="J6" s="551"/>
      <c r="K6" s="551"/>
      <c r="L6" s="167" t="s">
        <v>20</v>
      </c>
      <c r="M6" s="167"/>
      <c r="N6" s="167"/>
      <c r="O6" s="167"/>
      <c r="P6" s="32" t="str">
        <f>keep_PSE</f>
        <v xml:space="preserve">PUGET SOUND ENERGY-GAS </v>
      </c>
      <c r="Q6" s="6"/>
      <c r="R6" s="6"/>
      <c r="S6" s="6"/>
      <c r="T6" s="87"/>
      <c r="U6" s="32" t="str">
        <f>keep_PSE</f>
        <v xml:space="preserve">PUGET SOUND ENERGY-GAS </v>
      </c>
      <c r="V6" s="6"/>
      <c r="W6" s="6"/>
      <c r="X6" s="6"/>
      <c r="Y6" s="32" t="str">
        <f>keep_PSE</f>
        <v xml:space="preserve">PUGET SOUND ENERGY-GAS </v>
      </c>
      <c r="Z6" s="136"/>
      <c r="AA6" s="136"/>
      <c r="AB6" s="136"/>
      <c r="AC6" s="136"/>
      <c r="AD6" s="32" t="str">
        <f>keep_PSE</f>
        <v xml:space="preserve">PUGET SOUND ENERGY-GAS </v>
      </c>
      <c r="AE6" s="6"/>
      <c r="AF6" s="6"/>
      <c r="AG6" s="6"/>
      <c r="AH6" s="6"/>
      <c r="AI6" s="32" t="str">
        <f>keep_PSE</f>
        <v xml:space="preserve">PUGET SOUND ENERGY-GAS </v>
      </c>
      <c r="AJ6" s="6"/>
      <c r="AK6" s="6"/>
      <c r="AL6" s="6"/>
      <c r="AM6" s="6"/>
      <c r="AN6" s="6"/>
      <c r="AO6" s="6"/>
      <c r="AP6" s="32" t="str">
        <f>keep_PSE</f>
        <v xml:space="preserve">PUGET SOUND ENERGY-GAS </v>
      </c>
      <c r="AQ6" s="136"/>
      <c r="AR6" s="136"/>
      <c r="AS6" s="136"/>
      <c r="AT6" s="136"/>
      <c r="AU6" s="32" t="str">
        <f>keep_PSE</f>
        <v xml:space="preserve">PUGET SOUND ENERGY-GAS </v>
      </c>
      <c r="AV6" s="168"/>
      <c r="AW6" s="168"/>
      <c r="AX6" s="168"/>
      <c r="AY6" s="169"/>
      <c r="AZ6" s="32" t="str">
        <f>keep_PSE</f>
        <v xml:space="preserve">PUGET SOUND ENERGY-GAS </v>
      </c>
      <c r="BA6" s="136"/>
      <c r="BB6" s="136"/>
      <c r="BC6" s="136"/>
      <c r="BD6" s="136"/>
      <c r="BE6" s="32" t="str">
        <f>keep_PSE</f>
        <v xml:space="preserve">PUGET SOUND ENERGY-GAS </v>
      </c>
      <c r="BF6" s="6"/>
      <c r="BG6" s="6"/>
      <c r="BH6" s="6"/>
      <c r="BI6" s="32" t="str">
        <f>keep_PSE</f>
        <v xml:space="preserve">PUGET SOUND ENERGY-GAS </v>
      </c>
      <c r="BJ6" s="136"/>
      <c r="BK6" s="136"/>
      <c r="BL6" s="136"/>
      <c r="BM6" s="32" t="str">
        <f>keep_PSE</f>
        <v xml:space="preserve">PUGET SOUND ENERGY-GAS </v>
      </c>
      <c r="BN6" s="6"/>
      <c r="BO6" s="6"/>
      <c r="BP6" s="6"/>
      <c r="BQ6" s="6"/>
      <c r="BR6" s="32" t="str">
        <f>keep_PSE</f>
        <v xml:space="preserve">PUGET SOUND ENERGY-GAS </v>
      </c>
      <c r="BS6" s="6"/>
      <c r="BT6" s="6"/>
      <c r="BU6" s="6"/>
      <c r="BV6" s="6"/>
      <c r="BW6" s="32" t="str">
        <f>keep_PSE</f>
        <v xml:space="preserve">PUGET SOUND ENERGY-GAS </v>
      </c>
      <c r="BX6" s="6"/>
      <c r="BY6" s="6"/>
      <c r="BZ6" s="6"/>
      <c r="CA6" s="6"/>
      <c r="CB6" s="6"/>
      <c r="CC6" s="6"/>
      <c r="CD6" s="32" t="str">
        <f>keep_PSE</f>
        <v xml:space="preserve">PUGET SOUND ENERGY-GAS </v>
      </c>
      <c r="CE6" s="32"/>
      <c r="CF6" s="32"/>
      <c r="CG6" s="32"/>
      <c r="CH6" s="6"/>
      <c r="CI6" s="32" t="str">
        <f>keep_PSE</f>
        <v xml:space="preserve">PUGET SOUND ENERGY-GAS </v>
      </c>
      <c r="CJ6" s="32"/>
      <c r="CK6" s="32"/>
      <c r="CL6" s="32"/>
      <c r="CM6" s="32" t="str">
        <f>keep_PSE</f>
        <v xml:space="preserve">PUGET SOUND ENERGY-GAS </v>
      </c>
      <c r="CN6" s="32"/>
      <c r="CO6" s="32"/>
      <c r="CP6" s="32"/>
      <c r="CQ6" s="32" t="str">
        <f>keep_PSE</f>
        <v xml:space="preserve">PUGET SOUND ENERGY-GAS </v>
      </c>
      <c r="CR6" s="168"/>
      <c r="CS6" s="168"/>
      <c r="CT6" s="168"/>
      <c r="CU6" s="169"/>
      <c r="CV6" s="32" t="str">
        <f>keep_PSE</f>
        <v xml:space="preserve">PUGET SOUND ENERGY-GAS </v>
      </c>
      <c r="CW6" s="168"/>
      <c r="CX6" s="168"/>
      <c r="CY6" s="168"/>
      <c r="CZ6" s="169"/>
      <c r="DA6" s="32" t="str">
        <f>keep_PSE</f>
        <v xml:space="preserve">PUGET SOUND ENERGY-GAS </v>
      </c>
      <c r="DB6" s="113"/>
      <c r="DC6" s="113"/>
      <c r="DD6" s="113"/>
      <c r="DE6" s="113"/>
      <c r="DF6" s="439" t="str">
        <f>+DA6</f>
        <v xml:space="preserve">PUGET SOUND ENERGY-GAS </v>
      </c>
      <c r="DG6" s="113"/>
      <c r="DH6" s="113"/>
      <c r="DI6" s="113"/>
      <c r="DJ6" s="113"/>
      <c r="DK6" s="439" t="str">
        <f>+DF6</f>
        <v xml:space="preserve">PUGET SOUND ENERGY-GAS </v>
      </c>
      <c r="DL6" s="113"/>
      <c r="DM6" s="113"/>
      <c r="DN6" s="113"/>
      <c r="DO6" s="113"/>
      <c r="DP6" s="439" t="str">
        <f>+DK6</f>
        <v xml:space="preserve">PUGET SOUND ENERGY-GAS </v>
      </c>
      <c r="DQ6" s="113"/>
      <c r="DR6" s="113"/>
      <c r="DS6" s="113"/>
      <c r="DT6" s="113"/>
    </row>
    <row r="7" spans="1:145" s="547" customFormat="1" ht="14.25" customHeight="1">
      <c r="A7" s="538" t="s">
        <v>189</v>
      </c>
      <c r="B7" s="538"/>
      <c r="C7" s="538"/>
      <c r="D7" s="538"/>
      <c r="E7" s="539"/>
      <c r="F7" s="540"/>
      <c r="G7" s="552" t="s">
        <v>166</v>
      </c>
      <c r="H7" s="552"/>
      <c r="I7" s="552"/>
      <c r="J7" s="552"/>
      <c r="K7" s="552"/>
      <c r="L7" s="541" t="s">
        <v>181</v>
      </c>
      <c r="M7" s="541"/>
      <c r="N7" s="541"/>
      <c r="O7" s="541"/>
      <c r="P7" s="538" t="s">
        <v>70</v>
      </c>
      <c r="Q7" s="538"/>
      <c r="R7" s="538"/>
      <c r="S7" s="538"/>
      <c r="T7" s="539"/>
      <c r="U7" s="538" t="s">
        <v>110</v>
      </c>
      <c r="V7" s="538"/>
      <c r="W7" s="538"/>
      <c r="X7" s="538"/>
      <c r="Y7" s="542" t="s">
        <v>269</v>
      </c>
      <c r="Z7" s="543"/>
      <c r="AA7" s="543"/>
      <c r="AB7" s="543"/>
      <c r="AC7" s="543"/>
      <c r="AD7" s="544" t="s">
        <v>209</v>
      </c>
      <c r="AE7" s="538"/>
      <c r="AF7" s="544"/>
      <c r="AG7" s="544"/>
      <c r="AH7" s="538"/>
      <c r="AI7" s="544" t="s">
        <v>111</v>
      </c>
      <c r="AJ7" s="538"/>
      <c r="AK7" s="538"/>
      <c r="AL7" s="538"/>
      <c r="AM7" s="538"/>
      <c r="AN7" s="538"/>
      <c r="AO7" s="538"/>
      <c r="AP7" s="538" t="s">
        <v>132</v>
      </c>
      <c r="AQ7" s="543"/>
      <c r="AR7" s="543"/>
      <c r="AS7" s="543"/>
      <c r="AT7" s="543"/>
      <c r="AU7" s="541" t="s">
        <v>388</v>
      </c>
      <c r="AV7" s="545"/>
      <c r="AW7" s="545"/>
      <c r="AX7" s="545"/>
      <c r="AY7" s="546"/>
      <c r="AZ7" s="538" t="s">
        <v>150</v>
      </c>
      <c r="BA7" s="543"/>
      <c r="BB7" s="543"/>
      <c r="BC7" s="543"/>
      <c r="BD7" s="543"/>
      <c r="BE7" s="538" t="s">
        <v>114</v>
      </c>
      <c r="BF7" s="538"/>
      <c r="BG7" s="538"/>
      <c r="BH7" s="546"/>
      <c r="BI7" s="541" t="s">
        <v>151</v>
      </c>
      <c r="BJ7" s="543"/>
      <c r="BK7" s="543"/>
      <c r="BL7" s="543"/>
      <c r="BM7" s="544" t="s">
        <v>115</v>
      </c>
      <c r="BN7" s="546"/>
      <c r="BO7" s="546"/>
      <c r="BP7" s="546"/>
      <c r="BQ7" s="546"/>
      <c r="BR7" s="544" t="s">
        <v>118</v>
      </c>
      <c r="BS7" s="546"/>
      <c r="BT7" s="546"/>
      <c r="BU7" s="546"/>
      <c r="BV7" s="546"/>
      <c r="BW7" s="538" t="s">
        <v>112</v>
      </c>
      <c r="BX7" s="538"/>
      <c r="BY7" s="538"/>
      <c r="BZ7" s="538"/>
      <c r="CA7" s="538"/>
      <c r="CB7" s="538"/>
      <c r="CC7" s="546"/>
      <c r="CD7" s="538" t="s">
        <v>83</v>
      </c>
      <c r="CE7" s="538"/>
      <c r="CF7" s="538"/>
      <c r="CG7" s="538"/>
      <c r="CH7" s="538"/>
      <c r="CI7" s="538" t="s">
        <v>113</v>
      </c>
      <c r="CJ7" s="538"/>
      <c r="CK7" s="538"/>
      <c r="CL7" s="538"/>
      <c r="CM7" s="538" t="s">
        <v>251</v>
      </c>
      <c r="CN7" s="538"/>
      <c r="CO7" s="538"/>
      <c r="CP7" s="538"/>
      <c r="CQ7" s="541" t="s">
        <v>383</v>
      </c>
      <c r="CR7" s="545"/>
      <c r="CS7" s="545"/>
      <c r="CT7" s="545"/>
      <c r="CU7" s="546"/>
      <c r="CV7" s="541" t="s">
        <v>300</v>
      </c>
      <c r="CW7" s="545"/>
      <c r="CX7" s="545"/>
      <c r="CY7" s="545"/>
      <c r="CZ7" s="546"/>
      <c r="DA7" s="538" t="s">
        <v>365</v>
      </c>
      <c r="DB7" s="538"/>
      <c r="DC7" s="538"/>
      <c r="DD7" s="538"/>
      <c r="DE7" s="538"/>
      <c r="DF7" s="548" t="s">
        <v>429</v>
      </c>
      <c r="DG7" s="548"/>
      <c r="DH7" s="548"/>
      <c r="DI7" s="548"/>
      <c r="DJ7" s="548"/>
      <c r="DK7" s="548" t="s">
        <v>432</v>
      </c>
      <c r="DL7" s="548"/>
      <c r="DM7" s="548"/>
      <c r="DN7" s="548"/>
      <c r="DO7" s="548"/>
      <c r="DP7" s="548" t="s">
        <v>441</v>
      </c>
      <c r="DQ7" s="548"/>
      <c r="DR7" s="548"/>
      <c r="DS7" s="548"/>
      <c r="DT7" s="548"/>
    </row>
    <row r="8" spans="1:145" s="33" customFormat="1" ht="14.25" customHeight="1">
      <c r="A8" s="113" t="s">
        <v>299</v>
      </c>
      <c r="B8" s="113"/>
      <c r="C8" s="113"/>
      <c r="D8" s="113"/>
      <c r="E8" s="87"/>
      <c r="F8" s="86"/>
      <c r="G8" s="553" t="str">
        <f>keep_TESTYEAR</f>
        <v>FOR THE TWELVE MONTHS ENDED SEPTEMBER 30, 2016</v>
      </c>
      <c r="H8" s="553"/>
      <c r="I8" s="553"/>
      <c r="J8" s="553"/>
      <c r="K8" s="553"/>
      <c r="L8" s="6" t="str">
        <f>keep_TESTYEAR</f>
        <v>FOR THE TWELVE MONTHS ENDED SEPTEMBER 30, 2016</v>
      </c>
      <c r="M8" s="6"/>
      <c r="N8" s="6"/>
      <c r="O8" s="6"/>
      <c r="P8" s="6" t="str">
        <f>keep_TESTYEAR</f>
        <v>FOR THE TWELVE MONTHS ENDED SEPTEMBER 30, 2016</v>
      </c>
      <c r="Q8" s="6"/>
      <c r="R8" s="6"/>
      <c r="S8" s="6"/>
      <c r="T8" s="87"/>
      <c r="U8" s="6" t="str">
        <f>keep_TESTYEAR</f>
        <v>FOR THE TWELVE MONTHS ENDED SEPTEMBER 30, 2016</v>
      </c>
      <c r="V8" s="6"/>
      <c r="W8" s="6"/>
      <c r="X8" s="35"/>
      <c r="Y8" s="6" t="str">
        <f>keep_TESTYEAR</f>
        <v>FOR THE TWELVE MONTHS ENDED SEPTEMBER 30, 2016</v>
      </c>
      <c r="Z8" s="136"/>
      <c r="AA8" s="136"/>
      <c r="AB8" s="136"/>
      <c r="AC8" s="136"/>
      <c r="AD8" s="6" t="str">
        <f>keep_TESTYEAR</f>
        <v>FOR THE TWELVE MONTHS ENDED SEPTEMBER 30, 2016</v>
      </c>
      <c r="AE8" s="6"/>
      <c r="AF8" s="32"/>
      <c r="AG8" s="32"/>
      <c r="AH8" s="6"/>
      <c r="AI8" s="32" t="str">
        <f>keep_TESTYEAR</f>
        <v>FOR THE TWELVE MONTHS ENDED SEPTEMBER 30, 2016</v>
      </c>
      <c r="AJ8" s="6"/>
      <c r="AK8" s="6"/>
      <c r="AL8" s="6"/>
      <c r="AM8" s="6"/>
      <c r="AN8" s="6"/>
      <c r="AO8" s="6"/>
      <c r="AP8" s="6" t="str">
        <f>keep_TESTYEAR</f>
        <v>FOR THE TWELVE MONTHS ENDED SEPTEMBER 30, 2016</v>
      </c>
      <c r="AQ8" s="136"/>
      <c r="AR8" s="136"/>
      <c r="AS8" s="136"/>
      <c r="AT8" s="136"/>
      <c r="AU8" s="6" t="str">
        <f>keep_TESTYEAR</f>
        <v>FOR THE TWELVE MONTHS ENDED SEPTEMBER 30, 2016</v>
      </c>
      <c r="AV8" s="168"/>
      <c r="AW8" s="168"/>
      <c r="AX8" s="168"/>
      <c r="AY8" s="35"/>
      <c r="AZ8" s="6" t="str">
        <f>keep_TESTYEAR</f>
        <v>FOR THE TWELVE MONTHS ENDED SEPTEMBER 30, 2016</v>
      </c>
      <c r="BA8" s="136"/>
      <c r="BB8" s="136"/>
      <c r="BC8" s="136"/>
      <c r="BD8" s="136"/>
      <c r="BE8" s="6" t="str">
        <f>keep_TESTYEAR</f>
        <v>FOR THE TWELVE MONTHS ENDED SEPTEMBER 30, 2016</v>
      </c>
      <c r="BF8" s="32"/>
      <c r="BG8" s="6"/>
      <c r="BH8" s="35"/>
      <c r="BI8" s="6" t="str">
        <f>keep_TESTYEAR</f>
        <v>FOR THE TWELVE MONTHS ENDED SEPTEMBER 30, 2016</v>
      </c>
      <c r="BJ8" s="136"/>
      <c r="BK8" s="136"/>
      <c r="BL8" s="136"/>
      <c r="BM8" s="6" t="str">
        <f>keep_TESTYEAR</f>
        <v>FOR THE TWELVE MONTHS ENDED SEPTEMBER 30, 2016</v>
      </c>
      <c r="BN8" s="35"/>
      <c r="BO8" s="35"/>
      <c r="BP8" s="35"/>
      <c r="BQ8" s="35"/>
      <c r="BR8" s="6" t="str">
        <f>keep_TESTYEAR</f>
        <v>FOR THE TWELVE MONTHS ENDED SEPTEMBER 30, 2016</v>
      </c>
      <c r="BS8" s="35"/>
      <c r="BT8" s="35"/>
      <c r="BU8" s="35"/>
      <c r="BV8" s="35"/>
      <c r="BW8" s="6" t="str">
        <f>keep_TESTYEAR</f>
        <v>FOR THE TWELVE MONTHS ENDED SEPTEMBER 30, 2016</v>
      </c>
      <c r="BX8" s="6"/>
      <c r="BY8" s="6"/>
      <c r="BZ8" s="6"/>
      <c r="CA8" s="6"/>
      <c r="CB8" s="6"/>
      <c r="CC8" s="35"/>
      <c r="CD8" s="6" t="str">
        <f>keep_TESTYEAR</f>
        <v>FOR THE TWELVE MONTHS ENDED SEPTEMBER 30, 2016</v>
      </c>
      <c r="CE8" s="6"/>
      <c r="CF8" s="6"/>
      <c r="CG8" s="6"/>
      <c r="CH8" s="6"/>
      <c r="CI8" s="6" t="str">
        <f>keep_TESTYEAR</f>
        <v>FOR THE TWELVE MONTHS ENDED SEPTEMBER 30, 2016</v>
      </c>
      <c r="CJ8" s="6"/>
      <c r="CK8" s="6"/>
      <c r="CL8" s="6"/>
      <c r="CM8" s="113" t="str">
        <f>keep_TESTYEAR</f>
        <v>FOR THE TWELVE MONTHS ENDED SEPTEMBER 30, 2016</v>
      </c>
      <c r="CN8" s="113"/>
      <c r="CO8" s="113"/>
      <c r="CP8" s="113"/>
      <c r="CQ8" s="113" t="str">
        <f>keep_TESTYEAR</f>
        <v>FOR THE TWELVE MONTHS ENDED SEPTEMBER 30, 2016</v>
      </c>
      <c r="CR8" s="168"/>
      <c r="CS8" s="168"/>
      <c r="CT8" s="168"/>
      <c r="CU8" s="35"/>
      <c r="CV8" s="113" t="str">
        <f>keep_TESTYEAR</f>
        <v>FOR THE TWELVE MONTHS ENDED SEPTEMBER 30, 2016</v>
      </c>
      <c r="CW8" s="168"/>
      <c r="CX8" s="168"/>
      <c r="CY8" s="168"/>
      <c r="CZ8" s="35"/>
      <c r="DA8" s="32" t="str">
        <f>keep_TESTYEAR</f>
        <v>FOR THE TWELVE MONTHS ENDED SEPTEMBER 30, 2016</v>
      </c>
      <c r="DB8" s="113"/>
      <c r="DC8" s="113"/>
      <c r="DD8" s="113"/>
      <c r="DE8" s="113"/>
      <c r="DF8" s="549" t="str">
        <f>+DA8</f>
        <v>FOR THE TWELVE MONTHS ENDED SEPTEMBER 30, 2016</v>
      </c>
      <c r="DG8" s="549"/>
      <c r="DH8" s="549"/>
      <c r="DI8" s="549"/>
      <c r="DJ8" s="549"/>
      <c r="DK8" s="549" t="str">
        <f>+DF8</f>
        <v>FOR THE TWELVE MONTHS ENDED SEPTEMBER 30, 2016</v>
      </c>
      <c r="DL8" s="549"/>
      <c r="DM8" s="549"/>
      <c r="DN8" s="549"/>
      <c r="DO8" s="549"/>
      <c r="DP8" s="549" t="str">
        <f>+DK8</f>
        <v>FOR THE TWELVE MONTHS ENDED SEPTEMBER 30, 2016</v>
      </c>
      <c r="DQ8" s="549"/>
      <c r="DR8" s="549"/>
      <c r="DS8" s="549"/>
      <c r="DT8" s="549"/>
    </row>
    <row r="9" spans="1:145" s="33" customFormat="1" ht="14.25" customHeight="1">
      <c r="A9" s="32" t="s">
        <v>249</v>
      </c>
      <c r="B9" s="32"/>
      <c r="C9" s="113"/>
      <c r="D9" s="32"/>
      <c r="E9" s="87"/>
      <c r="F9" s="86"/>
      <c r="G9" s="553" t="str">
        <f>kp_DOCKET</f>
        <v>GENERAL RATE CASE</v>
      </c>
      <c r="H9" s="553"/>
      <c r="I9" s="553"/>
      <c r="J9" s="553"/>
      <c r="K9" s="553"/>
      <c r="L9" s="32" t="str">
        <f>kp_DOCKET</f>
        <v>GENERAL RATE CASE</v>
      </c>
      <c r="M9" s="32"/>
      <c r="N9" s="32"/>
      <c r="O9" s="32"/>
      <c r="P9" s="6" t="str">
        <f>kp_DOCKET</f>
        <v>GENERAL RATE CASE</v>
      </c>
      <c r="Q9" s="32"/>
      <c r="R9" s="6"/>
      <c r="S9" s="32"/>
      <c r="T9" s="87"/>
      <c r="U9" s="32" t="str">
        <f>kp_DOCKET</f>
        <v>GENERAL RATE CASE</v>
      </c>
      <c r="V9" s="32"/>
      <c r="W9" s="32"/>
      <c r="X9" s="32"/>
      <c r="Y9" s="32" t="str">
        <f>kp_DOCKET</f>
        <v>GENERAL RATE CASE</v>
      </c>
      <c r="Z9" s="136"/>
      <c r="AA9" s="136"/>
      <c r="AB9" s="136"/>
      <c r="AC9" s="136"/>
      <c r="AD9" s="32" t="str">
        <f>kp_DOCKET</f>
        <v>GENERAL RATE CASE</v>
      </c>
      <c r="AE9" s="6"/>
      <c r="AF9" s="32"/>
      <c r="AG9" s="32"/>
      <c r="AH9" s="32"/>
      <c r="AI9" s="32" t="str">
        <f>kp_DOCKET</f>
        <v>GENERAL RATE CASE</v>
      </c>
      <c r="AJ9" s="6"/>
      <c r="AK9" s="6"/>
      <c r="AL9" s="6"/>
      <c r="AM9" s="6"/>
      <c r="AN9" s="6"/>
      <c r="AO9" s="6"/>
      <c r="AP9" s="32" t="str">
        <f>kp_DOCKET</f>
        <v>GENERAL RATE CASE</v>
      </c>
      <c r="AQ9" s="136"/>
      <c r="AR9" s="136"/>
      <c r="AS9" s="136"/>
      <c r="AT9" s="136"/>
      <c r="AU9" s="32" t="str">
        <f>kp_DOCKET</f>
        <v>GENERAL RATE CASE</v>
      </c>
      <c r="AV9" s="168"/>
      <c r="AW9" s="168"/>
      <c r="AX9" s="167"/>
      <c r="AY9" s="35"/>
      <c r="AZ9" s="32" t="str">
        <f>kp_DOCKET</f>
        <v>GENERAL RATE CASE</v>
      </c>
      <c r="BA9" s="136"/>
      <c r="BB9" s="136"/>
      <c r="BC9" s="136"/>
      <c r="BD9" s="136"/>
      <c r="BE9" s="32" t="str">
        <f>kp_DOCKET</f>
        <v>GENERAL RATE CASE</v>
      </c>
      <c r="BF9" s="32"/>
      <c r="BG9" s="6"/>
      <c r="BH9" s="6"/>
      <c r="BI9" s="32" t="str">
        <f>kp_DOCKET</f>
        <v>GENERAL RATE CASE</v>
      </c>
      <c r="BJ9" s="136"/>
      <c r="BK9" s="136"/>
      <c r="BL9" s="136"/>
      <c r="BM9" s="32" t="str">
        <f>kp_DOCKET</f>
        <v>GENERAL RATE CASE</v>
      </c>
      <c r="BN9" s="6"/>
      <c r="BO9" s="6"/>
      <c r="BP9" s="6"/>
      <c r="BQ9" s="6"/>
      <c r="BR9" s="32" t="str">
        <f>kp_DOCKET</f>
        <v>GENERAL RATE CASE</v>
      </c>
      <c r="BS9" s="6"/>
      <c r="BT9" s="6"/>
      <c r="BU9" s="6"/>
      <c r="BV9" s="6"/>
      <c r="BW9" s="32" t="str">
        <f>kp_DOCKET</f>
        <v>GENERAL RATE CASE</v>
      </c>
      <c r="BX9" s="6"/>
      <c r="BY9" s="6"/>
      <c r="BZ9" s="6"/>
      <c r="CA9" s="6"/>
      <c r="CB9" s="6"/>
      <c r="CC9" s="35"/>
      <c r="CD9" s="6" t="str">
        <f>kp_DOCKET</f>
        <v>GENERAL RATE CASE</v>
      </c>
      <c r="CE9" s="6"/>
      <c r="CF9" s="6"/>
      <c r="CG9" s="6"/>
      <c r="CH9" s="6"/>
      <c r="CI9" s="32" t="str">
        <f>kp_DOCKET</f>
        <v>GENERAL RATE CASE</v>
      </c>
      <c r="CJ9" s="32"/>
      <c r="CK9" s="32"/>
      <c r="CL9" s="32"/>
      <c r="CM9" s="32" t="str">
        <f>kp_DOCKET</f>
        <v>GENERAL RATE CASE</v>
      </c>
      <c r="CN9" s="32"/>
      <c r="CO9" s="32"/>
      <c r="CP9" s="32"/>
      <c r="CQ9" s="32" t="str">
        <f>kp_DOCKET</f>
        <v>GENERAL RATE CASE</v>
      </c>
      <c r="CR9" s="168"/>
      <c r="CS9" s="168"/>
      <c r="CT9" s="167"/>
      <c r="CU9" s="35"/>
      <c r="CV9" s="32" t="str">
        <f>kp_DOCKET</f>
        <v>GENERAL RATE CASE</v>
      </c>
      <c r="CW9" s="168"/>
      <c r="CX9" s="168"/>
      <c r="CY9" s="167"/>
      <c r="CZ9" s="35"/>
      <c r="DA9" s="32" t="str">
        <f>kp_DOCKET</f>
        <v>GENERAL RATE CASE</v>
      </c>
      <c r="DB9" s="113"/>
      <c r="DC9" s="113"/>
      <c r="DD9" s="113"/>
      <c r="DE9" s="11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  <c r="DQ9" s="423"/>
      <c r="DR9" s="423"/>
      <c r="DS9" s="423"/>
      <c r="DT9" s="423"/>
    </row>
    <row r="10" spans="1:145" s="33" customFormat="1" ht="12" customHeight="1">
      <c r="A10" s="113"/>
      <c r="B10" s="168"/>
      <c r="C10" s="168"/>
      <c r="D10" s="168"/>
      <c r="E10" s="168"/>
      <c r="L10" s="231"/>
      <c r="M10" s="232"/>
      <c r="N10" s="232"/>
      <c r="O10" s="214"/>
      <c r="Q10" s="36"/>
      <c r="R10" s="36"/>
      <c r="S10" s="36"/>
      <c r="T10" s="88"/>
      <c r="V10" s="36"/>
      <c r="W10" s="31"/>
      <c r="X10" s="31"/>
      <c r="AL10" s="284"/>
      <c r="AM10" s="284" t="s">
        <v>207</v>
      </c>
      <c r="AN10" s="284"/>
      <c r="AU10" s="163"/>
      <c r="AV10" s="170"/>
      <c r="AW10" s="170"/>
      <c r="AX10" s="166"/>
      <c r="AY10" s="166"/>
      <c r="BX10" s="36"/>
      <c r="BY10" s="36"/>
      <c r="BZ10" s="36"/>
      <c r="CA10" s="36"/>
      <c r="CI10" s="82"/>
      <c r="CJ10" s="36"/>
      <c r="CM10" s="82"/>
      <c r="CN10" s="36"/>
      <c r="CQ10" s="163"/>
      <c r="CR10" s="170"/>
      <c r="CS10" s="170"/>
      <c r="CT10" s="166"/>
      <c r="CU10" s="166"/>
      <c r="CV10" s="163"/>
      <c r="CW10" s="170"/>
      <c r="CX10" s="170"/>
      <c r="CY10" s="166"/>
      <c r="CZ10" s="166"/>
      <c r="DA10" s="163"/>
    </row>
    <row r="11" spans="1:145" s="33" customFormat="1" ht="14.25" customHeight="1">
      <c r="A11" s="45" t="s">
        <v>23</v>
      </c>
      <c r="B11" s="171"/>
      <c r="C11" s="171"/>
      <c r="D11" s="171"/>
      <c r="E11" s="171"/>
      <c r="F11" s="45" t="s">
        <v>23</v>
      </c>
      <c r="G11" s="36"/>
      <c r="J11" s="45"/>
      <c r="K11" s="45"/>
      <c r="L11" s="171" t="s">
        <v>23</v>
      </c>
      <c r="M11" s="214"/>
      <c r="N11" s="230"/>
      <c r="O11" s="230"/>
      <c r="P11" s="45" t="s">
        <v>23</v>
      </c>
      <c r="T11" s="88"/>
      <c r="U11" s="45" t="s">
        <v>23</v>
      </c>
      <c r="W11" s="267"/>
      <c r="X11" s="11" t="s">
        <v>18</v>
      </c>
      <c r="Y11" s="45" t="s">
        <v>23</v>
      </c>
      <c r="AA11" s="156"/>
      <c r="AB11" s="45" t="s">
        <v>31</v>
      </c>
      <c r="AC11" s="45"/>
      <c r="AD11" s="230" t="s">
        <v>23</v>
      </c>
      <c r="AE11" s="163"/>
      <c r="AF11" s="163"/>
      <c r="AG11" s="171"/>
      <c r="AH11" s="163"/>
      <c r="AI11" s="45" t="s">
        <v>23</v>
      </c>
      <c r="AJ11" s="36"/>
      <c r="AK11" s="45" t="s">
        <v>136</v>
      </c>
      <c r="AL11" s="284" t="s">
        <v>137</v>
      </c>
      <c r="AM11" s="284" t="s">
        <v>208</v>
      </c>
      <c r="AN11" s="284" t="s">
        <v>136</v>
      </c>
      <c r="AP11" s="45" t="s">
        <v>23</v>
      </c>
      <c r="AR11" s="156"/>
      <c r="AS11" s="45" t="s">
        <v>31</v>
      </c>
      <c r="AT11" s="45"/>
      <c r="AU11" s="171" t="s">
        <v>23</v>
      </c>
      <c r="AV11" s="166"/>
      <c r="AW11" s="171"/>
      <c r="AX11" s="166"/>
      <c r="AY11" s="166"/>
      <c r="AZ11" s="11" t="s">
        <v>23</v>
      </c>
      <c r="BA11" s="11"/>
      <c r="BB11" s="11"/>
      <c r="BC11" s="11"/>
      <c r="BD11" s="11"/>
      <c r="BE11" s="11" t="s">
        <v>23</v>
      </c>
      <c r="BI11" s="11"/>
      <c r="BJ11" s="11"/>
      <c r="BK11" s="11"/>
      <c r="BL11" s="11"/>
      <c r="BM11" s="45" t="s">
        <v>23</v>
      </c>
      <c r="BR11" s="45" t="s">
        <v>23</v>
      </c>
      <c r="BW11" s="11" t="s">
        <v>23</v>
      </c>
      <c r="CA11" s="550"/>
      <c r="CB11" s="550"/>
      <c r="CC11" s="550"/>
      <c r="CD11" s="11" t="s">
        <v>23</v>
      </c>
      <c r="CH11" s="11"/>
      <c r="CI11" s="11" t="s">
        <v>23</v>
      </c>
      <c r="CM11" s="284" t="s">
        <v>23</v>
      </c>
      <c r="CQ11" s="171" t="s">
        <v>23</v>
      </c>
      <c r="CR11" s="166"/>
      <c r="CS11" s="171"/>
      <c r="CT11" s="166"/>
      <c r="CU11" s="166"/>
      <c r="CV11" s="171" t="s">
        <v>23</v>
      </c>
      <c r="CW11" s="166"/>
      <c r="CX11" s="171"/>
      <c r="CY11" s="166"/>
      <c r="CZ11" s="166"/>
      <c r="DA11" s="171" t="s">
        <v>23</v>
      </c>
      <c r="DB11" s="163"/>
      <c r="DC11" s="163"/>
      <c r="DD11" s="430"/>
      <c r="DE11" s="431"/>
      <c r="DF11" s="171" t="s">
        <v>23</v>
      </c>
      <c r="DG11" s="163"/>
      <c r="DH11" s="163"/>
      <c r="DI11" s="430"/>
      <c r="DJ11" s="431"/>
      <c r="DK11" s="171" t="s">
        <v>23</v>
      </c>
      <c r="DL11" s="163"/>
      <c r="DM11" s="163"/>
      <c r="DN11" s="430"/>
      <c r="DO11" s="431"/>
      <c r="DP11" s="171" t="s">
        <v>23</v>
      </c>
      <c r="DQ11" s="163"/>
      <c r="DR11" s="163"/>
      <c r="DS11" s="430"/>
      <c r="DT11" s="431"/>
    </row>
    <row r="12" spans="1:145" s="33" customFormat="1" ht="14.25" customHeight="1">
      <c r="A12" s="63" t="s">
        <v>35</v>
      </c>
      <c r="B12" s="178" t="s">
        <v>36</v>
      </c>
      <c r="C12" s="178"/>
      <c r="D12" s="441" t="s">
        <v>39</v>
      </c>
      <c r="E12" s="239"/>
      <c r="F12" s="63" t="s">
        <v>35</v>
      </c>
      <c r="G12" s="37" t="s">
        <v>36</v>
      </c>
      <c r="H12" s="63" t="s">
        <v>33</v>
      </c>
      <c r="I12" s="63" t="s">
        <v>37</v>
      </c>
      <c r="J12" s="63" t="s">
        <v>39</v>
      </c>
      <c r="K12" s="389"/>
      <c r="L12" s="172" t="s">
        <v>35</v>
      </c>
      <c r="M12" s="173" t="s">
        <v>36</v>
      </c>
      <c r="N12" s="233"/>
      <c r="O12" s="178" t="s">
        <v>39</v>
      </c>
      <c r="P12" s="63" t="s">
        <v>35</v>
      </c>
      <c r="Q12" s="40" t="s">
        <v>36</v>
      </c>
      <c r="R12" s="37"/>
      <c r="S12" s="37"/>
      <c r="T12" s="90" t="s">
        <v>38</v>
      </c>
      <c r="U12" s="63" t="s">
        <v>35</v>
      </c>
      <c r="V12" s="40" t="s">
        <v>36</v>
      </c>
      <c r="W12" s="21"/>
      <c r="X12" s="21" t="s">
        <v>38</v>
      </c>
      <c r="Y12" s="21" t="s">
        <v>35</v>
      </c>
      <c r="Z12" s="37" t="s">
        <v>36</v>
      </c>
      <c r="AA12" s="149" t="s">
        <v>33</v>
      </c>
      <c r="AB12" s="157" t="s">
        <v>37</v>
      </c>
      <c r="AC12" s="63" t="s">
        <v>39</v>
      </c>
      <c r="AD12" s="172" t="s">
        <v>35</v>
      </c>
      <c r="AE12" s="173" t="s">
        <v>36</v>
      </c>
      <c r="AF12" s="233" t="s">
        <v>33</v>
      </c>
      <c r="AG12" s="233" t="s">
        <v>37</v>
      </c>
      <c r="AH12" s="233" t="s">
        <v>39</v>
      </c>
      <c r="AI12" s="63" t="s">
        <v>35</v>
      </c>
      <c r="AJ12" s="39" t="s">
        <v>36</v>
      </c>
      <c r="AK12" s="21" t="s">
        <v>138</v>
      </c>
      <c r="AL12" s="285" t="s">
        <v>139</v>
      </c>
      <c r="AM12" s="285" t="s">
        <v>101</v>
      </c>
      <c r="AN12" s="285" t="s">
        <v>139</v>
      </c>
      <c r="AO12" s="38" t="s">
        <v>38</v>
      </c>
      <c r="AP12" s="21" t="s">
        <v>35</v>
      </c>
      <c r="AQ12" s="37" t="s">
        <v>36</v>
      </c>
      <c r="AR12" s="149" t="s">
        <v>33</v>
      </c>
      <c r="AS12" s="157" t="s">
        <v>37</v>
      </c>
      <c r="AT12" s="63" t="s">
        <v>39</v>
      </c>
      <c r="AU12" s="172" t="s">
        <v>35</v>
      </c>
      <c r="AV12" s="173" t="s">
        <v>36</v>
      </c>
      <c r="AW12" s="172" t="s">
        <v>40</v>
      </c>
      <c r="AX12" s="172" t="s">
        <v>37</v>
      </c>
      <c r="AY12" s="172" t="s">
        <v>39</v>
      </c>
      <c r="AZ12" s="21" t="s">
        <v>35</v>
      </c>
      <c r="BA12" s="37" t="s">
        <v>36</v>
      </c>
      <c r="BB12" s="21"/>
      <c r="BC12" s="21"/>
      <c r="BD12" s="21" t="s">
        <v>39</v>
      </c>
      <c r="BE12" s="21" t="s">
        <v>35</v>
      </c>
      <c r="BF12" s="39" t="s">
        <v>36</v>
      </c>
      <c r="BG12" s="40"/>
      <c r="BH12" s="21" t="s">
        <v>38</v>
      </c>
      <c r="BI12" s="21"/>
      <c r="BJ12" s="21"/>
      <c r="BK12" s="21"/>
      <c r="BL12" s="21" t="s">
        <v>38</v>
      </c>
      <c r="BM12" s="21" t="s">
        <v>35</v>
      </c>
      <c r="BN12" s="39" t="s">
        <v>36</v>
      </c>
      <c r="BO12" s="63" t="s">
        <v>33</v>
      </c>
      <c r="BP12" s="63" t="s">
        <v>37</v>
      </c>
      <c r="BQ12" s="73" t="s">
        <v>39</v>
      </c>
      <c r="BR12" s="21" t="s">
        <v>35</v>
      </c>
      <c r="BS12" s="39" t="s">
        <v>36</v>
      </c>
      <c r="BT12" s="63" t="s">
        <v>33</v>
      </c>
      <c r="BU12" s="63" t="s">
        <v>37</v>
      </c>
      <c r="BV12" s="63" t="s">
        <v>39</v>
      </c>
      <c r="BW12" s="63" t="s">
        <v>35</v>
      </c>
      <c r="BX12" s="37" t="s">
        <v>36</v>
      </c>
      <c r="BY12" s="37"/>
      <c r="BZ12" s="37"/>
      <c r="CA12" s="21" t="s">
        <v>40</v>
      </c>
      <c r="CB12" s="21" t="s">
        <v>41</v>
      </c>
      <c r="CC12" s="21" t="s">
        <v>39</v>
      </c>
      <c r="CD12" s="21" t="s">
        <v>35</v>
      </c>
      <c r="CE12" s="37" t="s">
        <v>36</v>
      </c>
      <c r="CF12" s="21"/>
      <c r="CG12" s="21"/>
      <c r="CH12" s="63" t="s">
        <v>38</v>
      </c>
      <c r="CI12" s="21" t="s">
        <v>35</v>
      </c>
      <c r="CJ12" s="37" t="s">
        <v>36</v>
      </c>
      <c r="CK12" s="21"/>
      <c r="CL12" s="63" t="s">
        <v>38</v>
      </c>
      <c r="CM12" s="285" t="s">
        <v>35</v>
      </c>
      <c r="CN12" s="37" t="s">
        <v>36</v>
      </c>
      <c r="CO12" s="285"/>
      <c r="CP12" s="63" t="s">
        <v>38</v>
      </c>
      <c r="CQ12" s="172" t="s">
        <v>35</v>
      </c>
      <c r="CR12" s="173" t="s">
        <v>36</v>
      </c>
      <c r="CS12" s="172" t="s">
        <v>40</v>
      </c>
      <c r="CT12" s="172" t="s">
        <v>37</v>
      </c>
      <c r="CU12" s="172" t="s">
        <v>39</v>
      </c>
      <c r="CV12" s="172" t="s">
        <v>35</v>
      </c>
      <c r="CW12" s="173" t="s">
        <v>36</v>
      </c>
      <c r="CX12" s="172" t="s">
        <v>40</v>
      </c>
      <c r="CY12" s="172" t="s">
        <v>37</v>
      </c>
      <c r="CZ12" s="172" t="s">
        <v>39</v>
      </c>
      <c r="DA12" s="172" t="s">
        <v>35</v>
      </c>
      <c r="DB12" s="233" t="s">
        <v>36</v>
      </c>
      <c r="DC12" s="432" t="s">
        <v>40</v>
      </c>
      <c r="DD12" s="433" t="s">
        <v>37</v>
      </c>
      <c r="DE12" s="433" t="s">
        <v>39</v>
      </c>
      <c r="DF12" s="172" t="s">
        <v>35</v>
      </c>
      <c r="DG12" s="520" t="s">
        <v>36</v>
      </c>
      <c r="DH12" s="432" t="s">
        <v>430</v>
      </c>
      <c r="DI12" s="433" t="s">
        <v>37</v>
      </c>
      <c r="DJ12" s="433" t="s">
        <v>39</v>
      </c>
      <c r="DK12" s="172" t="s">
        <v>35</v>
      </c>
      <c r="DL12" s="520" t="s">
        <v>36</v>
      </c>
      <c r="DM12" s="432" t="s">
        <v>430</v>
      </c>
      <c r="DN12" s="433" t="s">
        <v>37</v>
      </c>
      <c r="DO12" s="433" t="s">
        <v>39</v>
      </c>
      <c r="DP12" s="172" t="s">
        <v>35</v>
      </c>
      <c r="DQ12" s="520" t="s">
        <v>36</v>
      </c>
      <c r="DR12" s="432" t="s">
        <v>430</v>
      </c>
      <c r="DS12" s="433" t="s">
        <v>37</v>
      </c>
      <c r="DT12" s="433" t="s">
        <v>39</v>
      </c>
      <c r="EO12" s="3"/>
    </row>
    <row r="13" spans="1:145" s="300" customFormat="1" ht="14.25" customHeight="1">
      <c r="A13" s="114"/>
      <c r="B13" s="395"/>
      <c r="C13" s="395"/>
      <c r="D13" s="396"/>
      <c r="E13" s="396"/>
      <c r="G13" s="67"/>
      <c r="H13" s="67"/>
      <c r="I13" s="123"/>
      <c r="L13" s="203"/>
      <c r="M13" s="131"/>
      <c r="N13" s="131"/>
      <c r="O13" s="184"/>
      <c r="T13" s="158"/>
      <c r="U13" s="114"/>
      <c r="V13" s="150"/>
      <c r="W13" s="158"/>
      <c r="X13" s="68"/>
      <c r="AD13" s="256"/>
      <c r="AE13" s="256"/>
      <c r="AF13" s="256"/>
      <c r="AG13" s="256"/>
      <c r="AH13" s="256"/>
      <c r="AU13" s="174"/>
      <c r="AV13" s="314"/>
      <c r="AW13" s="314"/>
      <c r="AX13" s="314"/>
      <c r="AY13" s="314"/>
      <c r="BD13" s="114"/>
      <c r="BW13" s="114"/>
      <c r="BX13" s="13"/>
      <c r="BY13" s="13"/>
      <c r="BZ13" s="13"/>
      <c r="CD13" s="5"/>
      <c r="CE13" s="5"/>
      <c r="CF13" s="5"/>
      <c r="CG13" s="5"/>
      <c r="CH13" s="5"/>
      <c r="CQ13" s="5"/>
      <c r="CS13" s="314"/>
      <c r="CT13" s="314"/>
      <c r="CU13" s="314"/>
      <c r="CV13" s="174"/>
      <c r="CW13" s="314"/>
      <c r="CX13" s="314"/>
      <c r="CY13" s="314"/>
      <c r="CZ13" s="314"/>
      <c r="DA13" s="256"/>
      <c r="DB13" s="256"/>
      <c r="DC13" s="354"/>
      <c r="DD13" s="431"/>
      <c r="DE13" s="434"/>
      <c r="DF13" s="256"/>
      <c r="DG13" s="256"/>
      <c r="DH13" s="354"/>
      <c r="DI13" s="431"/>
      <c r="DJ13" s="434"/>
      <c r="DK13" s="256"/>
      <c r="DL13" s="256"/>
      <c r="DM13" s="354"/>
      <c r="DN13" s="431"/>
      <c r="DO13" s="434"/>
      <c r="DP13" s="256"/>
      <c r="DQ13" s="256"/>
      <c r="DR13" s="354"/>
      <c r="DS13" s="431"/>
      <c r="DT13" s="434"/>
    </row>
    <row r="14" spans="1:145" s="300" customFormat="1" ht="14.25" customHeight="1">
      <c r="A14" s="114">
        <v>1</v>
      </c>
      <c r="B14" s="398" t="s">
        <v>184</v>
      </c>
      <c r="C14" s="256"/>
      <c r="D14" s="256"/>
      <c r="E14" s="256"/>
      <c r="F14" s="114">
        <v>1</v>
      </c>
      <c r="G14" s="228" t="s">
        <v>169</v>
      </c>
      <c r="H14" s="314"/>
      <c r="I14" s="314"/>
      <c r="J14" s="256"/>
      <c r="L14" s="64">
        <v>1</v>
      </c>
      <c r="M14" s="242" t="s">
        <v>192</v>
      </c>
      <c r="N14" s="332"/>
      <c r="O14" s="332"/>
      <c r="P14" s="114">
        <v>1</v>
      </c>
      <c r="Q14" s="92" t="s">
        <v>250</v>
      </c>
      <c r="R14" s="92"/>
      <c r="S14" s="251"/>
      <c r="T14" s="254">
        <f>'[18]Lead G'!$E$13</f>
        <v>75965214.891221926</v>
      </c>
      <c r="U14" s="114">
        <v>1</v>
      </c>
      <c r="V14" s="150" t="s">
        <v>80</v>
      </c>
      <c r="W14" s="254">
        <f>+'Exh. BGM-4 (2) Adj. Detail'!AL60</f>
        <v>1744479361.4543562</v>
      </c>
      <c r="X14" s="68"/>
      <c r="Y14" s="114">
        <v>1</v>
      </c>
      <c r="Z14" s="237" t="s">
        <v>262</v>
      </c>
      <c r="AA14" s="330">
        <f>'[19]Lead G'!C12</f>
        <v>113989496.07000001</v>
      </c>
      <c r="AB14" s="330">
        <f>'[19]Lead G'!D12</f>
        <v>95003918.585595176</v>
      </c>
      <c r="AC14" s="332">
        <f>AB14-AA14</f>
        <v>-18985577.484404832</v>
      </c>
      <c r="AD14" s="114">
        <v>1</v>
      </c>
      <c r="AE14" s="332" t="s">
        <v>228</v>
      </c>
      <c r="AF14" s="283">
        <f>'[20]Lead G'!C13</f>
        <v>190500</v>
      </c>
      <c r="AG14" s="283">
        <f>'[20]Lead G'!D13</f>
        <v>188000</v>
      </c>
      <c r="AH14" s="283">
        <f>AG14-AF14</f>
        <v>-2500</v>
      </c>
      <c r="AI14" s="41" t="s">
        <v>54</v>
      </c>
      <c r="AJ14" s="300" t="s">
        <v>199</v>
      </c>
      <c r="AK14" s="344" t="s">
        <v>312</v>
      </c>
      <c r="AL14" s="344" t="s">
        <v>313</v>
      </c>
      <c r="AM14" s="344" t="s">
        <v>313</v>
      </c>
      <c r="AN14" s="344" t="s">
        <v>313</v>
      </c>
      <c r="AP14" s="114">
        <v>1</v>
      </c>
      <c r="AQ14" s="314" t="s">
        <v>260</v>
      </c>
      <c r="AU14" s="114">
        <v>1</v>
      </c>
      <c r="AV14" s="314" t="s">
        <v>231</v>
      </c>
      <c r="AW14" s="296">
        <f>'[21]Lead G'!$C$12</f>
        <v>84381.550163340158</v>
      </c>
      <c r="AX14" s="296">
        <f>'[21]Lead G'!$D$12</f>
        <v>66480.443858612198</v>
      </c>
      <c r="AY14" s="175">
        <f>+AX14-AW14</f>
        <v>-17901.10630472796</v>
      </c>
      <c r="AZ14" s="114">
        <v>1</v>
      </c>
      <c r="BA14" s="123" t="s">
        <v>227</v>
      </c>
      <c r="BB14" s="137"/>
      <c r="BD14" s="137">
        <f>'[22]Lead G'!$D$13</f>
        <v>30708.659753503118</v>
      </c>
      <c r="BE14" s="41">
        <v>1</v>
      </c>
      <c r="BF14" s="13" t="s">
        <v>146</v>
      </c>
      <c r="BG14" s="180"/>
      <c r="BH14" s="225"/>
      <c r="BI14" s="161">
        <v>1</v>
      </c>
      <c r="BJ14" s="256" t="s">
        <v>389</v>
      </c>
      <c r="BK14" s="256"/>
      <c r="BL14" s="332">
        <f>+'[23]Lead G'!D14</f>
        <v>169979.93999999983</v>
      </c>
      <c r="BM14" s="114">
        <v>1</v>
      </c>
      <c r="BN14" s="300" t="s">
        <v>105</v>
      </c>
      <c r="BO14" s="254">
        <f>'[24]Lead G'!C11</f>
        <v>243605.91699100003</v>
      </c>
      <c r="BP14" s="254">
        <f>'[24]Lead G'!D11</f>
        <v>218735.64461899991</v>
      </c>
      <c r="BQ14" s="254">
        <f>+BP14-BO14</f>
        <v>-24870.272372000123</v>
      </c>
      <c r="BR14" s="114">
        <v>1</v>
      </c>
      <c r="BS14" s="30" t="s">
        <v>81</v>
      </c>
      <c r="BT14" s="334">
        <f>'[11]Lead G'!C14</f>
        <v>2950666.1786130364</v>
      </c>
      <c r="BU14" s="334">
        <f>'[11]Lead G'!D14</f>
        <v>2260220.2274749996</v>
      </c>
      <c r="BV14" s="334">
        <f>+BU14-BT14</f>
        <v>-690445.95113803679</v>
      </c>
      <c r="BW14" s="114">
        <v>1</v>
      </c>
      <c r="BX14" s="300" t="s">
        <v>85</v>
      </c>
      <c r="CA14" s="68"/>
      <c r="CB14" s="69"/>
      <c r="CC14" s="68"/>
      <c r="CD14" s="114">
        <v>1</v>
      </c>
      <c r="CE14" s="279" t="s">
        <v>279</v>
      </c>
      <c r="CF14" s="204"/>
      <c r="CG14" s="204"/>
      <c r="CH14" s="205"/>
      <c r="CI14" s="114">
        <v>1</v>
      </c>
      <c r="CJ14" s="66" t="s">
        <v>84</v>
      </c>
      <c r="CK14" s="122"/>
      <c r="CL14" s="122"/>
      <c r="CM14" s="114">
        <v>1</v>
      </c>
      <c r="CN14" s="470" t="s">
        <v>256</v>
      </c>
      <c r="CO14" s="122"/>
      <c r="CP14" s="122"/>
      <c r="CQ14" s="114">
        <v>1</v>
      </c>
      <c r="CR14" s="418" t="s">
        <v>348</v>
      </c>
      <c r="CS14" s="417"/>
      <c r="CT14" s="417"/>
      <c r="CU14" s="292"/>
      <c r="CV14" s="114">
        <v>1</v>
      </c>
      <c r="CW14" s="418" t="s">
        <v>303</v>
      </c>
      <c r="CX14" s="417"/>
      <c r="CY14" s="417"/>
      <c r="CZ14" s="292"/>
      <c r="DA14" s="423">
        <v>1</v>
      </c>
      <c r="DB14" s="435" t="s">
        <v>362</v>
      </c>
      <c r="DC14" s="459">
        <f>+'[25]Lead G'!C12</f>
        <v>33506393.815802004</v>
      </c>
      <c r="DD14" s="459">
        <f>+'[25]Lead G'!D12</f>
        <v>33499604.097540006</v>
      </c>
      <c r="DE14" s="457">
        <f>DD14-DC14</f>
        <v>-6789.7182619981468</v>
      </c>
      <c r="DF14" s="423">
        <v>1</v>
      </c>
      <c r="DG14" s="435" t="s">
        <v>95</v>
      </c>
      <c r="DH14" s="397"/>
      <c r="DI14" s="397"/>
      <c r="DJ14" s="397"/>
      <c r="DK14" s="423">
        <v>1</v>
      </c>
      <c r="DL14" s="435" t="s">
        <v>95</v>
      </c>
      <c r="DM14" s="397"/>
      <c r="DN14" s="397"/>
      <c r="DO14" s="397"/>
      <c r="DP14" s="423">
        <v>1</v>
      </c>
      <c r="DQ14" s="435" t="s">
        <v>478</v>
      </c>
      <c r="DR14" s="397"/>
      <c r="DS14" s="397"/>
      <c r="DT14" s="397"/>
    </row>
    <row r="15" spans="1:145" s="300" customFormat="1">
      <c r="A15" s="114">
        <f>+A14+1</f>
        <v>2</v>
      </c>
      <c r="B15" s="268" t="s">
        <v>283</v>
      </c>
      <c r="C15" s="199"/>
      <c r="D15" s="137">
        <f>'[26]Lead G'!$D$14</f>
        <v>1918596.4897268589</v>
      </c>
      <c r="E15" s="256"/>
      <c r="F15" s="114">
        <f t="shared" ref="F15:F58" si="0">F14+1</f>
        <v>2</v>
      </c>
      <c r="G15" s="256"/>
      <c r="H15" s="218" t="s">
        <v>33</v>
      </c>
      <c r="I15" s="219" t="s">
        <v>170</v>
      </c>
      <c r="J15" s="220" t="s">
        <v>179</v>
      </c>
      <c r="L15" s="241">
        <f>L14+1</f>
        <v>2</v>
      </c>
      <c r="M15" s="314" t="s">
        <v>237</v>
      </c>
      <c r="N15" s="17"/>
      <c r="O15" s="330">
        <f>'[27]Lead G'!$E$10</f>
        <v>5670995.2945745047</v>
      </c>
      <c r="P15" s="114">
        <f>P14+1</f>
        <v>2</v>
      </c>
      <c r="Q15" s="13"/>
      <c r="R15" s="13"/>
      <c r="S15" s="13"/>
      <c r="T15" s="259"/>
      <c r="U15" s="114">
        <f>+U14+1</f>
        <v>2</v>
      </c>
      <c r="V15" s="150" t="s">
        <v>18</v>
      </c>
      <c r="W15" s="399" t="s">
        <v>18</v>
      </c>
      <c r="X15" s="68"/>
      <c r="Y15" s="114">
        <f>Y14+1</f>
        <v>2</v>
      </c>
      <c r="Z15" s="237" t="s">
        <v>263</v>
      </c>
      <c r="AA15" s="258">
        <f>'[19]Lead G'!C13</f>
        <v>7429557.1601760006</v>
      </c>
      <c r="AB15" s="258">
        <f>'[19]Lead G'!D13</f>
        <v>6464523.281920488</v>
      </c>
      <c r="AC15" s="258">
        <f>AB15-AA15</f>
        <v>-965033.87825551257</v>
      </c>
      <c r="AD15" s="114">
        <f t="shared" ref="AD15:AD21" si="1">AD14+1</f>
        <v>2</v>
      </c>
      <c r="AE15" s="332" t="s">
        <v>229</v>
      </c>
      <c r="AF15" s="290">
        <f>'[20]Lead G'!C14</f>
        <v>97271.77609699998</v>
      </c>
      <c r="AG15" s="290">
        <f>'[20]Lead G'!D14</f>
        <v>188598.40143433338</v>
      </c>
      <c r="AH15" s="290">
        <f>AG15-AF15</f>
        <v>91326.625337333404</v>
      </c>
      <c r="AI15" s="41">
        <f t="shared" ref="AI15:AI19" si="2">1+AI14</f>
        <v>2</v>
      </c>
      <c r="AJ15" s="262" t="str">
        <f>'[28]Lead G'!B14</f>
        <v>12 ME 9/30/2013 AND 5/31/2013</v>
      </c>
      <c r="AK15" s="330">
        <f>'[28]Lead G'!C14</f>
        <v>4809211.959999999</v>
      </c>
      <c r="AL15" s="330">
        <f>'[28]Lead G'!D14</f>
        <v>1027088768.78</v>
      </c>
      <c r="AM15" s="330">
        <f>'[28]Lead G'!E14</f>
        <v>13300355.07</v>
      </c>
      <c r="AN15" s="143">
        <f>AL15-AM15</f>
        <v>1013788413.7099999</v>
      </c>
      <c r="AO15" s="266">
        <f>ROUND(AK15/AN15,6)</f>
        <v>4.744E-3</v>
      </c>
      <c r="AP15" s="114">
        <f t="shared" ref="AP15:AP30" si="3">AP14+1</f>
        <v>2</v>
      </c>
      <c r="AQ15" s="355" t="s">
        <v>87</v>
      </c>
      <c r="AR15" s="330">
        <f>+'[29]Lead G'!C13</f>
        <v>7065.992857014975</v>
      </c>
      <c r="AS15" s="330">
        <f>+'[29]Lead G'!D13</f>
        <v>6478.4818291354122</v>
      </c>
      <c r="AT15" s="357">
        <f>AS15-AR15</f>
        <v>-587.51102787956279</v>
      </c>
      <c r="AU15" s="114">
        <f t="shared" ref="AU15:AU21" si="4">AU14+1</f>
        <v>2</v>
      </c>
      <c r="AV15" s="314"/>
      <c r="AW15" s="176"/>
      <c r="AX15" s="176"/>
      <c r="AY15" s="176"/>
      <c r="AZ15" s="114">
        <f>AZ14+1</f>
        <v>2</v>
      </c>
      <c r="BA15" s="123"/>
      <c r="BB15" s="258"/>
      <c r="BD15" s="159"/>
      <c r="BE15" s="41">
        <f t="shared" ref="BE15:BE27" si="5">+BE14+1</f>
        <v>2</v>
      </c>
      <c r="BF15" s="13"/>
      <c r="BG15" s="180"/>
      <c r="BH15" s="225"/>
      <c r="BI15" s="161">
        <f>BI14+1</f>
        <v>2</v>
      </c>
      <c r="BJ15" s="256" t="s">
        <v>390</v>
      </c>
      <c r="BK15" s="256"/>
      <c r="BL15" s="85">
        <f>+'[23]Lead G'!D15</f>
        <v>-45289.169999999991</v>
      </c>
      <c r="BM15" s="114">
        <f t="shared" ref="BM15:BM19" si="6">BM14+1</f>
        <v>2</v>
      </c>
      <c r="BN15" s="300" t="s">
        <v>106</v>
      </c>
      <c r="BO15" s="96">
        <f>'[24]Lead G'!C12</f>
        <v>1270902.5643805922</v>
      </c>
      <c r="BP15" s="96">
        <f>'[24]Lead G'!D12</f>
        <v>1226273.9901362888</v>
      </c>
      <c r="BQ15" s="85">
        <f>+BP15-BO15</f>
        <v>-44628.574244303396</v>
      </c>
      <c r="BR15" s="114">
        <f>BR14+1</f>
        <v>2</v>
      </c>
      <c r="BS15" s="13" t="s">
        <v>57</v>
      </c>
      <c r="BT15" s="329">
        <f>SUM(BT14:BT14)</f>
        <v>2950666.1786130364</v>
      </c>
      <c r="BU15" s="329">
        <f>SUM(BU14:BU14)</f>
        <v>2260220.2274749996</v>
      </c>
      <c r="BV15" s="329">
        <f>SUM(BV14:BV14)</f>
        <v>-690445.95113803679</v>
      </c>
      <c r="BW15" s="114">
        <f t="shared" ref="BW15:BW24" si="7">BW14+1</f>
        <v>2</v>
      </c>
      <c r="BX15" s="355" t="s">
        <v>87</v>
      </c>
      <c r="BY15" s="13"/>
      <c r="BZ15" s="13"/>
      <c r="CA15" s="283">
        <f>'[30]Lead G'!E14</f>
        <v>98066.872882425538</v>
      </c>
      <c r="CB15" s="283">
        <f>'[30]Lead G'!F14</f>
        <v>101219.16120665375</v>
      </c>
      <c r="CC15" s="254">
        <f>CB15-CA15</f>
        <v>3152.2883242282114</v>
      </c>
      <c r="CD15" s="114">
        <f t="shared" ref="CD15:CD35" si="8">CD14+1</f>
        <v>2</v>
      </c>
      <c r="CE15" s="314" t="s">
        <v>90</v>
      </c>
      <c r="CF15" s="203"/>
      <c r="CG15" s="316">
        <f>'[31]Lead G'!$D$14</f>
        <v>3612889.2418080005</v>
      </c>
      <c r="CI15" s="114">
        <f>CI14+1</f>
        <v>2</v>
      </c>
      <c r="CJ15" s="300" t="s">
        <v>358</v>
      </c>
      <c r="CK15" s="122"/>
      <c r="CL15" s="332">
        <f>'[32]Lead G'!$D$14</f>
        <v>7372991.6214820798</v>
      </c>
      <c r="CM15" s="114">
        <f>CM14+1</f>
        <v>2</v>
      </c>
      <c r="CN15" s="348"/>
      <c r="CO15" s="122"/>
      <c r="CP15" s="311"/>
      <c r="CQ15" s="114">
        <v>2</v>
      </c>
      <c r="CR15" s="314" t="s">
        <v>349</v>
      </c>
      <c r="CS15" s="424">
        <f>'[33]Lead G'!$C$12</f>
        <v>755448.80925399996</v>
      </c>
      <c r="CT15" s="424">
        <f>'[33]Lead G'!$D$12</f>
        <v>602573.07018549996</v>
      </c>
      <c r="CU15" s="424">
        <f>CT15-CS15</f>
        <v>-152875.7390685</v>
      </c>
      <c r="CV15" s="114">
        <f t="shared" ref="CV15:CV34" si="9">CV14+1</f>
        <v>2</v>
      </c>
      <c r="CW15" s="242" t="s">
        <v>304</v>
      </c>
      <c r="CX15" s="416"/>
      <c r="CY15" s="416"/>
      <c r="CZ15" s="416"/>
      <c r="DA15" s="423">
        <v>2</v>
      </c>
      <c r="DB15" s="56" t="s">
        <v>360</v>
      </c>
      <c r="DC15" s="85">
        <f>+'[25]Lead G'!C13</f>
        <v>1759698.35</v>
      </c>
      <c r="DD15" s="85">
        <f>+'[25]Lead G'!D13</f>
        <v>1714934.9122000001</v>
      </c>
      <c r="DE15" s="436">
        <f>DD15-DC15</f>
        <v>-44763.437799999956</v>
      </c>
      <c r="DF15" s="423">
        <v>2</v>
      </c>
      <c r="DG15" s="522" t="s">
        <v>431</v>
      </c>
      <c r="DH15" s="521">
        <f>+[34]BS!$Q$34</f>
        <v>3591494.7587500005</v>
      </c>
      <c r="DI15" s="521">
        <v>0</v>
      </c>
      <c r="DJ15" s="417">
        <f>-DH15+DI15</f>
        <v>-3591494.7587500005</v>
      </c>
      <c r="DK15" s="423">
        <v>2</v>
      </c>
      <c r="DL15" s="236" t="s">
        <v>434</v>
      </c>
      <c r="DM15" s="521">
        <f>+[34]GRB!$D$26</f>
        <v>12622777.056091331</v>
      </c>
      <c r="DN15" s="521">
        <v>0</v>
      </c>
      <c r="DO15" s="417">
        <f>-DM15+DN15</f>
        <v>-12622777.056091331</v>
      </c>
      <c r="DP15" s="423">
        <v>2</v>
      </c>
      <c r="DQ15" s="236" t="s">
        <v>477</v>
      </c>
      <c r="DR15" s="521">
        <f>13203+353145</f>
        <v>366348</v>
      </c>
      <c r="DS15" s="521">
        <v>0</v>
      </c>
      <c r="DT15" s="417">
        <f>-DR15+DS15</f>
        <v>-366348</v>
      </c>
    </row>
    <row r="16" spans="1:145" s="300" customFormat="1" ht="13.5" thickBot="1">
      <c r="A16" s="114">
        <f t="shared" ref="A16:A50" si="10">+A15+1</f>
        <v>3</v>
      </c>
      <c r="B16" s="268" t="s">
        <v>284</v>
      </c>
      <c r="C16" s="199"/>
      <c r="D16" s="258">
        <f>'[26]Lead G'!$D$15</f>
        <v>-32898997.31453428</v>
      </c>
      <c r="E16" s="256"/>
      <c r="F16" s="114">
        <f t="shared" si="0"/>
        <v>3</v>
      </c>
      <c r="G16" s="256"/>
      <c r="H16" s="227" t="s">
        <v>179</v>
      </c>
      <c r="I16" s="221" t="s">
        <v>179</v>
      </c>
      <c r="J16" s="222" t="s">
        <v>171</v>
      </c>
      <c r="L16" s="241">
        <f t="shared" ref="L16:L45" si="11">L15+1</f>
        <v>3</v>
      </c>
      <c r="M16" s="314" t="s">
        <v>238</v>
      </c>
      <c r="N16" s="17"/>
      <c r="O16" s="257">
        <f>'[27]Lead G'!$E$11</f>
        <v>12315699.729075179</v>
      </c>
      <c r="P16" s="114">
        <f t="shared" ref="P16:P21" si="12">P15+1</f>
        <v>3</v>
      </c>
      <c r="Q16" s="400" t="s">
        <v>235</v>
      </c>
      <c r="R16" s="15"/>
      <c r="S16" s="15"/>
      <c r="T16" s="328"/>
      <c r="U16" s="114">
        <f t="shared" ref="U16:U24" si="13">+U15+1</f>
        <v>3</v>
      </c>
      <c r="V16" s="300" t="s">
        <v>161</v>
      </c>
      <c r="W16" s="332">
        <f>SUM(W14:W15)</f>
        <v>1744479361.4543562</v>
      </c>
      <c r="X16" s="68"/>
      <c r="Y16" s="114">
        <f>Y15+1</f>
        <v>3</v>
      </c>
      <c r="Z16" s="237" t="s">
        <v>264</v>
      </c>
      <c r="AA16" s="258">
        <f>'[19]Lead G'!C14</f>
        <v>27368.129303999998</v>
      </c>
      <c r="AB16" s="258">
        <f>'[19]Lead G'!D14</f>
        <v>27368.129303999998</v>
      </c>
      <c r="AC16" s="258">
        <f>AB16-AA16</f>
        <v>0</v>
      </c>
      <c r="AD16" s="114">
        <f t="shared" si="1"/>
        <v>3</v>
      </c>
      <c r="AE16" s="332" t="s">
        <v>214</v>
      </c>
      <c r="AF16" s="283">
        <f>SUM(AF14:AF15)</f>
        <v>287771.77609699999</v>
      </c>
      <c r="AG16" s="283">
        <f>SUM(AG14:AG15)</f>
        <v>376598.40143433341</v>
      </c>
      <c r="AH16" s="283">
        <f>SUM(AH14:AH15)</f>
        <v>88826.625337333404</v>
      </c>
      <c r="AI16" s="41">
        <f t="shared" si="2"/>
        <v>3</v>
      </c>
      <c r="AJ16" s="262" t="str">
        <f>'[28]Lead G'!B15</f>
        <v>12 ME 9/30/2015 AND 5/31/2015</v>
      </c>
      <c r="AK16" s="257">
        <f>'[28]Lead G'!C15</f>
        <v>4346972.87</v>
      </c>
      <c r="AL16" s="257">
        <f>'[28]Lead G'!D15</f>
        <v>979494165.91999996</v>
      </c>
      <c r="AM16" s="257">
        <f>'[28]Lead G'!E15</f>
        <v>69423909.329999998</v>
      </c>
      <c r="AN16" s="80">
        <f>AL16-AM16</f>
        <v>910070256.58999991</v>
      </c>
      <c r="AO16" s="266">
        <f>ROUND(AK16/AN16,6)</f>
        <v>4.777E-3</v>
      </c>
      <c r="AP16" s="114">
        <f t="shared" si="3"/>
        <v>3</v>
      </c>
      <c r="AQ16" s="355" t="s">
        <v>88</v>
      </c>
      <c r="AR16" s="257">
        <f>+'[29]Lead G'!C14</f>
        <v>22938.564570724386</v>
      </c>
      <c r="AS16" s="257">
        <f>+'[29]Lead G'!D14</f>
        <v>21028.943034088737</v>
      </c>
      <c r="AT16" s="356">
        <f t="shared" ref="AT16:AT23" si="14">AS16-AR16</f>
        <v>-1909.6215366356482</v>
      </c>
      <c r="AU16" s="114">
        <f t="shared" si="4"/>
        <v>3</v>
      </c>
      <c r="AV16" s="314" t="s">
        <v>142</v>
      </c>
      <c r="AW16" s="217"/>
      <c r="AX16" s="217"/>
      <c r="AY16" s="292">
        <f>SUM(AY14:AY15)</f>
        <v>-17901.10630472796</v>
      </c>
      <c r="AZ16" s="114">
        <f>+AZ15+1</f>
        <v>3</v>
      </c>
      <c r="BA16" s="123" t="s">
        <v>63</v>
      </c>
      <c r="BB16" s="123"/>
      <c r="BD16" s="322">
        <f>-BD14</f>
        <v>-30708.659753503118</v>
      </c>
      <c r="BE16" s="41">
        <f t="shared" si="5"/>
        <v>3</v>
      </c>
      <c r="BF16" s="13" t="s">
        <v>384</v>
      </c>
      <c r="BG16" s="179">
        <f>'[35]Lead G'!$D$15</f>
        <v>1040000</v>
      </c>
      <c r="BH16" s="24"/>
      <c r="BI16" s="161">
        <f t="shared" ref="BI16:BI29" si="15">BI15+1</f>
        <v>3</v>
      </c>
      <c r="BJ16" s="256" t="s">
        <v>221</v>
      </c>
      <c r="BK16" s="256"/>
      <c r="BL16" s="327">
        <f>SUM(BL14:BL15)</f>
        <v>124690.76999999984</v>
      </c>
      <c r="BM16" s="114">
        <f t="shared" si="6"/>
        <v>3</v>
      </c>
      <c r="BN16" s="13" t="s">
        <v>57</v>
      </c>
      <c r="BO16" s="46">
        <f>SUM(BO14:BO15)</f>
        <v>1514508.4813715923</v>
      </c>
      <c r="BP16" s="46">
        <f>BO16+BQ16</f>
        <v>1445009.6347552887</v>
      </c>
      <c r="BQ16" s="46">
        <f>SUM(BQ14:BQ15)</f>
        <v>-69498.846616303519</v>
      </c>
      <c r="BR16" s="114">
        <f t="shared" ref="BR16:BR19" si="16">BR15+1</f>
        <v>3</v>
      </c>
      <c r="BS16" s="13"/>
      <c r="BV16" s="257"/>
      <c r="BW16" s="114">
        <f t="shared" si="7"/>
        <v>3</v>
      </c>
      <c r="BX16" s="355" t="s">
        <v>88</v>
      </c>
      <c r="BY16" s="13"/>
      <c r="BZ16" s="13"/>
      <c r="CA16" s="246">
        <f>'[30]Lead G'!E15</f>
        <v>318407.04418792826</v>
      </c>
      <c r="CB16" s="246">
        <f>'[30]Lead G'!F15</f>
        <v>328605.72865901311</v>
      </c>
      <c r="CC16" s="96">
        <f t="shared" ref="CC16:CC23" si="17">CB16-CA16</f>
        <v>10198.684471084853</v>
      </c>
      <c r="CD16" s="114">
        <f t="shared" si="8"/>
        <v>3</v>
      </c>
      <c r="CE16" s="204" t="s">
        <v>347</v>
      </c>
      <c r="CF16" s="451">
        <f>'[31]Lead G'!$C$15</f>
        <v>3.3500000000000002E-2</v>
      </c>
      <c r="CG16" s="95">
        <f>CG15*CF16</f>
        <v>121031.78960056802</v>
      </c>
      <c r="CH16" s="316"/>
      <c r="CI16" s="114">
        <f t="shared" ref="CI16:CI25" si="18">CI15+1</f>
        <v>3</v>
      </c>
      <c r="CJ16" s="300" t="s">
        <v>222</v>
      </c>
      <c r="CK16" s="122"/>
      <c r="CL16" s="258">
        <f>'[32]Lead G'!$D$15</f>
        <v>4441873.2750779204</v>
      </c>
      <c r="CM16" s="114">
        <f t="shared" ref="CM16:CM28" si="19">CM15+1</f>
        <v>3</v>
      </c>
      <c r="CN16" s="420" t="s">
        <v>315</v>
      </c>
      <c r="CO16" s="456">
        <f>'[13]Lead G'!$C$19</f>
        <v>72192483.439999983</v>
      </c>
      <c r="CP16" s="397"/>
      <c r="CQ16" s="114">
        <v>3</v>
      </c>
      <c r="CR16" s="314" t="s">
        <v>350</v>
      </c>
      <c r="CS16" s="217">
        <f>SUM(CS15)</f>
        <v>755448.80925399996</v>
      </c>
      <c r="CT16" s="217">
        <f>SUM(CT15)</f>
        <v>602573.07018549996</v>
      </c>
      <c r="CU16" s="292">
        <f>SUM(CU14:CU15)</f>
        <v>-152875.7390685</v>
      </c>
      <c r="CV16" s="114">
        <f t="shared" si="9"/>
        <v>3</v>
      </c>
      <c r="CW16" s="314" t="s">
        <v>337</v>
      </c>
      <c r="CX16" s="443">
        <f>'[36]Lead G'!$D$16</f>
        <v>1253528.7620250001</v>
      </c>
      <c r="CY16" s="443">
        <f>'[36]Lead G'!$E$16</f>
        <v>10065787.334999999</v>
      </c>
      <c r="CZ16" s="461">
        <f>CY16-CX16</f>
        <v>8812258.5729749985</v>
      </c>
      <c r="DA16" s="423">
        <v>3</v>
      </c>
      <c r="DB16" s="437" t="s">
        <v>363</v>
      </c>
      <c r="DC16" s="463">
        <f>DC14+DC15</f>
        <v>35266092.165802002</v>
      </c>
      <c r="DD16" s="463">
        <f>DD14+DD15</f>
        <v>35214539.00974001</v>
      </c>
      <c r="DE16" s="463">
        <f>DE14+DE15</f>
        <v>-51553.156061998103</v>
      </c>
      <c r="DF16" s="423"/>
      <c r="DG16" s="56"/>
      <c r="DH16" s="56"/>
      <c r="DI16" s="56"/>
      <c r="DJ16" s="56"/>
      <c r="DK16" s="423"/>
      <c r="DL16" s="56"/>
      <c r="DM16" s="56"/>
      <c r="DN16" s="56"/>
      <c r="DO16" s="56"/>
      <c r="DP16" s="423"/>
      <c r="DQ16" s="56"/>
      <c r="DR16" s="56"/>
      <c r="DS16" s="56"/>
      <c r="DT16" s="56"/>
    </row>
    <row r="17" spans="1:145" s="300" customFormat="1" ht="15.75" thickTop="1">
      <c r="A17" s="114">
        <f t="shared" si="10"/>
        <v>4</v>
      </c>
      <c r="B17" s="268" t="s">
        <v>332</v>
      </c>
      <c r="C17" s="256"/>
      <c r="D17" s="258">
        <f>'[26]Lead G'!$D$16</f>
        <v>-26236731.310160261</v>
      </c>
      <c r="E17" s="256"/>
      <c r="F17" s="114">
        <f t="shared" si="0"/>
        <v>4</v>
      </c>
      <c r="G17" s="468">
        <v>42308</v>
      </c>
      <c r="H17" s="308">
        <f>'[37]Lead G'!$C$16</f>
        <v>73139427.500000015</v>
      </c>
      <c r="I17" s="308">
        <f>'[37]Lead G'!$D$16</f>
        <v>86649729.500000015</v>
      </c>
      <c r="J17" s="139">
        <f t="shared" ref="J17:J28" si="20">+I17-H17</f>
        <v>13510302</v>
      </c>
      <c r="L17" s="241">
        <f t="shared" si="11"/>
        <v>4</v>
      </c>
      <c r="M17" s="314" t="s">
        <v>239</v>
      </c>
      <c r="N17" s="100"/>
      <c r="O17" s="257">
        <f>'[27]Lead G'!$E$12</f>
        <v>20149802.975724913</v>
      </c>
      <c r="P17" s="114">
        <f t="shared" si="12"/>
        <v>4</v>
      </c>
      <c r="Q17" s="13" t="s">
        <v>246</v>
      </c>
      <c r="R17" s="248" t="s">
        <v>18</v>
      </c>
      <c r="S17" s="248">
        <f>kp_FEDERAL_INCOME_TAX</f>
        <v>0.35</v>
      </c>
      <c r="T17" s="246">
        <f>T14*S17</f>
        <v>26587825.211927671</v>
      </c>
      <c r="U17" s="114">
        <f t="shared" si="13"/>
        <v>4</v>
      </c>
      <c r="X17" s="68" t="str">
        <f>IF(W17='Exh. BGM-4 (2) Adj. Detail'!AL52,"","NEEDS UPDATING")</f>
        <v/>
      </c>
      <c r="Y17" s="114">
        <f>Y16+1</f>
        <v>4</v>
      </c>
      <c r="Z17" s="237" t="s">
        <v>368</v>
      </c>
      <c r="AA17" s="85">
        <f>'[19]Lead G'!C15</f>
        <v>11632339.733118001</v>
      </c>
      <c r="AB17" s="85">
        <f>'[19]Lead G'!D15</f>
        <v>11632339.733118001</v>
      </c>
      <c r="AC17" s="85">
        <f>AB17-AA17</f>
        <v>0</v>
      </c>
      <c r="AD17" s="114">
        <f t="shared" si="1"/>
        <v>4</v>
      </c>
      <c r="AF17" s="234"/>
      <c r="AG17" s="234"/>
      <c r="AI17" s="41">
        <f>1+AI16</f>
        <v>4</v>
      </c>
      <c r="AJ17" s="262" t="str">
        <f>'[28]Lead G'!B16</f>
        <v>12 ME 9/30/2016 AND 5/31/2016</v>
      </c>
      <c r="AK17" s="257">
        <f>'[28]Lead G'!C16</f>
        <v>5107471.959999999</v>
      </c>
      <c r="AL17" s="257">
        <f>'[28]Lead G'!D16</f>
        <v>898177819.9799999</v>
      </c>
      <c r="AM17" s="257">
        <f>'[28]Lead G'!E16</f>
        <v>32301964.859999999</v>
      </c>
      <c r="AN17" s="80">
        <f>AL17-AM17</f>
        <v>865875855.11999989</v>
      </c>
      <c r="AO17" s="446">
        <f>ROUND(AK17/AN17,6)</f>
        <v>5.8989999999999997E-3</v>
      </c>
      <c r="AP17" s="114">
        <f>AP16+1</f>
        <v>4</v>
      </c>
      <c r="AQ17" s="355" t="s">
        <v>89</v>
      </c>
      <c r="AR17" s="257">
        <f>+'[29]Lead G'!C15</f>
        <v>62067.795627173517</v>
      </c>
      <c r="AS17" s="257">
        <f>+'[29]Lead G'!D15</f>
        <v>56849.984196193305</v>
      </c>
      <c r="AT17" s="356">
        <f t="shared" si="14"/>
        <v>-5217.8114309802113</v>
      </c>
      <c r="AU17" s="114">
        <f>AU16+1</f>
        <v>4</v>
      </c>
      <c r="AV17" s="314"/>
      <c r="AW17" s="177"/>
      <c r="AX17" s="177"/>
      <c r="AY17" s="177"/>
      <c r="AZ17" s="114"/>
      <c r="BA17" s="246"/>
      <c r="BB17" s="246"/>
      <c r="BC17" s="123"/>
      <c r="BD17" s="246"/>
      <c r="BE17" s="41">
        <f>+BE16+1</f>
        <v>4</v>
      </c>
      <c r="BF17" s="13"/>
      <c r="BG17" s="180"/>
      <c r="BH17" s="225"/>
      <c r="BI17" s="161">
        <f>BI16+1</f>
        <v>4</v>
      </c>
      <c r="BJ17" s="256"/>
      <c r="BK17" s="256"/>
      <c r="BL17" s="327"/>
      <c r="BM17" s="114">
        <f>BM16+1</f>
        <v>4</v>
      </c>
      <c r="BN17" s="13"/>
      <c r="BQ17" s="257"/>
      <c r="BR17" s="114">
        <f t="shared" si="16"/>
        <v>4</v>
      </c>
      <c r="BS17" s="450" t="s">
        <v>377</v>
      </c>
      <c r="BV17" s="330">
        <f>BV15</f>
        <v>-690445.95113803679</v>
      </c>
      <c r="BW17" s="114">
        <f>BW16+1</f>
        <v>4</v>
      </c>
      <c r="BX17" s="355" t="s">
        <v>89</v>
      </c>
      <c r="BY17" s="13"/>
      <c r="BZ17" s="13"/>
      <c r="CA17" s="246">
        <f>'[30]Lead G'!E16</f>
        <v>861492.99098813464</v>
      </c>
      <c r="CB17" s="246">
        <f>'[30]Lead G'!F16</f>
        <v>888425.1733595382</v>
      </c>
      <c r="CC17" s="96">
        <f t="shared" si="17"/>
        <v>26932.182371403556</v>
      </c>
      <c r="CD17" s="114">
        <f>CD16+1</f>
        <v>4</v>
      </c>
      <c r="CE17" s="183" t="s">
        <v>91</v>
      </c>
      <c r="CF17" s="203"/>
      <c r="CG17" s="316"/>
      <c r="CH17" s="316">
        <f>SUM(CG15:CG16)</f>
        <v>3733921.0314085684</v>
      </c>
      <c r="CI17" s="114">
        <f>CI16+1</f>
        <v>4</v>
      </c>
      <c r="CJ17" s="300" t="s">
        <v>213</v>
      </c>
      <c r="CK17" s="259"/>
      <c r="CL17" s="327">
        <f>SUM(CL15:CL16)</f>
        <v>11814864.89656</v>
      </c>
      <c r="CM17" s="114">
        <f>CM16+1</f>
        <v>4</v>
      </c>
      <c r="CN17" s="256" t="s">
        <v>252</v>
      </c>
      <c r="CO17" s="259"/>
      <c r="CP17" s="457">
        <f>CO16/5</f>
        <v>14438496.687999997</v>
      </c>
      <c r="CQ17" s="114">
        <v>4</v>
      </c>
      <c r="CR17" s="314"/>
      <c r="CS17" s="177"/>
      <c r="CT17" s="177"/>
      <c r="CU17" s="177"/>
      <c r="CV17" s="114">
        <f t="shared" si="9"/>
        <v>4</v>
      </c>
      <c r="CW17" s="421" t="s">
        <v>333</v>
      </c>
      <c r="CX17" s="58">
        <f>'[36]Lead G'!$D$17</f>
        <v>1121972.34925</v>
      </c>
      <c r="CY17" s="58">
        <f>'[36]Lead G'!$E$17</f>
        <v>0</v>
      </c>
      <c r="CZ17" s="282">
        <f>CY17-CX17</f>
        <v>-1121972.34925</v>
      </c>
      <c r="DA17" s="423">
        <v>4</v>
      </c>
      <c r="DB17" s="437"/>
      <c r="DC17" s="354"/>
      <c r="DD17" s="438"/>
      <c r="DE17" s="438"/>
      <c r="DF17" s="423"/>
      <c r="DG17" s="56"/>
      <c r="DH17" s="56"/>
      <c r="DI17" s="56"/>
      <c r="DJ17" s="56"/>
      <c r="DK17" s="423"/>
      <c r="DL17" s="56"/>
      <c r="DM17" s="56"/>
      <c r="DN17" s="56"/>
      <c r="DO17" s="56"/>
      <c r="DP17" s="423"/>
      <c r="DQ17" s="56"/>
      <c r="DR17" s="56"/>
      <c r="DS17" s="56"/>
      <c r="DT17" s="56"/>
    </row>
    <row r="18" spans="1:145" s="300" customFormat="1" ht="14.25" customHeight="1">
      <c r="A18" s="114">
        <f t="shared" si="10"/>
        <v>5</v>
      </c>
      <c r="B18" s="268" t="s">
        <v>282</v>
      </c>
      <c r="C18" s="256"/>
      <c r="D18" s="258">
        <f>'[26]Lead G'!$D$17</f>
        <v>-271003.82433101535</v>
      </c>
      <c r="E18" s="256"/>
      <c r="F18" s="114">
        <f t="shared" si="0"/>
        <v>5</v>
      </c>
      <c r="G18" s="468">
        <v>42309</v>
      </c>
      <c r="H18" s="308">
        <f>'[37]Lead G'!$C$17</f>
        <v>123121515.845</v>
      </c>
      <c r="I18" s="308">
        <f>'[37]Lead G'!$D$17</f>
        <v>114711801.84499998</v>
      </c>
      <c r="J18" s="229">
        <f t="shared" si="20"/>
        <v>-8409714.0000000149</v>
      </c>
      <c r="K18" s="259"/>
      <c r="L18" s="241">
        <f t="shared" si="11"/>
        <v>5</v>
      </c>
      <c r="M18" s="314" t="s">
        <v>244</v>
      </c>
      <c r="N18" s="17"/>
      <c r="O18" s="257">
        <f>'[27]Lead G'!$E$13</f>
        <v>-26488407.126521312</v>
      </c>
      <c r="P18" s="114">
        <f t="shared" si="12"/>
        <v>5</v>
      </c>
      <c r="Q18" s="13" t="s">
        <v>247</v>
      </c>
      <c r="R18" s="13" t="s">
        <v>18</v>
      </c>
      <c r="S18" s="251"/>
      <c r="T18" s="246">
        <f>'[18]Lead G'!$E$17</f>
        <v>38564775.619999997</v>
      </c>
      <c r="U18" s="114">
        <f t="shared" si="13"/>
        <v>5</v>
      </c>
      <c r="V18" s="150" t="s">
        <v>385</v>
      </c>
      <c r="W18" s="293">
        <f>+'Exh. BGM-4 (3) Param'!J14</f>
        <v>2.9899999999999999E-2</v>
      </c>
      <c r="X18" s="17" t="s">
        <v>18</v>
      </c>
      <c r="Y18" s="114">
        <f>Y17+1</f>
        <v>5</v>
      </c>
      <c r="Z18" s="237" t="s">
        <v>265</v>
      </c>
      <c r="AA18" s="330">
        <f>SUM(AA14:AA17)</f>
        <v>133078761.09259801</v>
      </c>
      <c r="AB18" s="330">
        <f>SUM(AB14:AB17)</f>
        <v>113128149.72993767</v>
      </c>
      <c r="AC18" s="330">
        <f>SUM(AC14:AC17)</f>
        <v>-19950611.362660345</v>
      </c>
      <c r="AD18" s="114">
        <f t="shared" si="1"/>
        <v>5</v>
      </c>
      <c r="AE18" s="332" t="s">
        <v>387</v>
      </c>
      <c r="AF18" s="329"/>
      <c r="AH18" s="329">
        <f>AH16</f>
        <v>88826.625337333404</v>
      </c>
      <c r="AI18" s="41">
        <f t="shared" si="2"/>
        <v>5</v>
      </c>
      <c r="AJ18" s="144" t="s">
        <v>234</v>
      </c>
      <c r="AK18" s="401"/>
      <c r="AL18" s="401"/>
      <c r="AM18" s="401"/>
      <c r="AN18" s="402"/>
      <c r="AO18" s="266">
        <f>ROUND(SUM(AO15:AO17)/3,6)</f>
        <v>5.1399999999999996E-3</v>
      </c>
      <c r="AP18" s="114">
        <f t="shared" si="3"/>
        <v>5</v>
      </c>
      <c r="AQ18" s="355" t="s">
        <v>64</v>
      </c>
      <c r="AR18" s="257">
        <f>+'[29]Lead G'!C16</f>
        <v>0</v>
      </c>
      <c r="AS18" s="257">
        <f>+'[29]Lead G'!D16</f>
        <v>0</v>
      </c>
      <c r="AT18" s="356">
        <f t="shared" si="14"/>
        <v>0</v>
      </c>
      <c r="AU18" s="114">
        <f>AU17+1</f>
        <v>5</v>
      </c>
      <c r="AV18" s="314" t="s">
        <v>232</v>
      </c>
      <c r="AW18" s="177"/>
      <c r="AX18" s="177"/>
      <c r="AY18" s="80">
        <f>AY16</f>
        <v>-17901.10630472796</v>
      </c>
      <c r="AZ18" s="114"/>
      <c r="BE18" s="41">
        <f t="shared" si="5"/>
        <v>5</v>
      </c>
      <c r="BF18" s="182" t="s">
        <v>219</v>
      </c>
      <c r="BG18" s="449">
        <f>BG16/2</f>
        <v>520000</v>
      </c>
      <c r="BH18" s="257"/>
      <c r="BI18" s="161">
        <f t="shared" si="15"/>
        <v>5</v>
      </c>
      <c r="BJ18" s="256" t="s">
        <v>301</v>
      </c>
      <c r="BK18" s="256"/>
      <c r="BL18" s="332">
        <f>+'[23]Lead G'!D18</f>
        <v>-92024.8</v>
      </c>
      <c r="BM18" s="114">
        <f t="shared" si="6"/>
        <v>5</v>
      </c>
      <c r="BQ18" s="259"/>
      <c r="BR18" s="114">
        <f t="shared" si="16"/>
        <v>5</v>
      </c>
      <c r="BS18" s="13" t="s">
        <v>59</v>
      </c>
      <c r="BT18" s="248">
        <f>kp_FEDERAL_INCOME_TAX</f>
        <v>0.35</v>
      </c>
      <c r="BU18" s="15"/>
      <c r="BV18" s="96">
        <f>BT18*-BV17</f>
        <v>241656.08289831286</v>
      </c>
      <c r="BW18" s="114">
        <f t="shared" si="7"/>
        <v>5</v>
      </c>
      <c r="BX18" s="355" t="s">
        <v>64</v>
      </c>
      <c r="BY18" s="13"/>
      <c r="BZ18" s="13"/>
      <c r="CA18" s="246">
        <f>'[30]Lead G'!E17</f>
        <v>0</v>
      </c>
      <c r="CB18" s="246">
        <f>'[30]Lead G'!F17</f>
        <v>0</v>
      </c>
      <c r="CC18" s="96">
        <f t="shared" si="17"/>
        <v>0</v>
      </c>
      <c r="CD18" s="114">
        <f t="shared" si="8"/>
        <v>5</v>
      </c>
      <c r="CE18" s="183"/>
      <c r="CF18" s="204"/>
      <c r="CG18" s="316"/>
      <c r="CH18" s="316"/>
      <c r="CI18" s="114">
        <f t="shared" si="18"/>
        <v>5</v>
      </c>
      <c r="CK18" s="259"/>
      <c r="CL18" s="312"/>
      <c r="CM18" s="114">
        <f t="shared" si="19"/>
        <v>5</v>
      </c>
      <c r="CN18" s="256"/>
      <c r="CO18" s="397"/>
      <c r="CP18" s="353"/>
      <c r="CQ18" s="114">
        <v>5</v>
      </c>
      <c r="CR18" s="314"/>
      <c r="CS18" s="317"/>
      <c r="CT18" s="317"/>
      <c r="CU18" s="426"/>
      <c r="CV18" s="114">
        <f t="shared" si="9"/>
        <v>5</v>
      </c>
      <c r="CW18" s="314" t="s">
        <v>338</v>
      </c>
      <c r="CX18" s="80">
        <f>'[36]Lead G'!$D$18</f>
        <v>-20066.577730892186</v>
      </c>
      <c r="CY18" s="80">
        <f>'[36]Lead G'!$E$18</f>
        <v>-585831.69338917825</v>
      </c>
      <c r="CZ18" s="282">
        <f t="shared" ref="CZ18:CZ22" si="21">CY18-CX18</f>
        <v>-565765.11565828603</v>
      </c>
      <c r="DA18" s="423">
        <v>5</v>
      </c>
      <c r="DB18" s="314" t="s">
        <v>364</v>
      </c>
      <c r="DC18" s="354"/>
      <c r="DD18" s="438"/>
      <c r="DE18" s="458">
        <f>DE16</f>
        <v>-51553.156061998103</v>
      </c>
      <c r="DF18" s="423"/>
      <c r="DG18" s="56"/>
      <c r="DH18" s="56"/>
      <c r="DI18" s="56"/>
      <c r="DJ18" s="56"/>
      <c r="DK18" s="423"/>
      <c r="DL18" s="56"/>
      <c r="DM18" s="56"/>
      <c r="DN18" s="56"/>
      <c r="DO18" s="56"/>
      <c r="DP18" s="423"/>
      <c r="DQ18" s="56"/>
      <c r="DR18" s="56"/>
      <c r="DS18" s="56"/>
      <c r="DT18" s="56"/>
    </row>
    <row r="19" spans="1:145" s="300" customFormat="1" ht="15.75" thickBot="1">
      <c r="A19" s="114">
        <f t="shared" si="10"/>
        <v>6</v>
      </c>
      <c r="B19" s="268" t="s">
        <v>285</v>
      </c>
      <c r="C19" s="235"/>
      <c r="D19" s="258">
        <f>'[26]Lead G'!$D$18</f>
        <v>2772307.0595804784</v>
      </c>
      <c r="E19" s="256"/>
      <c r="F19" s="114">
        <f t="shared" si="0"/>
        <v>6</v>
      </c>
      <c r="G19" s="468">
        <v>42339</v>
      </c>
      <c r="H19" s="308">
        <f>'[37]Lead G'!$C$18</f>
        <v>156989623.97599998</v>
      </c>
      <c r="I19" s="308">
        <f>'[37]Lead G'!$D$18</f>
        <v>165319960.97600001</v>
      </c>
      <c r="J19" s="229">
        <f t="shared" si="20"/>
        <v>8330337.0000000298</v>
      </c>
      <c r="L19" s="241">
        <f t="shared" si="11"/>
        <v>6</v>
      </c>
      <c r="M19" s="314" t="s">
        <v>240</v>
      </c>
      <c r="N19" s="17"/>
      <c r="O19" s="257">
        <f>'[27]Lead G'!$E$14</f>
        <v>97440.859999999986</v>
      </c>
      <c r="P19" s="114">
        <f t="shared" si="12"/>
        <v>6</v>
      </c>
      <c r="Q19" s="300" t="s">
        <v>270</v>
      </c>
      <c r="S19" s="251"/>
      <c r="T19" s="329"/>
      <c r="U19" s="114">
        <f t="shared" si="13"/>
        <v>6</v>
      </c>
      <c r="V19" s="150" t="s">
        <v>162</v>
      </c>
      <c r="W19" s="403"/>
      <c r="X19" s="292">
        <f>W16*W18</f>
        <v>52159932.907485247</v>
      </c>
      <c r="Y19" s="114">
        <f t="shared" ref="Y19:Y43" si="22">Y18+1</f>
        <v>6</v>
      </c>
      <c r="Z19" s="237"/>
      <c r="AA19" s="260"/>
      <c r="AB19" s="259"/>
      <c r="AC19" s="332"/>
      <c r="AD19" s="114">
        <f t="shared" si="1"/>
        <v>6</v>
      </c>
      <c r="AE19" s="332" t="s">
        <v>59</v>
      </c>
      <c r="AF19" s="329"/>
      <c r="AG19" s="248">
        <v>0.35</v>
      </c>
      <c r="AH19" s="290">
        <f>ROUND(-AH18*AG19,0)</f>
        <v>-31089</v>
      </c>
      <c r="AI19" s="41">
        <f t="shared" si="2"/>
        <v>6</v>
      </c>
      <c r="AK19" s="401"/>
      <c r="AL19" s="401"/>
      <c r="AM19" s="401"/>
      <c r="AN19" s="402"/>
      <c r="AP19" s="114">
        <f t="shared" si="3"/>
        <v>6</v>
      </c>
      <c r="AQ19" s="355" t="s">
        <v>65</v>
      </c>
      <c r="AR19" s="257">
        <f>+'[29]Lead G'!C17</f>
        <v>1884332.6697433374</v>
      </c>
      <c r="AS19" s="257">
        <f>+'[29]Lead G'!D17</f>
        <v>1724487.9238056608</v>
      </c>
      <c r="AT19" s="356">
        <f t="shared" si="14"/>
        <v>-159844.74593767663</v>
      </c>
      <c r="AU19" s="114">
        <f t="shared" si="4"/>
        <v>6</v>
      </c>
      <c r="AV19" s="314"/>
      <c r="AW19" s="177"/>
      <c r="AX19" s="177"/>
      <c r="AY19" s="80"/>
      <c r="BE19" s="41">
        <f t="shared" si="5"/>
        <v>6</v>
      </c>
      <c r="BF19" s="148" t="s">
        <v>218</v>
      </c>
      <c r="BG19" s="449">
        <f>'[35]Lead G'!$D$18</f>
        <v>88281.067356</v>
      </c>
      <c r="BH19" s="257"/>
      <c r="BI19" s="161">
        <f t="shared" si="15"/>
        <v>6</v>
      </c>
      <c r="BJ19" s="256" t="s">
        <v>302</v>
      </c>
      <c r="BK19" s="256"/>
      <c r="BL19" s="85">
        <f>+'[23]Lead G'!D19</f>
        <v>316253.37</v>
      </c>
      <c r="BM19" s="114">
        <f t="shared" si="6"/>
        <v>6</v>
      </c>
      <c r="BN19" s="13" t="s">
        <v>59</v>
      </c>
      <c r="BO19" s="248">
        <f>kp_FEDERAL_INCOME_TAX</f>
        <v>0.35</v>
      </c>
      <c r="BP19" s="15"/>
      <c r="BQ19" s="96">
        <f>BO19*-BQ16</f>
        <v>24324.596315706229</v>
      </c>
      <c r="BR19" s="114">
        <f t="shared" si="16"/>
        <v>6</v>
      </c>
      <c r="BS19" s="13" t="s">
        <v>63</v>
      </c>
      <c r="BV19" s="338">
        <f>-BV15-BV18</f>
        <v>448789.86823972396</v>
      </c>
      <c r="BW19" s="114">
        <f t="shared" si="7"/>
        <v>6</v>
      </c>
      <c r="BX19" s="355" t="s">
        <v>65</v>
      </c>
      <c r="BY19" s="13"/>
      <c r="BZ19" s="13"/>
      <c r="CA19" s="246">
        <f>'[30]Lead G'!E18</f>
        <v>26154848.534069598</v>
      </c>
      <c r="CB19" s="246">
        <f>'[30]Lead G'!F18</f>
        <v>26948764.950638987</v>
      </c>
      <c r="CC19" s="96">
        <f t="shared" si="17"/>
        <v>793916.4165693894</v>
      </c>
      <c r="CD19" s="114">
        <f t="shared" si="8"/>
        <v>6</v>
      </c>
      <c r="CE19" s="279" t="s">
        <v>153</v>
      </c>
      <c r="CF19" s="452"/>
      <c r="CG19" s="316"/>
      <c r="CH19" s="316"/>
      <c r="CI19" s="114">
        <f t="shared" si="18"/>
        <v>6</v>
      </c>
      <c r="CJ19" s="300" t="s">
        <v>223</v>
      </c>
      <c r="CK19" s="451">
        <f>'[32]Lead G'!$C$18</f>
        <v>0.54659120593235488</v>
      </c>
      <c r="CL19" s="455">
        <f>CL17*CK19</f>
        <v>6457901.2517385781</v>
      </c>
      <c r="CM19" s="114">
        <f t="shared" si="19"/>
        <v>6</v>
      </c>
      <c r="CN19" s="470" t="s">
        <v>253</v>
      </c>
      <c r="CO19" s="397"/>
      <c r="CP19" s="353"/>
      <c r="CQ19" s="114">
        <v>6</v>
      </c>
      <c r="CR19" s="242" t="s">
        <v>351</v>
      </c>
      <c r="CS19" s="177"/>
      <c r="CT19" s="177"/>
      <c r="CU19" s="80"/>
      <c r="CV19" s="114">
        <f t="shared" si="9"/>
        <v>6</v>
      </c>
      <c r="CW19" s="314" t="s">
        <v>339</v>
      </c>
      <c r="CX19" s="80">
        <f>'[36]Lead G'!$D$19</f>
        <v>15174.160163641776</v>
      </c>
      <c r="CY19" s="80"/>
      <c r="CZ19" s="282">
        <f t="shared" si="21"/>
        <v>-15174.160163641776</v>
      </c>
      <c r="DA19" s="423">
        <v>6</v>
      </c>
      <c r="DB19" s="314" t="s">
        <v>61</v>
      </c>
      <c r="DC19" s="15">
        <v>0.35</v>
      </c>
      <c r="DD19" s="438"/>
      <c r="DE19" s="246">
        <f>ROUND(-DE18*DC19,0)</f>
        <v>18044</v>
      </c>
      <c r="DF19" s="423"/>
      <c r="DG19" s="437"/>
      <c r="DH19" s="437"/>
      <c r="DI19" s="437"/>
      <c r="DJ19" s="437"/>
      <c r="DK19" s="423"/>
      <c r="DL19" s="437"/>
      <c r="DM19" s="437"/>
      <c r="DN19" s="437"/>
      <c r="DO19" s="437"/>
      <c r="DP19" s="423"/>
      <c r="DQ19" s="437"/>
      <c r="DR19" s="437"/>
      <c r="DS19" s="437"/>
      <c r="DT19" s="437"/>
    </row>
    <row r="20" spans="1:145" s="300" customFormat="1" ht="14.25" customHeight="1" thickTop="1" thickBot="1">
      <c r="A20" s="114">
        <f t="shared" si="10"/>
        <v>7</v>
      </c>
      <c r="B20" s="256" t="s">
        <v>186</v>
      </c>
      <c r="C20" s="256"/>
      <c r="D20" s="326">
        <f>SUM(D15:D19)</f>
        <v>-54715828.899718225</v>
      </c>
      <c r="E20" s="332">
        <f>D20</f>
        <v>-54715828.899718225</v>
      </c>
      <c r="F20" s="114">
        <f t="shared" si="0"/>
        <v>7</v>
      </c>
      <c r="G20" s="468">
        <v>42370</v>
      </c>
      <c r="H20" s="308">
        <f>'[37]Lead G'!$C$19</f>
        <v>151262374.11699998</v>
      </c>
      <c r="I20" s="308">
        <f>'[37]Lead G'!$D$19</f>
        <v>159895881.11700004</v>
      </c>
      <c r="J20" s="229">
        <f t="shared" si="20"/>
        <v>8633507.0000000596</v>
      </c>
      <c r="L20" s="241">
        <f>L19+1</f>
        <v>7</v>
      </c>
      <c r="M20" s="314" t="s">
        <v>241</v>
      </c>
      <c r="N20" s="17"/>
      <c r="O20" s="257">
        <f>'[27]Lead G'!$E$15</f>
        <v>-25090.45</v>
      </c>
      <c r="P20" s="114">
        <f>P19+1</f>
        <v>7</v>
      </c>
      <c r="Q20" s="300" t="s">
        <v>271</v>
      </c>
      <c r="S20" s="251"/>
      <c r="T20" s="334"/>
      <c r="U20" s="114">
        <f>+U19+1</f>
        <v>7</v>
      </c>
      <c r="V20" s="150"/>
      <c r="W20" s="151"/>
      <c r="X20" s="244" t="s">
        <v>18</v>
      </c>
      <c r="Y20" s="114">
        <f t="shared" si="22"/>
        <v>7</v>
      </c>
      <c r="Z20" s="237" t="s">
        <v>369</v>
      </c>
      <c r="AA20" s="332">
        <f>'[19]Lead G'!C18</f>
        <v>173994.92</v>
      </c>
      <c r="AB20" s="332">
        <f>'[19]Lead G'!D18</f>
        <v>153458.2561230502</v>
      </c>
      <c r="AC20" s="332">
        <f t="shared" ref="AC20" si="23">AB20-AA20</f>
        <v>-20536.663876949809</v>
      </c>
      <c r="AD20" s="114">
        <f t="shared" si="1"/>
        <v>7</v>
      </c>
      <c r="AE20" s="256"/>
      <c r="AF20" s="234"/>
      <c r="AG20" s="234"/>
      <c r="AH20" s="234"/>
      <c r="AI20" s="41">
        <f>1+AI19</f>
        <v>7</v>
      </c>
      <c r="AJ20" s="145" t="s">
        <v>226</v>
      </c>
      <c r="AL20" s="143">
        <f>'[28]Lead G'!D20</f>
        <v>895472598.58000004</v>
      </c>
      <c r="AM20" s="143">
        <f>'[28]Lead G'!E20</f>
        <v>37980142.479999997</v>
      </c>
      <c r="AN20" s="143">
        <f>AL20-AM20</f>
        <v>857492456.10000002</v>
      </c>
      <c r="AP20" s="114">
        <f>AP19+1</f>
        <v>7</v>
      </c>
      <c r="AQ20" s="355" t="s">
        <v>66</v>
      </c>
      <c r="AR20" s="257">
        <f>+'[29]Lead G'!C18</f>
        <v>542498.12432720035</v>
      </c>
      <c r="AS20" s="257">
        <f>+'[29]Lead G'!D18</f>
        <v>488720.47298540262</v>
      </c>
      <c r="AT20" s="356">
        <f t="shared" si="14"/>
        <v>-53777.651341797726</v>
      </c>
      <c r="AU20" s="114">
        <f>AU19+1</f>
        <v>7</v>
      </c>
      <c r="AV20" s="314" t="s">
        <v>59</v>
      </c>
      <c r="AW20" s="177"/>
      <c r="AX20" s="260">
        <f>kp_FEDERAL_INCOME_TAX</f>
        <v>0.35</v>
      </c>
      <c r="AY20" s="282">
        <f>-AY18*AX20</f>
        <v>6265.3872066547856</v>
      </c>
      <c r="BE20" s="41">
        <f>+BE19+1</f>
        <v>7</v>
      </c>
      <c r="BF20" s="148"/>
      <c r="BG20" s="209"/>
      <c r="BH20" s="225"/>
      <c r="BI20" s="161">
        <f>BI19+1</f>
        <v>7</v>
      </c>
      <c r="BJ20" s="256" t="s">
        <v>391</v>
      </c>
      <c r="BK20" s="256"/>
      <c r="BL20" s="327">
        <f>SUM(BL18:BL19)</f>
        <v>224228.57</v>
      </c>
      <c r="BM20" s="114">
        <f>BM19+1</f>
        <v>7</v>
      </c>
      <c r="BN20" s="13" t="s">
        <v>63</v>
      </c>
      <c r="BQ20" s="338">
        <f>-BQ16-BQ19</f>
        <v>45174.25030059729</v>
      </c>
      <c r="BR20" s="137"/>
      <c r="BS20" s="137"/>
      <c r="BT20" s="137"/>
      <c r="BU20" s="137"/>
      <c r="BV20" s="137"/>
      <c r="BW20" s="114">
        <f>BW19+1</f>
        <v>7</v>
      </c>
      <c r="BX20" s="355" t="s">
        <v>66</v>
      </c>
      <c r="BY20" s="13"/>
      <c r="BZ20" s="13"/>
      <c r="CA20" s="246">
        <f>'[30]Lead G'!E19</f>
        <v>7529966.0535140662</v>
      </c>
      <c r="CB20" s="246">
        <f>'[30]Lead G'!F19</f>
        <v>7637304.3781785369</v>
      </c>
      <c r="CC20" s="96">
        <f t="shared" si="17"/>
        <v>107338.32466447074</v>
      </c>
      <c r="CD20" s="114">
        <f>CD19+1</f>
        <v>7</v>
      </c>
      <c r="CE20" s="314" t="s">
        <v>154</v>
      </c>
      <c r="CF20" s="203"/>
      <c r="CG20" s="316">
        <f>'[31]Lead G'!$D$19</f>
        <v>1319812.7623999999</v>
      </c>
      <c r="CH20" s="316"/>
      <c r="CI20" s="114">
        <f>CI19+1</f>
        <v>7</v>
      </c>
      <c r="CJ20" s="30" t="s">
        <v>206</v>
      </c>
      <c r="CK20" s="15"/>
      <c r="CL20" s="85">
        <f>'[32]Lead G'!$D$19</f>
        <v>6367468.685411375</v>
      </c>
      <c r="CM20" s="114">
        <f>CM19+1</f>
        <v>7</v>
      </c>
      <c r="CN20" s="348"/>
      <c r="CO20" s="397"/>
      <c r="CP20" s="353"/>
      <c r="CQ20" s="114">
        <v>7</v>
      </c>
      <c r="CR20" s="427" t="s">
        <v>357</v>
      </c>
      <c r="CS20" s="417">
        <f>'[33]Lead G'!$C$17</f>
        <v>0</v>
      </c>
      <c r="CT20" s="417">
        <f>'[33]Lead G'!$D$17</f>
        <v>1784913.9752952412</v>
      </c>
      <c r="CU20" s="296">
        <f>CT20-CS20</f>
        <v>1784913.9752952412</v>
      </c>
      <c r="CV20" s="114">
        <f t="shared" si="9"/>
        <v>7</v>
      </c>
      <c r="CW20" s="314" t="s">
        <v>334</v>
      </c>
      <c r="CX20" s="80">
        <f>'[36]Lead G'!$D$20</f>
        <v>-531419.38875000004</v>
      </c>
      <c r="CY20" s="80">
        <f>'[36]Lead G'!$E$19</f>
        <v>0</v>
      </c>
      <c r="CZ20" s="282">
        <f t="shared" si="21"/>
        <v>531419.38875000004</v>
      </c>
      <c r="DA20" s="423">
        <v>7</v>
      </c>
      <c r="DB20" s="314" t="s">
        <v>62</v>
      </c>
      <c r="DC20" s="354"/>
      <c r="DD20" s="438"/>
      <c r="DE20" s="464">
        <f>-DE18-DE19</f>
        <v>33509.156061998103</v>
      </c>
      <c r="DF20" s="423"/>
      <c r="DG20" s="397"/>
      <c r="DH20" s="397"/>
      <c r="DI20" s="397"/>
      <c r="DJ20" s="397"/>
      <c r="DK20" s="423"/>
      <c r="DL20" s="397"/>
      <c r="DM20" s="397"/>
      <c r="DN20" s="397"/>
      <c r="DO20" s="397"/>
      <c r="DP20" s="423"/>
      <c r="DQ20" s="397"/>
      <c r="DR20" s="397"/>
      <c r="DS20" s="397"/>
      <c r="DT20" s="397"/>
    </row>
    <row r="21" spans="1:145" s="300" customFormat="1" ht="15.95" customHeight="1" thickTop="1" thickBot="1">
      <c r="A21" s="114">
        <f t="shared" si="10"/>
        <v>8</v>
      </c>
      <c r="B21" s="256"/>
      <c r="C21" s="256"/>
      <c r="D21" s="201"/>
      <c r="E21" s="256"/>
      <c r="F21" s="114">
        <f t="shared" si="0"/>
        <v>8</v>
      </c>
      <c r="G21" s="468">
        <v>42401</v>
      </c>
      <c r="H21" s="308">
        <f>'[37]Lead G'!$C$20</f>
        <v>118408550.68799998</v>
      </c>
      <c r="I21" s="308">
        <f>'[37]Lead G'!$D$20</f>
        <v>138019004.68799999</v>
      </c>
      <c r="J21" s="229">
        <f t="shared" si="20"/>
        <v>19610454.000000015</v>
      </c>
      <c r="L21" s="241">
        <f t="shared" si="11"/>
        <v>8</v>
      </c>
      <c r="M21" s="414" t="s">
        <v>317</v>
      </c>
      <c r="N21" s="17"/>
      <c r="O21" s="257">
        <f>'[27]Lead G'!$E$16</f>
        <v>270440.65000000002</v>
      </c>
      <c r="P21" s="114">
        <f t="shared" si="12"/>
        <v>8</v>
      </c>
      <c r="Q21" s="300" t="s">
        <v>248</v>
      </c>
      <c r="T21" s="254">
        <f>SUM(T17:T20)</f>
        <v>65152600.831927672</v>
      </c>
      <c r="U21" s="114">
        <f t="shared" si="13"/>
        <v>8</v>
      </c>
      <c r="V21" s="300" t="s">
        <v>165</v>
      </c>
      <c r="W21" s="403"/>
      <c r="X21" s="329">
        <f>-X19</f>
        <v>-52159932.907485247</v>
      </c>
      <c r="Y21" s="114">
        <f>Y20+1</f>
        <v>8</v>
      </c>
      <c r="Z21" s="148" t="s">
        <v>370</v>
      </c>
      <c r="AA21" s="85">
        <f>'[19]Lead G'!C19</f>
        <v>51680.669399999999</v>
      </c>
      <c r="AB21" s="85">
        <f>'[19]Lead G'!D19</f>
        <v>0</v>
      </c>
      <c r="AC21" s="85">
        <f>AB21-AA21</f>
        <v>-51680.669399999999</v>
      </c>
      <c r="AD21" s="114">
        <f t="shared" si="1"/>
        <v>8</v>
      </c>
      <c r="AE21" s="332" t="s">
        <v>63</v>
      </c>
      <c r="AF21" s="329"/>
      <c r="AG21" s="329"/>
      <c r="AH21" s="324">
        <f>-AH18-AH19</f>
        <v>-57737.625337333404</v>
      </c>
      <c r="AI21" s="41">
        <f>1+AI20</f>
        <v>8</v>
      </c>
      <c r="AJ21" s="145" t="s">
        <v>318</v>
      </c>
      <c r="AN21" s="257">
        <f>K43</f>
        <v>58088569.543246187</v>
      </c>
      <c r="AP21" s="114">
        <f t="shared" si="3"/>
        <v>8</v>
      </c>
      <c r="AQ21" s="355" t="s">
        <v>67</v>
      </c>
      <c r="AR21" s="257">
        <f>+'[29]Lead G'!C19</f>
        <v>74580.714692630994</v>
      </c>
      <c r="AS21" s="257">
        <f>+'[29]Lead G'!D19</f>
        <v>68242.838582208162</v>
      </c>
      <c r="AT21" s="356">
        <f t="shared" si="14"/>
        <v>-6337.8761104228324</v>
      </c>
      <c r="AU21" s="114">
        <f t="shared" si="4"/>
        <v>8</v>
      </c>
      <c r="AV21" s="314" t="s">
        <v>63</v>
      </c>
      <c r="AW21" s="177"/>
      <c r="AX21" s="177"/>
      <c r="AY21" s="294">
        <f>-AY18-AY20</f>
        <v>11635.719098073176</v>
      </c>
      <c r="BE21" s="41">
        <f t="shared" si="5"/>
        <v>8</v>
      </c>
      <c r="BF21" s="13" t="s">
        <v>56</v>
      </c>
      <c r="BG21" s="215">
        <f>BG18-BG19</f>
        <v>431718.93264399999</v>
      </c>
      <c r="BH21" s="179">
        <f>BG21</f>
        <v>431718.93264399999</v>
      </c>
      <c r="BI21" s="161">
        <f t="shared" si="15"/>
        <v>8</v>
      </c>
      <c r="BJ21" s="256"/>
      <c r="BK21" s="256"/>
      <c r="BL21" s="332"/>
      <c r="BR21" s="404"/>
      <c r="BV21" s="300" t="s">
        <v>18</v>
      </c>
      <c r="BW21" s="114">
        <f t="shared" si="7"/>
        <v>8</v>
      </c>
      <c r="BX21" s="355" t="s">
        <v>67</v>
      </c>
      <c r="BY21" s="13"/>
      <c r="BZ21" s="13"/>
      <c r="CA21" s="246">
        <f>'[30]Lead G'!E20</f>
        <v>1035196.5402749601</v>
      </c>
      <c r="CB21" s="246">
        <f>'[30]Lead G'!F20</f>
        <v>1066415.4927500868</v>
      </c>
      <c r="CC21" s="96">
        <f t="shared" si="17"/>
        <v>31218.952475126716</v>
      </c>
      <c r="CD21" s="114">
        <f t="shared" si="8"/>
        <v>8</v>
      </c>
      <c r="CE21" s="204" t="s">
        <v>155</v>
      </c>
      <c r="CF21" s="453">
        <f>'[31]Lead G'!$C$20</f>
        <v>6.875E-3</v>
      </c>
      <c r="CG21" s="95">
        <f>CG20*CF21</f>
        <v>9073.7127414999995</v>
      </c>
      <c r="CH21" s="316"/>
      <c r="CI21" s="114">
        <f t="shared" si="18"/>
        <v>8</v>
      </c>
      <c r="CJ21" s="13" t="s">
        <v>57</v>
      </c>
      <c r="CK21" s="114"/>
      <c r="CL21" s="455">
        <f>CL19-CL20</f>
        <v>90432.566327203065</v>
      </c>
      <c r="CM21" s="114">
        <f t="shared" si="19"/>
        <v>8</v>
      </c>
      <c r="CN21" s="256" t="s">
        <v>316</v>
      </c>
      <c r="CO21" s="457">
        <f>'[13]Lead G'!$C$24</f>
        <v>-50267724.640000001</v>
      </c>
      <c r="CP21" s="353"/>
      <c r="CQ21" s="114">
        <v>8</v>
      </c>
      <c r="CR21" s="427" t="s">
        <v>356</v>
      </c>
      <c r="CS21" s="428">
        <f>'[33]Lead G'!$C$18</f>
        <v>0</v>
      </c>
      <c r="CT21" s="428">
        <f>'[33]Lead G'!$D$18</f>
        <v>1792115.6450936967</v>
      </c>
      <c r="CU21" s="429">
        <f>CT21-CS21</f>
        <v>1792115.6450936967</v>
      </c>
      <c r="CV21" s="114">
        <f t="shared" si="9"/>
        <v>8</v>
      </c>
      <c r="CW21" s="314" t="s">
        <v>305</v>
      </c>
      <c r="CX21" s="80">
        <f>'[36]Lead G'!$D$21</f>
        <v>6619.0013300919836</v>
      </c>
      <c r="CY21" s="80">
        <f>'[36]Lead G'!$E$21</f>
        <v>138651.70953729711</v>
      </c>
      <c r="CZ21" s="282">
        <f t="shared" si="21"/>
        <v>132032.70820720511</v>
      </c>
      <c r="DF21" s="423"/>
      <c r="DG21" s="437"/>
      <c r="DH21" s="437"/>
      <c r="DI21" s="437"/>
      <c r="DJ21" s="437"/>
      <c r="DK21" s="423"/>
      <c r="DL21" s="437"/>
      <c r="DM21" s="437"/>
      <c r="DN21" s="437"/>
      <c r="DO21" s="437"/>
      <c r="DP21" s="423"/>
      <c r="DQ21" s="437"/>
      <c r="DR21" s="437"/>
      <c r="DS21" s="437"/>
      <c r="DT21" s="437"/>
    </row>
    <row r="22" spans="1:145" s="300" customFormat="1" ht="13.5" thickTop="1">
      <c r="A22" s="114">
        <f t="shared" si="10"/>
        <v>9</v>
      </c>
      <c r="B22" s="398" t="s">
        <v>2</v>
      </c>
      <c r="C22" s="256"/>
      <c r="D22" s="199"/>
      <c r="E22" s="256"/>
      <c r="F22" s="114">
        <f t="shared" si="0"/>
        <v>9</v>
      </c>
      <c r="G22" s="468">
        <v>42430</v>
      </c>
      <c r="H22" s="308">
        <f>'[37]Lead G'!$C$21</f>
        <v>112362332.25200005</v>
      </c>
      <c r="I22" s="308">
        <f>'[37]Lead G'!$D$21</f>
        <v>123218844.25200003</v>
      </c>
      <c r="J22" s="229">
        <f t="shared" si="20"/>
        <v>10856511.999999985</v>
      </c>
      <c r="L22" s="241">
        <f t="shared" si="11"/>
        <v>9</v>
      </c>
      <c r="M22" s="314"/>
      <c r="N22" s="17"/>
      <c r="O22" s="257"/>
      <c r="P22" s="114">
        <f t="shared" ref="P22:P32" si="24">P21+1</f>
        <v>9</v>
      </c>
      <c r="U22" s="114">
        <f t="shared" si="13"/>
        <v>9</v>
      </c>
      <c r="V22" s="300" t="s">
        <v>18</v>
      </c>
      <c r="X22" s="68" t="s">
        <v>18</v>
      </c>
      <c r="Y22" s="114">
        <f t="shared" si="22"/>
        <v>9</v>
      </c>
      <c r="Z22" s="237" t="s">
        <v>266</v>
      </c>
      <c r="AA22" s="330">
        <f>SUM(AA20:AA21)</f>
        <v>225675.5894</v>
      </c>
      <c r="AB22" s="330">
        <f>SUM(AB20:AB21)</f>
        <v>153458.2561230502</v>
      </c>
      <c r="AC22" s="330">
        <f>SUM(AC20:AC21)</f>
        <v>-72217.333276949808</v>
      </c>
      <c r="AD22" s="114"/>
      <c r="AE22" s="256"/>
      <c r="AF22" s="234"/>
      <c r="AG22" s="234"/>
      <c r="AH22" s="234"/>
      <c r="AI22" s="41">
        <f t="shared" ref="AI22:AI23" si="25">1+AI21</f>
        <v>9</v>
      </c>
      <c r="AJ22" s="145" t="s">
        <v>314</v>
      </c>
      <c r="AN22" s="362">
        <f>SUM(AN20:AN21)</f>
        <v>915581025.64324617</v>
      </c>
      <c r="AP22" s="114">
        <f>AP21+1</f>
        <v>9</v>
      </c>
      <c r="AQ22" s="355" t="s">
        <v>47</v>
      </c>
      <c r="AR22" s="257">
        <f>+'[29]Lead G'!C20</f>
        <v>121.5193511069849</v>
      </c>
      <c r="AS22" s="257">
        <f>+'[29]Lead G'!D20</f>
        <v>111.02237005574798</v>
      </c>
      <c r="AT22" s="356">
        <f t="shared" si="14"/>
        <v>-10.496981051236915</v>
      </c>
      <c r="AU22" s="257"/>
      <c r="AV22" s="257"/>
      <c r="AW22" s="257"/>
      <c r="AX22" s="257"/>
      <c r="AY22" s="257"/>
      <c r="BE22" s="41">
        <f>+BE21+1</f>
        <v>9</v>
      </c>
      <c r="BF22" s="13"/>
      <c r="BG22" s="185"/>
      <c r="BH22" s="210"/>
      <c r="BI22" s="161">
        <f>BI21+1</f>
        <v>9</v>
      </c>
      <c r="BJ22" s="256" t="s">
        <v>392</v>
      </c>
      <c r="BK22" s="256"/>
      <c r="BL22" s="332">
        <f>BL16+BL20</f>
        <v>348919.33999999985</v>
      </c>
      <c r="BM22" s="404"/>
      <c r="BR22" s="24"/>
      <c r="BS22" s="24"/>
      <c r="BT22" s="24"/>
      <c r="BU22" s="24"/>
      <c r="BV22" s="135" t="s">
        <v>18</v>
      </c>
      <c r="BW22" s="114">
        <f>BW21+1</f>
        <v>9</v>
      </c>
      <c r="BX22" s="355" t="s">
        <v>47</v>
      </c>
      <c r="BY22" s="13"/>
      <c r="BZ22" s="13"/>
      <c r="CA22" s="246">
        <f>'[30]Lead G'!E21</f>
        <v>1679.4190263789349</v>
      </c>
      <c r="CB22" s="246">
        <f>'[30]Lead G'!F21</f>
        <v>1735.6795637626294</v>
      </c>
      <c r="CC22" s="96">
        <f t="shared" si="17"/>
        <v>56.260537383694555</v>
      </c>
      <c r="CD22" s="114">
        <f>CD21+1</f>
        <v>9</v>
      </c>
      <c r="CE22" s="183" t="s">
        <v>156</v>
      </c>
      <c r="CF22" s="183"/>
      <c r="CG22" s="316"/>
      <c r="CH22" s="316">
        <f>SUM(CG20:CG21)</f>
        <v>1328886.4751414999</v>
      </c>
      <c r="CI22" s="114">
        <f>CI21+1</f>
        <v>9</v>
      </c>
      <c r="CK22" s="114"/>
      <c r="CL22" s="311"/>
      <c r="CM22" s="114">
        <f>CM21+1</f>
        <v>9</v>
      </c>
      <c r="CN22" s="256" t="s">
        <v>254</v>
      </c>
      <c r="CO22" s="397"/>
      <c r="CP22" s="458">
        <f>CO21/5</f>
        <v>-10053544.927999999</v>
      </c>
      <c r="CQ22" s="114">
        <v>9</v>
      </c>
      <c r="CR22" s="314" t="s">
        <v>350</v>
      </c>
      <c r="CS22" s="359">
        <f>SUM(CS20:CS21)</f>
        <v>0</v>
      </c>
      <c r="CT22" s="359">
        <f>SUM(CT20:CT21)</f>
        <v>3577029.6203889381</v>
      </c>
      <c r="CU22" s="359">
        <f>SUM(CU20:CU21)</f>
        <v>3577029.6203889381</v>
      </c>
      <c r="CV22" s="114">
        <f t="shared" si="9"/>
        <v>9</v>
      </c>
      <c r="CW22" s="421" t="s">
        <v>367</v>
      </c>
      <c r="CX22" s="80">
        <f>'[36]Lead G'!$D$22</f>
        <v>-2316.6504655321942</v>
      </c>
      <c r="CY22" s="80"/>
      <c r="CZ22" s="282">
        <f t="shared" si="21"/>
        <v>2316.6504655321942</v>
      </c>
      <c r="DF22" s="423"/>
      <c r="DG22" s="314"/>
      <c r="DH22" s="314"/>
      <c r="DI22" s="314"/>
      <c r="DJ22" s="314"/>
      <c r="DK22" s="423"/>
      <c r="DL22" s="314"/>
      <c r="DM22" s="314"/>
      <c r="DN22" s="314"/>
      <c r="DO22" s="314"/>
      <c r="DP22" s="423"/>
      <c r="DQ22" s="314"/>
      <c r="DR22" s="314"/>
      <c r="DS22" s="314"/>
      <c r="DT22" s="314"/>
      <c r="EO22" s="246"/>
    </row>
    <row r="23" spans="1:145" s="300" customFormat="1" ht="13.5" thickBot="1">
      <c r="A23" s="114">
        <f t="shared" si="10"/>
        <v>10</v>
      </c>
      <c r="B23" s="268" t="s">
        <v>283</v>
      </c>
      <c r="C23" s="256"/>
      <c r="D23" s="332">
        <f>'[26]Lead G'!$D$24</f>
        <v>28151.220000000005</v>
      </c>
      <c r="E23" s="256"/>
      <c r="F23" s="114">
        <f t="shared" si="0"/>
        <v>10</v>
      </c>
      <c r="G23" s="468">
        <v>42461</v>
      </c>
      <c r="H23" s="308">
        <f>'[37]Lead G'!$C$22</f>
        <v>72229905.327999994</v>
      </c>
      <c r="I23" s="308">
        <f>'[37]Lead G'!$D$22</f>
        <v>91155981.327999994</v>
      </c>
      <c r="J23" s="229">
        <f t="shared" si="20"/>
        <v>18926076</v>
      </c>
      <c r="L23" s="241">
        <f t="shared" si="11"/>
        <v>10</v>
      </c>
      <c r="M23" s="314" t="s">
        <v>242</v>
      </c>
      <c r="N23" s="17"/>
      <c r="O23" s="257">
        <f>'[27]Lead G'!$E$17</f>
        <v>40067188.970000006</v>
      </c>
      <c r="P23" s="114">
        <f t="shared" si="24"/>
        <v>10</v>
      </c>
      <c r="Q23" s="300" t="s">
        <v>272</v>
      </c>
      <c r="R23" s="300" t="s">
        <v>18</v>
      </c>
      <c r="T23" s="259"/>
      <c r="U23" s="114">
        <f t="shared" si="13"/>
        <v>10</v>
      </c>
      <c r="V23" s="300" t="s">
        <v>93</v>
      </c>
      <c r="W23" s="248">
        <f>kp_FEDERAL_INCOME_TAX</f>
        <v>0.35</v>
      </c>
      <c r="X23" s="330">
        <f>X21*W23</f>
        <v>-18255976.517619833</v>
      </c>
      <c r="Y23" s="114">
        <f>Y22+1</f>
        <v>10</v>
      </c>
      <c r="Z23" s="237"/>
      <c r="AA23" s="261"/>
      <c r="AB23" s="332"/>
      <c r="AC23" s="137"/>
      <c r="AD23" s="114"/>
      <c r="AE23" s="256"/>
      <c r="AF23" s="329"/>
      <c r="AG23" s="329"/>
      <c r="AH23" s="254"/>
      <c r="AI23" s="41">
        <f t="shared" si="25"/>
        <v>10</v>
      </c>
      <c r="AJ23" s="300" t="s">
        <v>129</v>
      </c>
      <c r="AN23" s="320">
        <f>AO18</f>
        <v>5.1399999999999996E-3</v>
      </c>
      <c r="AP23" s="114">
        <f t="shared" si="3"/>
        <v>10</v>
      </c>
      <c r="AQ23" s="355" t="s">
        <v>68</v>
      </c>
      <c r="AR23" s="85">
        <f>+'[29]Lead G'!C21</f>
        <v>980493.18080095551</v>
      </c>
      <c r="AS23" s="85">
        <f>+'[29]Lead G'!D21</f>
        <v>899444.46564281709</v>
      </c>
      <c r="AT23" s="358">
        <f t="shared" si="14"/>
        <v>-81048.715158138424</v>
      </c>
      <c r="AU23" s="404"/>
      <c r="AV23" s="96"/>
      <c r="AW23" s="96"/>
      <c r="AX23" s="96"/>
      <c r="AY23" s="96"/>
      <c r="BE23" s="41">
        <f t="shared" si="5"/>
        <v>10</v>
      </c>
      <c r="BF23" s="13"/>
      <c r="BG23" s="261"/>
      <c r="BH23" s="184"/>
      <c r="BI23" s="161">
        <f t="shared" si="15"/>
        <v>10</v>
      </c>
      <c r="BJ23" s="256"/>
      <c r="BK23" s="256"/>
      <c r="BL23" s="332"/>
      <c r="BM23" s="24"/>
      <c r="BN23" s="24"/>
      <c r="BO23" s="24"/>
      <c r="BP23" s="24"/>
      <c r="BQ23" s="135"/>
      <c r="BR23" s="19"/>
      <c r="BS23" s="19"/>
      <c r="BT23" s="24"/>
      <c r="BU23" s="24"/>
      <c r="BV23" s="135" t="s">
        <v>18</v>
      </c>
      <c r="BW23" s="114">
        <f t="shared" si="7"/>
        <v>10</v>
      </c>
      <c r="BX23" s="355" t="s">
        <v>68</v>
      </c>
      <c r="BY23" s="13"/>
      <c r="BZ23" s="13"/>
      <c r="CA23" s="290">
        <f>'[30]Lead G'!E22</f>
        <v>13609380.119610026</v>
      </c>
      <c r="CB23" s="290">
        <f>'[30]Lead G'!F22</f>
        <v>14055710.521142324</v>
      </c>
      <c r="CC23" s="290">
        <f t="shared" si="17"/>
        <v>446330.40153229795</v>
      </c>
      <c r="CD23" s="114">
        <f t="shared" si="8"/>
        <v>10</v>
      </c>
      <c r="CE23" s="204"/>
      <c r="CF23" s="204"/>
      <c r="CG23" s="316"/>
      <c r="CH23" s="316"/>
      <c r="CI23" s="114">
        <f t="shared" si="18"/>
        <v>10</v>
      </c>
      <c r="CJ23" s="13" t="s">
        <v>61</v>
      </c>
      <c r="CK23" s="15">
        <f>kp_FEDERAL_INCOME_TAX</f>
        <v>0.35</v>
      </c>
      <c r="CL23" s="471">
        <f>-CL21*CK23</f>
        <v>-31651.398214521072</v>
      </c>
      <c r="CM23" s="114">
        <f t="shared" si="19"/>
        <v>10</v>
      </c>
      <c r="CN23" s="350"/>
      <c r="CO23" s="397"/>
      <c r="CP23" s="91"/>
      <c r="CQ23" s="114">
        <v>10</v>
      </c>
      <c r="CR23" s="314"/>
      <c r="CS23" s="397"/>
      <c r="CT23" s="397"/>
      <c r="CU23" s="397"/>
      <c r="CV23" s="114">
        <f t="shared" si="9"/>
        <v>10</v>
      </c>
      <c r="CW23" s="314" t="s">
        <v>306</v>
      </c>
      <c r="CX23" s="462">
        <f>SUM(CX16:CX22)</f>
        <v>1843491.6558223097</v>
      </c>
      <c r="CY23" s="462">
        <f>SUM(CY16:CY22)</f>
        <v>9618607.3511481173</v>
      </c>
      <c r="CZ23" s="462">
        <f>SUM(CZ16:CZ22)</f>
        <v>7775115.6953258077</v>
      </c>
      <c r="DF23" s="423"/>
      <c r="DG23" s="314"/>
      <c r="DH23" s="314"/>
      <c r="DI23" s="314"/>
      <c r="DJ23" s="314"/>
      <c r="DK23" s="423"/>
      <c r="DL23" s="314"/>
      <c r="DM23" s="314"/>
      <c r="DN23" s="314"/>
      <c r="DO23" s="314"/>
      <c r="DP23" s="423"/>
      <c r="DQ23" s="314"/>
      <c r="DR23" s="314"/>
      <c r="DS23" s="314"/>
      <c r="DT23" s="314"/>
      <c r="EO23" s="258"/>
    </row>
    <row r="24" spans="1:145" s="300" customFormat="1" ht="15.95" customHeight="1" thickTop="1" thickBot="1">
      <c r="A24" s="114">
        <f t="shared" si="10"/>
        <v>11</v>
      </c>
      <c r="B24" s="268" t="s">
        <v>284</v>
      </c>
      <c r="C24" s="256"/>
      <c r="D24" s="258">
        <f>'[26]Lead G'!$D$25</f>
        <v>-498561.63999999996</v>
      </c>
      <c r="E24" s="256"/>
      <c r="F24" s="114">
        <f t="shared" si="0"/>
        <v>11</v>
      </c>
      <c r="G24" s="468">
        <v>42491</v>
      </c>
      <c r="H24" s="308">
        <f>'[37]Lead G'!$C$23</f>
        <v>59674800.405000009</v>
      </c>
      <c r="I24" s="308">
        <f>'[37]Lead G'!$D$23</f>
        <v>68300515.404999986</v>
      </c>
      <c r="J24" s="229">
        <f t="shared" si="20"/>
        <v>8625714.9999999776</v>
      </c>
      <c r="L24" s="241">
        <f t="shared" si="11"/>
        <v>11</v>
      </c>
      <c r="M24" s="256" t="s">
        <v>243</v>
      </c>
      <c r="N24" s="17"/>
      <c r="O24" s="257">
        <f>'[27]Lead G'!$E$18</f>
        <v>367127.93</v>
      </c>
      <c r="P24" s="114">
        <f t="shared" si="24"/>
        <v>11</v>
      </c>
      <c r="Q24" s="13" t="s">
        <v>246</v>
      </c>
      <c r="R24" s="17"/>
      <c r="S24" s="68"/>
      <c r="T24" s="330"/>
      <c r="U24" s="114">
        <f t="shared" si="13"/>
        <v>11</v>
      </c>
      <c r="V24" s="300" t="s">
        <v>63</v>
      </c>
      <c r="W24" s="403"/>
      <c r="X24" s="338">
        <f>-X23</f>
        <v>18255976.517619833</v>
      </c>
      <c r="Y24" s="114">
        <f t="shared" si="22"/>
        <v>11</v>
      </c>
      <c r="Z24" s="300" t="s">
        <v>267</v>
      </c>
      <c r="AA24" s="361">
        <f>AA18+AA22</f>
        <v>133304436.681998</v>
      </c>
      <c r="AB24" s="361">
        <f>AB18+AB22</f>
        <v>113281607.98606072</v>
      </c>
      <c r="AC24" s="361">
        <f>AB24-AA24</f>
        <v>-20022828.695937276</v>
      </c>
      <c r="AD24" s="114"/>
      <c r="AE24" s="256"/>
      <c r="AF24" s="308"/>
      <c r="AG24" s="308"/>
      <c r="AH24" s="234"/>
      <c r="AI24" s="41">
        <f t="shared" ref="AI24:AI30" si="26">1+AI23</f>
        <v>11</v>
      </c>
      <c r="AJ24" s="300" t="s">
        <v>130</v>
      </c>
      <c r="AN24" s="143">
        <f>AN22*AN23</f>
        <v>4706086.471806285</v>
      </c>
      <c r="AP24" s="114">
        <f t="shared" si="3"/>
        <v>11</v>
      </c>
      <c r="AQ24" s="213" t="s">
        <v>261</v>
      </c>
      <c r="AR24" s="330">
        <f>SUM(AR15:AR23)</f>
        <v>3574098.5619701445</v>
      </c>
      <c r="AS24" s="330">
        <f>SUM(AS15:AS23)</f>
        <v>3265364.1324455617</v>
      </c>
      <c r="AT24" s="330">
        <f>+AS24-AR24</f>
        <v>-308734.42952458281</v>
      </c>
      <c r="AU24" s="257"/>
      <c r="AV24" s="257"/>
      <c r="AW24" s="257"/>
      <c r="AX24" s="257"/>
      <c r="AY24" s="257"/>
      <c r="BE24" s="41">
        <f t="shared" si="5"/>
        <v>11</v>
      </c>
      <c r="BF24" s="13" t="s">
        <v>147</v>
      </c>
      <c r="BG24" s="261"/>
      <c r="BH24" s="179">
        <f>+BH21</f>
        <v>431718.93264399999</v>
      </c>
      <c r="BI24" s="161">
        <f t="shared" si="15"/>
        <v>11</v>
      </c>
      <c r="BJ24" s="256" t="s">
        <v>393</v>
      </c>
      <c r="BK24" s="308"/>
      <c r="BL24" s="258">
        <f>BL22/36*12</f>
        <v>116306.44666666663</v>
      </c>
      <c r="BM24" s="19"/>
      <c r="BN24" s="19"/>
      <c r="BO24" s="19"/>
      <c r="BP24" s="19"/>
      <c r="BQ24" s="19"/>
      <c r="BR24" s="137"/>
      <c r="BS24" s="137"/>
      <c r="BT24" s="24"/>
      <c r="BU24" s="24"/>
      <c r="BV24" s="135" t="s">
        <v>18</v>
      </c>
      <c r="BW24" s="114">
        <f t="shared" si="7"/>
        <v>11</v>
      </c>
      <c r="BX24" s="13" t="s">
        <v>69</v>
      </c>
      <c r="BY24" s="13"/>
      <c r="BZ24" s="13"/>
      <c r="CA24" s="283">
        <f>SUM(CA14:CA23)</f>
        <v>49609037.574553519</v>
      </c>
      <c r="CB24" s="283">
        <f>SUM(CB14:CB23)</f>
        <v>51028181.085498899</v>
      </c>
      <c r="CC24" s="254">
        <f>SUM(CC14:CC23)</f>
        <v>1419143.5109453853</v>
      </c>
      <c r="CD24" s="114">
        <f t="shared" si="8"/>
        <v>11</v>
      </c>
      <c r="CE24" s="279" t="s">
        <v>157</v>
      </c>
      <c r="CF24" s="452"/>
      <c r="CG24" s="316"/>
      <c r="CH24" s="316"/>
      <c r="CI24" s="114">
        <f t="shared" si="18"/>
        <v>11</v>
      </c>
      <c r="CL24" s="74"/>
      <c r="CM24" s="114">
        <f t="shared" si="19"/>
        <v>11</v>
      </c>
      <c r="CN24" s="349" t="s">
        <v>257</v>
      </c>
      <c r="CO24" s="397"/>
      <c r="CP24" s="459">
        <f>SUM(CP17:CP22)</f>
        <v>4384951.7599999979</v>
      </c>
      <c r="CQ24" s="114">
        <v>11</v>
      </c>
      <c r="CR24" s="423" t="s">
        <v>394</v>
      </c>
      <c r="CS24" s="397"/>
      <c r="CT24" s="397"/>
      <c r="CU24" s="359">
        <f>CU16+CU22</f>
        <v>3424153.8813204383</v>
      </c>
      <c r="CV24" s="114">
        <f t="shared" si="9"/>
        <v>11</v>
      </c>
      <c r="CW24" s="314" t="s">
        <v>18</v>
      </c>
      <c r="CX24" s="80"/>
      <c r="CY24" s="258"/>
      <c r="CZ24" s="258"/>
      <c r="DF24" s="397"/>
      <c r="DG24" s="314"/>
      <c r="DH24" s="314"/>
      <c r="DI24" s="314"/>
      <c r="DJ24" s="314"/>
      <c r="DK24" s="397"/>
      <c r="DL24" s="314"/>
      <c r="DM24" s="314"/>
      <c r="DN24" s="314"/>
      <c r="DO24" s="314"/>
      <c r="DP24" s="397"/>
      <c r="DQ24" s="314"/>
      <c r="DR24" s="314"/>
      <c r="DS24" s="314"/>
      <c r="DT24" s="314"/>
      <c r="EO24" s="258"/>
    </row>
    <row r="25" spans="1:145" s="300" customFormat="1" ht="14.25" customHeight="1" thickTop="1" thickBot="1">
      <c r="A25" s="114">
        <f t="shared" si="10"/>
        <v>12</v>
      </c>
      <c r="B25" s="394" t="s">
        <v>294</v>
      </c>
      <c r="C25" s="256"/>
      <c r="D25" s="258">
        <f>'[26]Lead G'!$D$26</f>
        <v>-7451.2299999999668</v>
      </c>
      <c r="E25" s="256"/>
      <c r="F25" s="114">
        <f t="shared" si="0"/>
        <v>12</v>
      </c>
      <c r="G25" s="468">
        <v>42522</v>
      </c>
      <c r="H25" s="308">
        <f>'[37]Lead G'!$C$24</f>
        <v>50540839.056999996</v>
      </c>
      <c r="I25" s="308">
        <f>'[37]Lead G'!$D$24</f>
        <v>52674574.057000004</v>
      </c>
      <c r="J25" s="229">
        <f t="shared" si="20"/>
        <v>2133735.0000000075</v>
      </c>
      <c r="L25" s="241">
        <f t="shared" si="11"/>
        <v>12</v>
      </c>
      <c r="M25" s="17" t="s">
        <v>193</v>
      </c>
      <c r="N25" s="17"/>
      <c r="O25" s="255">
        <f>ROUND(SUM(O15:O24),0)</f>
        <v>52425199</v>
      </c>
      <c r="P25" s="114">
        <f t="shared" si="24"/>
        <v>12</v>
      </c>
      <c r="Q25" s="13" t="s">
        <v>273</v>
      </c>
      <c r="R25" s="17"/>
      <c r="S25" s="346"/>
      <c r="T25" s="330">
        <f>'[18]Lead G'!$E$24</f>
        <v>262308679.19999999</v>
      </c>
      <c r="U25" s="71"/>
      <c r="V25" s="74"/>
      <c r="W25" s="74"/>
      <c r="X25" s="74"/>
      <c r="Y25" s="114">
        <f t="shared" si="22"/>
        <v>12</v>
      </c>
      <c r="Z25" s="112"/>
      <c r="AA25" s="112"/>
      <c r="AB25" s="112"/>
      <c r="AC25" s="112"/>
      <c r="AD25" s="114"/>
      <c r="AE25" s="314"/>
      <c r="AF25" s="223"/>
      <c r="AG25" s="223"/>
      <c r="AH25" s="249"/>
      <c r="AI25" s="41">
        <f t="shared" si="26"/>
        <v>12</v>
      </c>
      <c r="AP25" s="114">
        <f t="shared" si="3"/>
        <v>12</v>
      </c>
      <c r="AQ25" s="257"/>
      <c r="AU25" s="332"/>
      <c r="AV25" s="332"/>
      <c r="AW25" s="332"/>
      <c r="AX25" s="332"/>
      <c r="AY25" s="332"/>
      <c r="BE25" s="41">
        <f t="shared" si="5"/>
        <v>12</v>
      </c>
      <c r="BF25" s="181"/>
      <c r="BG25" s="261"/>
      <c r="BH25" s="186"/>
      <c r="BI25" s="161">
        <f t="shared" si="15"/>
        <v>12</v>
      </c>
      <c r="BJ25" s="256"/>
      <c r="BK25" s="158"/>
      <c r="BL25" s="332"/>
      <c r="BM25" s="137"/>
      <c r="BN25" s="137"/>
      <c r="BO25" s="137"/>
      <c r="BP25" s="137"/>
      <c r="BQ25" s="137"/>
      <c r="BR25" s="259"/>
      <c r="BS25" s="259"/>
      <c r="BT25" s="24"/>
      <c r="BU25" s="24"/>
      <c r="BV25" s="135" t="s">
        <v>18</v>
      </c>
      <c r="BW25" s="114">
        <f t="shared" ref="BW25:BW31" si="27">BW24+1</f>
        <v>12</v>
      </c>
      <c r="CA25" s="96"/>
      <c r="CB25" s="96"/>
      <c r="CC25" s="96"/>
      <c r="CD25" s="114">
        <f t="shared" si="8"/>
        <v>12</v>
      </c>
      <c r="CE25" s="314" t="s">
        <v>158</v>
      </c>
      <c r="CF25" s="203"/>
      <c r="CG25" s="316">
        <f>'[31]Lead G'!$D$24</f>
        <v>489150.71963999997</v>
      </c>
      <c r="CH25" s="316"/>
      <c r="CI25" s="114">
        <f t="shared" si="18"/>
        <v>12</v>
      </c>
      <c r="CJ25" s="13" t="s">
        <v>62</v>
      </c>
      <c r="CL25" s="472">
        <f>-CL21-CL23</f>
        <v>-58781.168112681989</v>
      </c>
      <c r="CM25" s="114">
        <f t="shared" si="19"/>
        <v>12</v>
      </c>
      <c r="CN25" s="349"/>
      <c r="CO25" s="397"/>
      <c r="CQ25" s="114">
        <v>12</v>
      </c>
      <c r="CR25" s="423"/>
      <c r="CS25" s="397"/>
      <c r="CT25" s="397"/>
      <c r="CU25" s="397"/>
      <c r="CV25" s="114">
        <f t="shared" si="9"/>
        <v>12</v>
      </c>
      <c r="CW25" s="242" t="s">
        <v>307</v>
      </c>
      <c r="CX25" s="80"/>
      <c r="CY25" s="58"/>
      <c r="CZ25" s="58"/>
      <c r="DF25" s="397"/>
      <c r="DG25" s="397"/>
      <c r="DH25" s="397"/>
      <c r="DI25" s="397"/>
      <c r="DJ25" s="397"/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EO25" s="123"/>
    </row>
    <row r="26" spans="1:145" s="300" customFormat="1" ht="13.5" thickTop="1">
      <c r="A26" s="114">
        <f t="shared" si="10"/>
        <v>13</v>
      </c>
      <c r="B26" s="394" t="s">
        <v>376</v>
      </c>
      <c r="C26" s="256"/>
      <c r="D26" s="258">
        <f>'[26]Lead G'!$D$27</f>
        <v>-40606072.07</v>
      </c>
      <c r="E26" s="256"/>
      <c r="F26" s="114">
        <f t="shared" si="0"/>
        <v>13</v>
      </c>
      <c r="G26" s="468">
        <v>42552</v>
      </c>
      <c r="H26" s="308">
        <f>'[37]Lead G'!$C$25</f>
        <v>45432546.435000002</v>
      </c>
      <c r="I26" s="308">
        <f>'[37]Lead G'!$D$25</f>
        <v>46002541.435000002</v>
      </c>
      <c r="J26" s="229">
        <f t="shared" si="20"/>
        <v>569995</v>
      </c>
      <c r="L26" s="241">
        <f>L25+1</f>
        <v>13</v>
      </c>
      <c r="M26" s="17"/>
      <c r="N26" s="17"/>
      <c r="O26" s="17"/>
      <c r="P26" s="114">
        <f>P25+1</f>
        <v>13</v>
      </c>
      <c r="Q26" s="300" t="s">
        <v>274</v>
      </c>
      <c r="R26" s="17"/>
      <c r="S26" s="68"/>
      <c r="T26" s="257">
        <f>'[18]Lead G'!$E$25</f>
        <v>-196455256.45999998</v>
      </c>
      <c r="U26" s="397"/>
      <c r="V26" s="397"/>
      <c r="W26" s="397"/>
      <c r="X26" s="397"/>
      <c r="Y26" s="114">
        <f t="shared" si="22"/>
        <v>13</v>
      </c>
      <c r="Z26" s="405" t="s">
        <v>268</v>
      </c>
      <c r="AA26" s="330"/>
      <c r="AB26" s="330"/>
      <c r="AD26" s="406"/>
      <c r="AE26" s="314"/>
      <c r="AF26" s="223"/>
      <c r="AG26" s="223"/>
      <c r="AH26" s="308"/>
      <c r="AI26" s="41">
        <f t="shared" si="26"/>
        <v>13</v>
      </c>
      <c r="AJ26" s="13" t="s">
        <v>131</v>
      </c>
      <c r="AN26" s="325">
        <f>'[28]Lead G'!$F$27</f>
        <v>4461725.8499999996</v>
      </c>
      <c r="AP26" s="114">
        <f>AP25+1</f>
        <v>13</v>
      </c>
      <c r="AQ26" s="83" t="s">
        <v>60</v>
      </c>
      <c r="AR26" s="447">
        <f>'[29]Lead G'!$C$24</f>
        <v>220502.81398365862</v>
      </c>
      <c r="AS26" s="447">
        <f>(AS24/(AR24/AR26))</f>
        <v>201455.54673474311</v>
      </c>
      <c r="AT26" s="448">
        <f>AS26-AR26</f>
        <v>-19047.267248915508</v>
      </c>
      <c r="AZ26" s="114"/>
      <c r="BA26" s="123"/>
      <c r="BB26" s="123"/>
      <c r="BC26" s="137"/>
      <c r="BD26" s="123"/>
      <c r="BE26" s="41">
        <f>+BE25+1</f>
        <v>13</v>
      </c>
      <c r="BF26" s="181" t="s">
        <v>61</v>
      </c>
      <c r="BG26" s="187">
        <f>kp_FEDERAL_INCOME_TAX</f>
        <v>0.35</v>
      </c>
      <c r="BH26" s="449">
        <f>-BH24*BG26</f>
        <v>-151101.6264254</v>
      </c>
      <c r="BI26" s="161">
        <f>BI25+1</f>
        <v>13</v>
      </c>
      <c r="BJ26" s="300" t="s">
        <v>215</v>
      </c>
      <c r="BL26" s="333">
        <f>'[23]Lead G'!$D$26</f>
        <v>-45370.199999999983</v>
      </c>
      <c r="BM26" s="259"/>
      <c r="BN26" s="259"/>
      <c r="BO26" s="259"/>
      <c r="BP26" s="259"/>
      <c r="BQ26" s="259"/>
      <c r="BR26" s="259"/>
      <c r="BS26" s="259"/>
      <c r="BT26" s="24"/>
      <c r="BU26" s="24"/>
      <c r="BV26" s="135" t="s">
        <v>18</v>
      </c>
      <c r="BW26" s="114">
        <f t="shared" si="27"/>
        <v>13</v>
      </c>
      <c r="BX26" s="13" t="s">
        <v>124</v>
      </c>
      <c r="BY26" s="13"/>
      <c r="BZ26" s="13"/>
      <c r="CA26" s="335">
        <f>'[30]Lead G'!E25</f>
        <v>4455802.8209743248</v>
      </c>
      <c r="CB26" s="335">
        <f>'[30]Lead G'!F25</f>
        <v>4532301.5982538164</v>
      </c>
      <c r="CC26" s="334">
        <f>CB26-CA26</f>
        <v>76498.777279491536</v>
      </c>
      <c r="CD26" s="114">
        <f>CD25+1</f>
        <v>13</v>
      </c>
      <c r="CE26" s="204" t="s">
        <v>159</v>
      </c>
      <c r="CF26" s="453">
        <f>'[31]Lead G'!$C$25</f>
        <v>0.03</v>
      </c>
      <c r="CG26" s="95">
        <f>CG25*CF26</f>
        <v>14674.521589199998</v>
      </c>
      <c r="CH26" s="316"/>
      <c r="CM26" s="114">
        <f>CM25+1</f>
        <v>13</v>
      </c>
      <c r="CN26" s="351" t="s">
        <v>255</v>
      </c>
      <c r="CO26" s="15">
        <f>kp_FEDERAL_INCOME_TAX</f>
        <v>0.35</v>
      </c>
      <c r="CP26" s="471">
        <f>-CP24*CO26</f>
        <v>-1534733.1159999992</v>
      </c>
      <c r="CQ26" s="114">
        <v>13</v>
      </c>
      <c r="CR26" s="423" t="s">
        <v>59</v>
      </c>
      <c r="CS26" s="397"/>
      <c r="CT26" s="260">
        <f>kp_FEDERAL_INCOME_TAX</f>
        <v>0.35</v>
      </c>
      <c r="CU26" s="471">
        <f>-CU24*CT26</f>
        <v>-1198453.8584621532</v>
      </c>
      <c r="CV26" s="114">
        <f t="shared" si="9"/>
        <v>13</v>
      </c>
      <c r="CW26" s="314" t="s">
        <v>335</v>
      </c>
      <c r="CX26" s="457">
        <f>'[36]Lead G'!$D$26</f>
        <v>177705.85300030193</v>
      </c>
      <c r="CY26" s="457">
        <f>'[36]Lead G'!$E$26</f>
        <v>0</v>
      </c>
      <c r="CZ26" s="457">
        <f>CY26-CX26</f>
        <v>-177705.85300030193</v>
      </c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7"/>
      <c r="DT26" s="397"/>
    </row>
    <row r="27" spans="1:145" s="300" customFormat="1" ht="13.5" thickBot="1">
      <c r="A27" s="114">
        <f t="shared" si="10"/>
        <v>14</v>
      </c>
      <c r="B27" s="394" t="s">
        <v>375</v>
      </c>
      <c r="C27" s="256"/>
      <c r="D27" s="258">
        <f>'[26]Lead G'!$D$28</f>
        <v>16583944.49</v>
      </c>
      <c r="E27" s="256"/>
      <c r="F27" s="114">
        <f t="shared" si="0"/>
        <v>14</v>
      </c>
      <c r="G27" s="468">
        <v>42583</v>
      </c>
      <c r="H27" s="308">
        <f>'[37]Lead G'!$C$26</f>
        <v>44532806.316000007</v>
      </c>
      <c r="I27" s="308">
        <f>'[37]Lead G'!$D$26</f>
        <v>44532806.316</v>
      </c>
      <c r="J27" s="229">
        <f t="shared" si="20"/>
        <v>0</v>
      </c>
      <c r="L27" s="241">
        <f t="shared" si="11"/>
        <v>14</v>
      </c>
      <c r="M27" s="243" t="s">
        <v>180</v>
      </c>
      <c r="N27" s="17"/>
      <c r="O27" s="17"/>
      <c r="P27" s="114">
        <f>P26+1</f>
        <v>14</v>
      </c>
      <c r="Q27" s="300" t="s">
        <v>271</v>
      </c>
      <c r="R27" s="17"/>
      <c r="S27" s="17"/>
      <c r="T27" s="333"/>
      <c r="U27"/>
      <c r="V27"/>
      <c r="W27"/>
      <c r="X27"/>
      <c r="Y27" s="114">
        <f>Y26+1</f>
        <v>14</v>
      </c>
      <c r="Z27" s="237" t="s">
        <v>371</v>
      </c>
      <c r="AA27" s="258">
        <f>'[19]Lead G'!C25</f>
        <v>28810.3</v>
      </c>
      <c r="AB27" s="258">
        <f>'[19]Lead G'!D25</f>
        <v>25409.813093289809</v>
      </c>
      <c r="AC27" s="258">
        <f>AB27-AA27</f>
        <v>-3400.4869067101899</v>
      </c>
      <c r="AD27" s="406"/>
      <c r="AE27" s="314"/>
      <c r="AF27" s="223"/>
      <c r="AG27" s="223"/>
      <c r="AH27" s="308"/>
      <c r="AI27" s="41">
        <f t="shared" si="26"/>
        <v>14</v>
      </c>
      <c r="AJ27" s="299" t="s">
        <v>56</v>
      </c>
      <c r="AO27" s="330">
        <f>ROUND(AN24-AN26,0)</f>
        <v>244361</v>
      </c>
      <c r="AP27" s="114">
        <f t="shared" si="3"/>
        <v>14</v>
      </c>
      <c r="AQ27" s="300" t="s">
        <v>57</v>
      </c>
      <c r="AR27" s="359">
        <f>SUM(AR24:AR26)</f>
        <v>3794601.3759538033</v>
      </c>
      <c r="AS27" s="359">
        <f>SUM(AS24:AS26)</f>
        <v>3466819.679180305</v>
      </c>
      <c r="AT27" s="359">
        <f>SUM(AT24:AT26)</f>
        <v>-327781.69677349832</v>
      </c>
      <c r="AZ27" s="114"/>
      <c r="BA27" s="123"/>
      <c r="BB27" s="123"/>
      <c r="BC27" s="258"/>
      <c r="BD27" s="123"/>
      <c r="BE27" s="41">
        <f t="shared" si="5"/>
        <v>14</v>
      </c>
      <c r="BF27" s="181" t="s">
        <v>62</v>
      </c>
      <c r="BG27" s="261"/>
      <c r="BH27" s="216">
        <f>-BH24-BH26</f>
        <v>-280617.30621860002</v>
      </c>
      <c r="BI27" s="161">
        <f t="shared" si="15"/>
        <v>14</v>
      </c>
      <c r="BL27" s="330"/>
      <c r="BM27" s="259"/>
      <c r="BN27" s="259"/>
      <c r="BO27" s="259"/>
      <c r="BP27" s="259"/>
      <c r="BQ27" s="139"/>
      <c r="BR27" s="137"/>
      <c r="BS27" s="137"/>
      <c r="BT27" s="137"/>
      <c r="BU27" s="137"/>
      <c r="BW27" s="114">
        <f t="shared" si="27"/>
        <v>14</v>
      </c>
      <c r="BX27" s="13" t="s">
        <v>86</v>
      </c>
      <c r="BY27" s="13"/>
      <c r="BZ27" s="13"/>
      <c r="CA27" s="254">
        <f>+CA26+CA24</f>
        <v>54064840.395527847</v>
      </c>
      <c r="CB27" s="254">
        <f>+CB26+CB24</f>
        <v>55560482.683752716</v>
      </c>
      <c r="CC27" s="254">
        <f>CB27-CA27</f>
        <v>1495642.2882248685</v>
      </c>
      <c r="CD27" s="114">
        <f t="shared" si="8"/>
        <v>14</v>
      </c>
      <c r="CE27" s="183" t="s">
        <v>160</v>
      </c>
      <c r="CF27" s="183"/>
      <c r="CG27" s="316"/>
      <c r="CH27" s="336">
        <f>SUM(CG25:CG26)</f>
        <v>503825.24122919998</v>
      </c>
      <c r="CI27" s="404"/>
      <c r="CM27" s="114">
        <f t="shared" si="19"/>
        <v>14</v>
      </c>
      <c r="CN27" s="352"/>
      <c r="CP27" s="74"/>
      <c r="CQ27" s="114">
        <v>14</v>
      </c>
      <c r="CR27" s="423"/>
      <c r="CS27" s="397"/>
      <c r="CT27" s="397"/>
      <c r="CU27" s="74"/>
      <c r="CV27" s="114">
        <f t="shared" si="9"/>
        <v>14</v>
      </c>
      <c r="CW27" s="314" t="s">
        <v>308</v>
      </c>
      <c r="CX27" s="354">
        <f>'[36]Lead G'!$D$27</f>
        <v>25547.529515152495</v>
      </c>
      <c r="CY27" s="354">
        <f>'[36]Lead G'!$E$27</f>
        <v>49829.795145332253</v>
      </c>
      <c r="CZ27" s="354">
        <f t="shared" ref="CZ27:CZ29" si="28">CY27-CX27</f>
        <v>24282.265630179758</v>
      </c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</row>
    <row r="28" spans="1:145" s="300" customFormat="1" ht="14.25" customHeight="1" thickTop="1" thickBot="1">
      <c r="A28" s="114">
        <f t="shared" si="10"/>
        <v>15</v>
      </c>
      <c r="B28" s="394" t="s">
        <v>282</v>
      </c>
      <c r="C28" s="256"/>
      <c r="D28" s="258">
        <f>'[26]Lead G'!$D$29</f>
        <v>129801.18999999948</v>
      </c>
      <c r="E28" s="256"/>
      <c r="F28" s="114">
        <f t="shared" si="0"/>
        <v>15</v>
      </c>
      <c r="G28" s="468">
        <v>42614</v>
      </c>
      <c r="H28" s="308">
        <f>'[37]Lead G'!$C$27</f>
        <v>51851549.111000001</v>
      </c>
      <c r="I28" s="308">
        <f>'[37]Lead G'!$D$27</f>
        <v>52069111.110999994</v>
      </c>
      <c r="J28" s="385">
        <f t="shared" si="20"/>
        <v>217561.99999999255</v>
      </c>
      <c r="L28" s="241">
        <f t="shared" si="11"/>
        <v>15</v>
      </c>
      <c r="M28" s="23" t="s">
        <v>111</v>
      </c>
      <c r="N28" s="321">
        <f>'Exh. BGM-4 (3) Param'!O14</f>
        <v>5.1399999999999996E-3</v>
      </c>
      <c r="O28" s="329">
        <f>-ROUND($O$25*N28,0)</f>
        <v>-269466</v>
      </c>
      <c r="P28" s="114">
        <f t="shared" si="24"/>
        <v>15</v>
      </c>
      <c r="Q28" s="66" t="s">
        <v>18</v>
      </c>
      <c r="R28" s="17"/>
      <c r="S28" s="17"/>
      <c r="T28" s="225"/>
      <c r="U28"/>
      <c r="V28"/>
      <c r="W28"/>
      <c r="X28"/>
      <c r="Y28" s="114">
        <f t="shared" si="22"/>
        <v>15</v>
      </c>
      <c r="Z28" s="237" t="s">
        <v>372</v>
      </c>
      <c r="AA28" s="85">
        <f>'[19]Lead G'!C26</f>
        <v>4852.6339200000002</v>
      </c>
      <c r="AB28" s="85">
        <f>'[19]Lead G'!D26</f>
        <v>0</v>
      </c>
      <c r="AC28" s="85">
        <f>AB28-AA28</f>
        <v>-4852.6339200000002</v>
      </c>
      <c r="AD28" s="114"/>
      <c r="AE28" s="314"/>
      <c r="AF28" s="223"/>
      <c r="AG28" s="24"/>
      <c r="AH28" s="308"/>
      <c r="AI28" s="41">
        <f t="shared" si="26"/>
        <v>15</v>
      </c>
      <c r="AJ28" s="146"/>
      <c r="AP28" s="114">
        <f t="shared" si="3"/>
        <v>15</v>
      </c>
      <c r="AR28" s="257"/>
      <c r="AS28" s="257"/>
      <c r="AT28" s="257"/>
      <c r="AZ28" s="71"/>
      <c r="BA28" s="44"/>
      <c r="BB28" s="44"/>
      <c r="BC28" s="188"/>
      <c r="BD28" s="188"/>
      <c r="BE28" s="41"/>
      <c r="BF28" s="257"/>
      <c r="BG28" s="257"/>
      <c r="BH28" s="257"/>
      <c r="BI28" s="161">
        <f t="shared" si="15"/>
        <v>15</v>
      </c>
      <c r="BJ28" s="299" t="s">
        <v>56</v>
      </c>
      <c r="BL28" s="332">
        <f>BL24-BL26</f>
        <v>161676.64666666661</v>
      </c>
      <c r="BM28" s="137"/>
      <c r="BN28" s="137"/>
      <c r="BO28" s="137"/>
      <c r="BP28" s="137"/>
      <c r="BQ28" s="137"/>
      <c r="BR28" s="74"/>
      <c r="BS28" s="74"/>
      <c r="BT28" s="74"/>
      <c r="BU28" s="74"/>
      <c r="BV28" s="74"/>
      <c r="BW28" s="114">
        <f t="shared" si="27"/>
        <v>15</v>
      </c>
      <c r="BX28" s="13"/>
      <c r="BY28" s="13"/>
      <c r="BZ28" s="13"/>
      <c r="CA28" s="68"/>
      <c r="CB28" s="68"/>
      <c r="CC28" s="68"/>
      <c r="CD28" s="114">
        <f t="shared" si="8"/>
        <v>15</v>
      </c>
      <c r="CE28" s="204"/>
      <c r="CF28" s="204"/>
      <c r="CG28" s="316"/>
      <c r="CH28" s="316"/>
      <c r="CM28" s="114">
        <f t="shared" si="19"/>
        <v>15</v>
      </c>
      <c r="CN28" s="352" t="s">
        <v>63</v>
      </c>
      <c r="CP28" s="472">
        <f>-CP24-CP26</f>
        <v>-2850218.6439999985</v>
      </c>
      <c r="CQ28" s="114">
        <v>15</v>
      </c>
      <c r="CR28" s="423" t="s">
        <v>63</v>
      </c>
      <c r="CS28" s="397"/>
      <c r="CT28" s="397"/>
      <c r="CU28" s="472">
        <f>-CU24-CU26</f>
        <v>-2225700.0228582853</v>
      </c>
      <c r="CV28" s="114">
        <f t="shared" si="9"/>
        <v>15</v>
      </c>
      <c r="CW28" s="314" t="s">
        <v>340</v>
      </c>
      <c r="CX28" s="354">
        <f>'[36]Lead G'!$D$28</f>
        <v>-19318.805121985963</v>
      </c>
      <c r="CY28" s="354">
        <f>'[36]Lead G'!$E$28</f>
        <v>0</v>
      </c>
      <c r="CZ28" s="354">
        <f t="shared" si="28"/>
        <v>19318.805121985963</v>
      </c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EO28" s="74"/>
    </row>
    <row r="29" spans="1:145" s="74" customFormat="1" ht="13.5" thickTop="1">
      <c r="A29" s="114">
        <f t="shared" si="10"/>
        <v>16</v>
      </c>
      <c r="B29" s="394" t="s">
        <v>319</v>
      </c>
      <c r="C29" s="256"/>
      <c r="D29" s="258">
        <f>'[26]Lead G'!$D$30</f>
        <v>53666.38</v>
      </c>
      <c r="E29" s="256"/>
      <c r="F29" s="114">
        <f t="shared" si="0"/>
        <v>16</v>
      </c>
      <c r="G29" s="256"/>
      <c r="H29" s="301">
        <f>ROUND(SUM(H17:H28),0)</f>
        <v>1059546271</v>
      </c>
      <c r="I29" s="301">
        <f>ROUND(SUM(I17:I28),0)</f>
        <v>1142550752</v>
      </c>
      <c r="J29" s="301">
        <f>ROUND(SUM(J17:J28),0)</f>
        <v>83004481</v>
      </c>
      <c r="K29" s="300"/>
      <c r="L29" s="241">
        <f t="shared" si="11"/>
        <v>16</v>
      </c>
      <c r="M29" s="17" t="s">
        <v>194</v>
      </c>
      <c r="N29" s="321">
        <f>'Exh. BGM-4 (3) Param'!O15</f>
        <v>2E-3</v>
      </c>
      <c r="O29" s="246">
        <f>-ROUND($O$25*N29,0)</f>
        <v>-104850</v>
      </c>
      <c r="P29" s="114">
        <f t="shared" si="24"/>
        <v>16</v>
      </c>
      <c r="Q29" s="74" t="s">
        <v>275</v>
      </c>
      <c r="R29" s="97"/>
      <c r="S29" s="310"/>
      <c r="T29" s="98">
        <f>SUM(T24:T28)</f>
        <v>65853422.74000001</v>
      </c>
      <c r="U29"/>
      <c r="V29"/>
      <c r="W29"/>
      <c r="X29"/>
      <c r="Y29" s="114">
        <f t="shared" si="22"/>
        <v>16</v>
      </c>
      <c r="Z29" s="237" t="s">
        <v>373</v>
      </c>
      <c r="AA29" s="330">
        <f>SUM(AA27:AA28)</f>
        <v>33662.933919999996</v>
      </c>
      <c r="AB29" s="330">
        <f>SUM(AB27:AB28)</f>
        <v>25409.813093289809</v>
      </c>
      <c r="AC29" s="330">
        <f>SUM(AC27:AC28)</f>
        <v>-8253.1208267101902</v>
      </c>
      <c r="AD29" s="114"/>
      <c r="AE29" s="314"/>
      <c r="AF29" s="223"/>
      <c r="AG29" s="223"/>
      <c r="AH29" s="249"/>
      <c r="AI29" s="41">
        <f t="shared" si="26"/>
        <v>16</v>
      </c>
      <c r="AJ29" s="299" t="s">
        <v>109</v>
      </c>
      <c r="AK29" s="300"/>
      <c r="AL29" s="300"/>
      <c r="AM29" s="300"/>
      <c r="AN29" s="15">
        <v>0.35</v>
      </c>
      <c r="AO29" s="79">
        <f>ROUND(-AO27*AN29,0)</f>
        <v>-85526</v>
      </c>
      <c r="AP29" s="114">
        <f t="shared" si="3"/>
        <v>16</v>
      </c>
      <c r="AQ29" s="13" t="s">
        <v>61</v>
      </c>
      <c r="AR29" s="257"/>
      <c r="AS29" s="248">
        <f>kp_FEDERAL_INCOME_TAX</f>
        <v>0.35</v>
      </c>
      <c r="AT29" s="85">
        <f>-AT27*AS29</f>
        <v>114723.59387072441</v>
      </c>
      <c r="AZ29" s="114"/>
      <c r="BA29" s="44"/>
      <c r="BB29" s="44"/>
      <c r="BC29" s="44"/>
      <c r="BD29" s="137"/>
      <c r="BE29" s="41"/>
      <c r="BF29" s="257"/>
      <c r="BG29" s="257"/>
      <c r="BH29" s="257"/>
      <c r="BI29" s="161">
        <f t="shared" si="15"/>
        <v>16</v>
      </c>
      <c r="BJ29" s="200"/>
      <c r="BK29" s="200"/>
      <c r="BL29" s="332"/>
      <c r="BR29" s="300"/>
      <c r="BS29" s="300"/>
      <c r="BT29" s="300"/>
      <c r="BU29" s="300"/>
      <c r="BV29" s="300"/>
      <c r="BW29" s="114">
        <f t="shared" si="27"/>
        <v>16</v>
      </c>
      <c r="BX29" s="72" t="s">
        <v>126</v>
      </c>
      <c r="BY29" s="72"/>
      <c r="BZ29" s="72"/>
      <c r="CA29" s="70"/>
      <c r="CB29" s="70"/>
      <c r="CC29" s="288">
        <f>CC27</f>
        <v>1495642.2882248685</v>
      </c>
      <c r="CD29" s="114">
        <f t="shared" si="8"/>
        <v>16</v>
      </c>
      <c r="CE29" s="280" t="s">
        <v>34</v>
      </c>
      <c r="CF29" s="454"/>
      <c r="CG29" s="316"/>
      <c r="CH29" s="316"/>
      <c r="CM29" s="114"/>
      <c r="CQ29" s="397"/>
      <c r="CR29" s="397"/>
      <c r="CS29" s="397"/>
      <c r="CT29" s="397"/>
      <c r="CU29" s="397"/>
      <c r="CV29" s="114">
        <f t="shared" si="9"/>
        <v>16</v>
      </c>
      <c r="CW29" s="314" t="s">
        <v>336</v>
      </c>
      <c r="CX29" s="354">
        <f>'[36]Lead G'!$D$29</f>
        <v>192123.35699999999</v>
      </c>
      <c r="CY29" s="354">
        <f>'[36]Lead G'!$E$29</f>
        <v>0</v>
      </c>
      <c r="CZ29" s="354">
        <f t="shared" si="28"/>
        <v>-192123.35699999999</v>
      </c>
      <c r="DF29" s="397"/>
      <c r="DG29"/>
      <c r="DH29"/>
      <c r="DI29"/>
      <c r="DJ29"/>
      <c r="DK29" s="397"/>
      <c r="DL29"/>
      <c r="DM29"/>
      <c r="DN29"/>
      <c r="DO29"/>
      <c r="DP29" s="397"/>
      <c r="DQ29"/>
      <c r="DR29"/>
      <c r="DS29"/>
      <c r="DT29"/>
      <c r="EO29" s="300"/>
    </row>
    <row r="30" spans="1:145" s="300" customFormat="1" ht="28.15" customHeight="1" thickBot="1">
      <c r="A30" s="114">
        <f t="shared" si="10"/>
        <v>17</v>
      </c>
      <c r="B30" s="256" t="s">
        <v>187</v>
      </c>
      <c r="C30" s="199"/>
      <c r="D30" s="442">
        <f>SUM(D23:D29)</f>
        <v>-24316521.66</v>
      </c>
      <c r="E30" s="330">
        <f>SUM(D23:D29)</f>
        <v>-24316521.66</v>
      </c>
      <c r="F30" s="114">
        <f t="shared" si="0"/>
        <v>17</v>
      </c>
      <c r="G30" s="256" t="s">
        <v>172</v>
      </c>
      <c r="H30" s="158"/>
      <c r="I30" s="309"/>
      <c r="J30" s="256"/>
      <c r="L30" s="241">
        <f t="shared" si="11"/>
        <v>17</v>
      </c>
      <c r="M30" s="17" t="s">
        <v>195</v>
      </c>
      <c r="N30" s="321">
        <f>'Exh. BGM-4 (3) Param'!O16</f>
        <v>3.8322000000000002E-2</v>
      </c>
      <c r="O30" s="246">
        <f>-ROUND($O$25*N30,0)</f>
        <v>-2009038</v>
      </c>
      <c r="P30" s="114">
        <f t="shared" si="24"/>
        <v>17</v>
      </c>
      <c r="Q30" s="300" t="s">
        <v>18</v>
      </c>
      <c r="S30" s="202"/>
      <c r="T30" s="332" t="s">
        <v>18</v>
      </c>
      <c r="U30"/>
      <c r="V30"/>
      <c r="W30"/>
      <c r="X30"/>
      <c r="Y30" s="114">
        <f t="shared" si="22"/>
        <v>17</v>
      </c>
      <c r="Z30" s="236"/>
      <c r="AA30" s="332"/>
      <c r="AB30" s="332"/>
      <c r="AC30" s="332"/>
      <c r="AD30" s="114"/>
      <c r="AE30" s="314"/>
      <c r="AF30" s="223"/>
      <c r="AG30" s="223"/>
      <c r="AH30" s="308"/>
      <c r="AI30" s="41">
        <f t="shared" si="26"/>
        <v>17</v>
      </c>
      <c r="AJ30" s="299" t="s">
        <v>63</v>
      </c>
      <c r="AO30" s="338">
        <f>-AO27-AO29</f>
        <v>-158835</v>
      </c>
      <c r="AP30" s="114">
        <f t="shared" si="3"/>
        <v>17</v>
      </c>
      <c r="AQ30" s="13" t="s">
        <v>62</v>
      </c>
      <c r="AR30" s="13"/>
      <c r="AT30" s="338">
        <f>-AT27-AT29</f>
        <v>213058.10290277391</v>
      </c>
      <c r="AZ30" s="114"/>
      <c r="BA30" s="123"/>
      <c r="BB30" s="123"/>
      <c r="BC30" s="123"/>
      <c r="BD30" s="123"/>
      <c r="BE30" s="41"/>
      <c r="BF30" s="257"/>
      <c r="BG30" s="257"/>
      <c r="BH30" s="257"/>
      <c r="BI30" s="161">
        <f>BI29+1</f>
        <v>17</v>
      </c>
      <c r="BJ30" s="300" t="s">
        <v>152</v>
      </c>
      <c r="BK30" s="332"/>
      <c r="BL30" s="85">
        <f>-BL28*35%</f>
        <v>-56586.826333333309</v>
      </c>
      <c r="BQ30" s="259"/>
      <c r="BW30" s="114">
        <f t="shared" si="27"/>
        <v>17</v>
      </c>
      <c r="BX30" s="13" t="s">
        <v>109</v>
      </c>
      <c r="BY30" s="13" t="s">
        <v>125</v>
      </c>
      <c r="BZ30" s="130">
        <f>kp_FEDERAL_INCOME_TAX</f>
        <v>0.35</v>
      </c>
      <c r="CA30" s="68"/>
      <c r="CB30" s="68"/>
      <c r="CC30" s="290">
        <f>-CC29*BZ30</f>
        <v>-523474.80087870394</v>
      </c>
      <c r="CD30" s="114">
        <f t="shared" si="8"/>
        <v>17</v>
      </c>
      <c r="CE30" s="206" t="s">
        <v>204</v>
      </c>
      <c r="CF30" s="203"/>
      <c r="CG30" s="316"/>
      <c r="CH30" s="316">
        <f>+CH17+CH22+CH27</f>
        <v>5566632.7477792678</v>
      </c>
      <c r="CL30" s="139"/>
      <c r="CM30" s="114"/>
      <c r="CP30" s="139"/>
      <c r="CQ30" s="74"/>
      <c r="CR30" s="74"/>
      <c r="CS30" s="74"/>
      <c r="CT30" s="74"/>
      <c r="CU30" s="74"/>
      <c r="CV30" s="114">
        <f t="shared" si="9"/>
        <v>17</v>
      </c>
      <c r="CW30" s="269" t="s">
        <v>56</v>
      </c>
      <c r="CX30" s="460">
        <f>SUM(CX26:CX29)</f>
        <v>376057.93439346843</v>
      </c>
      <c r="CY30" s="460">
        <f>SUM(CY26:CY29)</f>
        <v>49829.795145332253</v>
      </c>
      <c r="CZ30" s="460">
        <f>SUM(CZ26:CZ29)</f>
        <v>-326228.1392481362</v>
      </c>
      <c r="DF30" s="397"/>
      <c r="DG30"/>
      <c r="DH30"/>
      <c r="DI30"/>
      <c r="DJ30"/>
      <c r="DK30" s="397"/>
      <c r="DL30"/>
      <c r="DM30"/>
      <c r="DN30"/>
      <c r="DO30"/>
      <c r="DP30" s="397"/>
      <c r="DQ30"/>
      <c r="DR30"/>
      <c r="DS30"/>
      <c r="DT30"/>
    </row>
    <row r="31" spans="1:145" s="300" customFormat="1" ht="29.45" customHeight="1" thickTop="1" thickBot="1">
      <c r="A31" s="114">
        <f t="shared" si="10"/>
        <v>18</v>
      </c>
      <c r="B31" s="228"/>
      <c r="C31" s="228"/>
      <c r="D31" s="258"/>
      <c r="E31" s="327"/>
      <c r="F31" s="114">
        <f t="shared" si="0"/>
        <v>18</v>
      </c>
      <c r="G31" s="13" t="s">
        <v>320</v>
      </c>
      <c r="I31" s="257"/>
      <c r="J31" s="332">
        <f>'[37]Lead G'!$E$30</f>
        <v>44523855</v>
      </c>
      <c r="K31" s="256"/>
      <c r="L31" s="241">
        <f>L30+1</f>
        <v>18</v>
      </c>
      <c r="M31" s="17" t="s">
        <v>147</v>
      </c>
      <c r="N31" s="286">
        <f>SUM(N28:N30)</f>
        <v>4.5462000000000002E-2</v>
      </c>
      <c r="O31" s="255">
        <f>SUM(O28:O30)</f>
        <v>-2383354</v>
      </c>
      <c r="P31" s="114">
        <f>P30+1</f>
        <v>18</v>
      </c>
      <c r="Q31" s="13" t="s">
        <v>276</v>
      </c>
      <c r="R31" s="13"/>
      <c r="S31" s="13"/>
      <c r="T31" s="332">
        <f>T17-T24</f>
        <v>26587825.211927671</v>
      </c>
      <c r="U31"/>
      <c r="V31"/>
      <c r="W31"/>
      <c r="X31"/>
      <c r="Y31" s="114">
        <f t="shared" si="22"/>
        <v>18</v>
      </c>
      <c r="Z31" s="236" t="s">
        <v>374</v>
      </c>
      <c r="AA31" s="332">
        <f>'[19]Lead G'!$C$29</f>
        <v>408687.72001800023</v>
      </c>
      <c r="AB31" s="332">
        <f>'[19]Lead G'!$D$29</f>
        <v>171927.16944286184</v>
      </c>
      <c r="AC31" s="332">
        <f>AB31-AA31</f>
        <v>-236760.55057513839</v>
      </c>
      <c r="AD31" s="114"/>
      <c r="AE31" s="314"/>
      <c r="AF31" s="223"/>
      <c r="AG31" s="223"/>
      <c r="AH31" s="308"/>
      <c r="AN31" s="321"/>
      <c r="AP31" s="114"/>
      <c r="BE31" s="41"/>
      <c r="BF31" s="257"/>
      <c r="BG31" s="257"/>
      <c r="BH31" s="257"/>
      <c r="BI31" s="161">
        <f>BI30+1</f>
        <v>18</v>
      </c>
      <c r="BL31" s="301"/>
      <c r="BO31" s="254"/>
      <c r="BP31" s="111"/>
      <c r="BQ31" s="259"/>
      <c r="BW31" s="114">
        <f t="shared" si="27"/>
        <v>18</v>
      </c>
      <c r="BX31" s="13" t="s">
        <v>63</v>
      </c>
      <c r="BY31" s="13"/>
      <c r="BZ31" s="13"/>
      <c r="CC31" s="338">
        <f>-CC29-CC30</f>
        <v>-972167.48734616453</v>
      </c>
      <c r="CD31" s="114">
        <f>CD30+1</f>
        <v>18</v>
      </c>
      <c r="CE31" s="206" t="s">
        <v>92</v>
      </c>
      <c r="CF31" s="15">
        <f>'[31]Lead G'!$C$30</f>
        <v>0.54659120593235488</v>
      </c>
      <c r="CG31" s="316"/>
      <c r="CH31" s="316">
        <f>+CH30*CF31</f>
        <v>3042672.5065912083</v>
      </c>
      <c r="CM31" s="114"/>
      <c r="CQ31" s="397"/>
      <c r="CR31" s="397"/>
      <c r="CS31" s="397"/>
      <c r="CT31" s="397"/>
      <c r="CU31" s="397"/>
      <c r="CV31" s="114">
        <f t="shared" si="9"/>
        <v>18</v>
      </c>
      <c r="CW31" s="397"/>
      <c r="CX31" s="397"/>
      <c r="CY31" s="397"/>
      <c r="CZ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</row>
    <row r="32" spans="1:145" s="300" customFormat="1" ht="15" customHeight="1" thickTop="1" thickBot="1">
      <c r="A32" s="114">
        <f t="shared" si="10"/>
        <v>19</v>
      </c>
      <c r="B32" s="256" t="s">
        <v>188</v>
      </c>
      <c r="C32" s="228"/>
      <c r="D32" s="332"/>
      <c r="E32" s="332">
        <f>SUM(E15:E31)</f>
        <v>-79032350.559718221</v>
      </c>
      <c r="F32" s="114">
        <f t="shared" si="0"/>
        <v>19</v>
      </c>
      <c r="G32" s="13" t="s">
        <v>321</v>
      </c>
      <c r="I32" s="257"/>
      <c r="J32" s="308">
        <f>'[37]Lead G'!$E$31</f>
        <v>11244974.079640001</v>
      </c>
      <c r="K32" s="256"/>
      <c r="L32" s="241">
        <f t="shared" si="11"/>
        <v>19</v>
      </c>
      <c r="M32" s="17"/>
      <c r="N32" s="17"/>
      <c r="O32" s="17"/>
      <c r="P32" s="114">
        <f t="shared" si="24"/>
        <v>19</v>
      </c>
      <c r="Q32" s="13" t="s">
        <v>277</v>
      </c>
      <c r="T32" s="246">
        <f>T18-T25-T26</f>
        <v>-27288647.120000005</v>
      </c>
      <c r="U32"/>
      <c r="V32"/>
      <c r="W32"/>
      <c r="X32"/>
      <c r="Y32" s="114">
        <f t="shared" si="22"/>
        <v>19</v>
      </c>
      <c r="Z32" s="236"/>
      <c r="AA32" s="332"/>
      <c r="AB32" s="332"/>
      <c r="AC32" s="332"/>
      <c r="AD32" s="114"/>
      <c r="AE32" s="278"/>
      <c r="AF32" s="223"/>
      <c r="AG32" s="223"/>
      <c r="AH32" s="308"/>
      <c r="AP32" s="114"/>
      <c r="BE32" s="41"/>
      <c r="BF32" s="257"/>
      <c r="BG32" s="257"/>
      <c r="BH32" s="257"/>
      <c r="BI32" s="161">
        <f>BI31+1</f>
        <v>19</v>
      </c>
      <c r="BJ32" s="300" t="s">
        <v>63</v>
      </c>
      <c r="BL32" s="253">
        <f>-BL28-BL30</f>
        <v>-105089.82033333331</v>
      </c>
      <c r="BO32" s="14"/>
      <c r="BP32" s="111"/>
      <c r="BQ32" s="259"/>
      <c r="CD32" s="114">
        <f>CD31+1</f>
        <v>19</v>
      </c>
      <c r="CE32" s="314" t="s">
        <v>366</v>
      </c>
      <c r="CG32" s="316"/>
      <c r="CH32" s="95">
        <f>(CG15+CG20+CG25)*CF31</f>
        <v>2963537.0187157015</v>
      </c>
      <c r="CQ32" s="397"/>
      <c r="CR32" s="397"/>
      <c r="CS32" s="397"/>
      <c r="CT32" s="397"/>
      <c r="CU32" s="397"/>
      <c r="CV32" s="114">
        <f t="shared" si="9"/>
        <v>19</v>
      </c>
      <c r="CW32" s="269" t="s">
        <v>59</v>
      </c>
      <c r="CX32" s="397"/>
      <c r="CY32" s="260">
        <f>kp_FEDERAL_INCOME_TAX</f>
        <v>0.35</v>
      </c>
      <c r="CZ32" s="471">
        <f>-CZ30*CY32</f>
        <v>114179.84873684766</v>
      </c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</row>
    <row r="33" spans="1:145" s="300" customFormat="1" ht="13.5" thickTop="1">
      <c r="A33" s="114">
        <f t="shared" si="10"/>
        <v>20</v>
      </c>
      <c r="B33" s="256"/>
      <c r="C33" s="228"/>
      <c r="D33" s="332"/>
      <c r="E33" s="258"/>
      <c r="F33" s="114">
        <f t="shared" si="0"/>
        <v>20</v>
      </c>
      <c r="G33" s="13" t="s">
        <v>322</v>
      </c>
      <c r="I33" s="257"/>
      <c r="J33" s="308">
        <f>'[37]Lead G'!$E$32</f>
        <v>1860803.7289885674</v>
      </c>
      <c r="K33" s="256"/>
      <c r="L33" s="241">
        <f t="shared" si="11"/>
        <v>20</v>
      </c>
      <c r="M33" s="243" t="s">
        <v>196</v>
      </c>
      <c r="N33" s="17"/>
      <c r="O33" s="17"/>
      <c r="P33" s="114">
        <f t="shared" ref="P33:P34" si="29">P32+1</f>
        <v>20</v>
      </c>
      <c r="Q33" s="300" t="s">
        <v>278</v>
      </c>
      <c r="T33" s="257">
        <v>0</v>
      </c>
      <c r="U33"/>
      <c r="V33"/>
      <c r="W33"/>
      <c r="X33"/>
      <c r="Y33" s="114">
        <f t="shared" si="22"/>
        <v>20</v>
      </c>
      <c r="Z33" s="236"/>
      <c r="AA33" s="332"/>
      <c r="AB33" s="332"/>
      <c r="AC33" s="332"/>
      <c r="AD33" s="114"/>
      <c r="AE33" s="314"/>
      <c r="AF33" s="248"/>
      <c r="AG33" s="256"/>
      <c r="AH33" s="249"/>
      <c r="BE33" s="41"/>
      <c r="BF33" s="257"/>
      <c r="BG33" s="257"/>
      <c r="BH33" s="257"/>
      <c r="BI33" s="161"/>
      <c r="BL33" s="137"/>
      <c r="BQ33" s="259"/>
      <c r="BW33" s="404"/>
      <c r="CA33" s="397"/>
      <c r="CB33" s="397"/>
      <c r="CC33" s="397"/>
      <c r="CD33" s="114">
        <f t="shared" si="8"/>
        <v>20</v>
      </c>
      <c r="CE33" s="207" t="s">
        <v>56</v>
      </c>
      <c r="CF33" s="208"/>
      <c r="CG33" s="316"/>
      <c r="CH33" s="316">
        <f>CH31-CH32</f>
        <v>79135.487875506748</v>
      </c>
      <c r="CQ33" s="397"/>
      <c r="CR33" s="397"/>
      <c r="CS33" s="397"/>
      <c r="CT33" s="397"/>
      <c r="CU33" s="397"/>
      <c r="CV33" s="114">
        <f t="shared" si="9"/>
        <v>20</v>
      </c>
      <c r="CW33" s="74"/>
      <c r="CX33" s="74"/>
      <c r="CY33" s="74"/>
      <c r="CZ33" s="74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</row>
    <row r="34" spans="1:145" s="300" customFormat="1" ht="13.5" thickBot="1">
      <c r="A34" s="114">
        <f t="shared" si="10"/>
        <v>21</v>
      </c>
      <c r="B34" s="256" t="s">
        <v>190</v>
      </c>
      <c r="C34" s="228"/>
      <c r="D34" s="332"/>
      <c r="E34" s="258"/>
      <c r="F34" s="114">
        <f t="shared" si="0"/>
        <v>21</v>
      </c>
      <c r="G34" s="13" t="s">
        <v>323</v>
      </c>
      <c r="I34" s="257"/>
      <c r="J34" s="308">
        <f>'[37]Lead G'!$E$33</f>
        <v>-155789.63152472442</v>
      </c>
      <c r="K34" s="256"/>
      <c r="L34" s="241">
        <f t="shared" si="11"/>
        <v>21</v>
      </c>
      <c r="M34" s="314" t="s">
        <v>341</v>
      </c>
      <c r="N34" s="17"/>
      <c r="O34" s="329">
        <f>'[27]Lead G'!$E$28</f>
        <v>-5670995.3100000005</v>
      </c>
      <c r="P34" s="114">
        <f t="shared" si="29"/>
        <v>21</v>
      </c>
      <c r="Q34" s="13" t="s">
        <v>72</v>
      </c>
      <c r="R34" s="13"/>
      <c r="S34" s="13"/>
      <c r="T34" s="338">
        <f>-SUM(T31:T33)</f>
        <v>700821.90807233378</v>
      </c>
      <c r="U34"/>
      <c r="V34"/>
      <c r="W34"/>
      <c r="X34"/>
      <c r="Y34" s="114">
        <f t="shared" si="22"/>
        <v>21</v>
      </c>
      <c r="Z34" s="300" t="s">
        <v>56</v>
      </c>
      <c r="AC34" s="330">
        <f>AC24+AC29+AC31</f>
        <v>-20267842.367339123</v>
      </c>
      <c r="AD34" s="114"/>
      <c r="AE34" s="314"/>
      <c r="AF34" s="252"/>
      <c r="AG34" s="252"/>
      <c r="AH34" s="308"/>
      <c r="AP34" s="404"/>
      <c r="BE34" s="41"/>
      <c r="BF34" s="257"/>
      <c r="BG34" s="257"/>
      <c r="BH34" s="257"/>
      <c r="BQ34" s="259"/>
      <c r="BR34" s="24"/>
      <c r="BS34" s="24"/>
      <c r="BT34" s="24"/>
      <c r="BU34" s="24"/>
      <c r="BX34" s="397"/>
      <c r="BY34" s="397"/>
      <c r="BZ34" s="397"/>
      <c r="CA34" s="397"/>
      <c r="CB34" s="397"/>
      <c r="CC34" s="397"/>
      <c r="CD34" s="114">
        <f t="shared" si="8"/>
        <v>21</v>
      </c>
      <c r="CE34" s="204"/>
      <c r="CF34" s="203"/>
      <c r="CG34" s="316"/>
      <c r="CH34" s="316"/>
      <c r="CQ34" s="397"/>
      <c r="CR34" s="397"/>
      <c r="CS34" s="397"/>
      <c r="CT34" s="397"/>
      <c r="CU34" s="397"/>
      <c r="CV34" s="114">
        <f t="shared" si="9"/>
        <v>21</v>
      </c>
      <c r="CW34" s="269" t="s">
        <v>63</v>
      </c>
      <c r="CX34" s="419"/>
      <c r="CY34" s="419"/>
      <c r="CZ34" s="472">
        <f>-CZ30-CZ32</f>
        <v>212048.29051128853</v>
      </c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EO34" s="24"/>
    </row>
    <row r="35" spans="1:145" s="24" customFormat="1" ht="13.5" thickTop="1">
      <c r="A35" s="114">
        <f t="shared" si="10"/>
        <v>22</v>
      </c>
      <c r="B35" s="314" t="s">
        <v>286</v>
      </c>
      <c r="C35" s="256"/>
      <c r="D35" s="332">
        <f>'[26]Lead G'!$D$36</f>
        <v>-25080484.127216995</v>
      </c>
      <c r="E35" s="256"/>
      <c r="F35" s="114">
        <f t="shared" si="0"/>
        <v>22</v>
      </c>
      <c r="G35" s="13" t="s">
        <v>324</v>
      </c>
      <c r="I35" s="257"/>
      <c r="J35" s="308">
        <f>'[37]Lead G'!$E$34</f>
        <v>0</v>
      </c>
      <c r="K35" s="256"/>
      <c r="L35" s="241">
        <f t="shared" si="11"/>
        <v>22</v>
      </c>
      <c r="M35" s="314" t="s">
        <v>342</v>
      </c>
      <c r="N35" s="17"/>
      <c r="O35" s="246">
        <f>'[27]Lead G'!$E$29</f>
        <v>-12460807.43</v>
      </c>
      <c r="P35" s="114"/>
      <c r="Q35" s="13"/>
      <c r="R35" s="15"/>
      <c r="S35" s="158"/>
      <c r="T35" s="225"/>
      <c r="U35"/>
      <c r="V35"/>
      <c r="W35"/>
      <c r="X35"/>
      <c r="Y35" s="114">
        <f t="shared" si="22"/>
        <v>22</v>
      </c>
      <c r="Z35" s="300" t="s">
        <v>109</v>
      </c>
      <c r="AA35" s="300"/>
      <c r="AB35" s="300"/>
      <c r="AC35" s="258">
        <f>-AC34*0.35</f>
        <v>7093744.8285686923</v>
      </c>
      <c r="AD35" s="114"/>
      <c r="AE35" s="314"/>
      <c r="AF35" s="112"/>
      <c r="AG35" s="112"/>
      <c r="AH35" s="249"/>
      <c r="AP35" s="300"/>
      <c r="AQ35" s="300"/>
      <c r="AR35" s="300"/>
      <c r="AS35" s="258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41"/>
      <c r="BF35" s="257"/>
      <c r="BG35" s="257"/>
      <c r="BH35" s="257"/>
      <c r="BI35" s="300"/>
      <c r="BJ35" s="300"/>
      <c r="BK35" s="300"/>
      <c r="BL35" s="300"/>
      <c r="BQ35" s="147"/>
      <c r="BR35" s="300"/>
      <c r="BS35" s="300"/>
      <c r="BT35" s="300"/>
      <c r="BU35" s="300"/>
      <c r="BV35" s="300"/>
      <c r="BW35" s="300"/>
      <c r="BX35" s="397"/>
      <c r="BY35" s="397"/>
      <c r="BZ35" s="397"/>
      <c r="CA35" s="397"/>
      <c r="CB35" s="397"/>
      <c r="CC35" s="397"/>
      <c r="CD35" s="114">
        <f t="shared" si="8"/>
        <v>22</v>
      </c>
      <c r="CE35" s="314" t="s">
        <v>59</v>
      </c>
      <c r="CF35" s="15">
        <f>kp_FEDERAL_INCOME_TAX</f>
        <v>0.35</v>
      </c>
      <c r="CG35" s="316"/>
      <c r="CH35" s="225">
        <f>ROUND(-CH33*CF35,0)</f>
        <v>-27697</v>
      </c>
      <c r="CL35" s="139"/>
      <c r="CP35" s="139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EO35" s="300"/>
    </row>
    <row r="36" spans="1:145" s="300" customFormat="1" ht="14.25" customHeight="1" thickBot="1">
      <c r="A36" s="114">
        <f t="shared" si="10"/>
        <v>23</v>
      </c>
      <c r="B36" s="314" t="s">
        <v>220</v>
      </c>
      <c r="C36" s="256"/>
      <c r="D36" s="258">
        <f>'[26]Lead G'!$D$37</f>
        <v>519928.25640650652</v>
      </c>
      <c r="E36" s="256"/>
      <c r="F36" s="114">
        <f t="shared" si="0"/>
        <v>23</v>
      </c>
      <c r="G36" s="13" t="s">
        <v>325</v>
      </c>
      <c r="I36" s="257"/>
      <c r="J36" s="308">
        <f>'[37]Lead G'!$E$35</f>
        <v>-269744.48913688213</v>
      </c>
      <c r="K36" s="256"/>
      <c r="L36" s="241">
        <f>L35+1</f>
        <v>23</v>
      </c>
      <c r="M36" s="314" t="s">
        <v>343</v>
      </c>
      <c r="N36" s="347"/>
      <c r="O36" s="246">
        <f>'[27]Lead G'!$E$30</f>
        <v>-19519464.629999999</v>
      </c>
      <c r="P36" s="114"/>
      <c r="Q36" s="407"/>
      <c r="R36" s="158"/>
      <c r="S36" s="158"/>
      <c r="T36" s="225"/>
      <c r="U36"/>
      <c r="V36"/>
      <c r="W36"/>
      <c r="X36"/>
      <c r="Y36" s="114">
        <f t="shared" si="22"/>
        <v>23</v>
      </c>
      <c r="Z36" s="300" t="s">
        <v>63</v>
      </c>
      <c r="AC36" s="338">
        <f>-AC34-AC35</f>
        <v>13174097.53877043</v>
      </c>
      <c r="AD36" s="56"/>
      <c r="AF36" s="252"/>
      <c r="AG36" s="252"/>
      <c r="AH36" s="252"/>
      <c r="AS36" s="123"/>
      <c r="BE36" s="41"/>
      <c r="BF36" s="258"/>
      <c r="BG36" s="258"/>
      <c r="BH36" s="258"/>
      <c r="BQ36" s="259"/>
      <c r="BX36" s="397"/>
      <c r="BY36" s="397"/>
      <c r="BZ36" s="397"/>
      <c r="CA36" s="397"/>
      <c r="CB36" s="397"/>
      <c r="CC36" s="397"/>
      <c r="CD36" s="114">
        <f>CD35+1</f>
        <v>23</v>
      </c>
      <c r="CE36" s="314" t="s">
        <v>63</v>
      </c>
      <c r="CF36" s="203"/>
      <c r="CG36" s="203"/>
      <c r="CH36" s="289">
        <f>-CH33-CH35</f>
        <v>-51438.487875506748</v>
      </c>
      <c r="CQ36" s="24"/>
      <c r="CR36" s="24"/>
      <c r="CS36" s="24"/>
      <c r="CT36" s="24"/>
      <c r="CU36" s="24"/>
      <c r="CV36" s="397"/>
      <c r="CW36" s="397"/>
      <c r="CX36" s="397"/>
      <c r="CY36" s="397"/>
      <c r="CZ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</row>
    <row r="37" spans="1:145" s="300" customFormat="1" ht="14.25" customHeight="1" thickTop="1">
      <c r="A37" s="114">
        <f t="shared" si="10"/>
        <v>24</v>
      </c>
      <c r="B37" s="314" t="s">
        <v>185</v>
      </c>
      <c r="C37" s="256"/>
      <c r="D37" s="258">
        <f>'[26]Lead G'!$D$38</f>
        <v>-610931.78843075037</v>
      </c>
      <c r="E37" s="256"/>
      <c r="F37" s="114">
        <f t="shared" si="0"/>
        <v>24</v>
      </c>
      <c r="G37" s="13" t="s">
        <v>326</v>
      </c>
      <c r="I37" s="257"/>
      <c r="J37" s="308">
        <f>'[37]Lead G'!$E$36</f>
        <v>209444.55109923612</v>
      </c>
      <c r="K37" s="256"/>
      <c r="L37" s="241">
        <f t="shared" si="11"/>
        <v>24</v>
      </c>
      <c r="M37" s="314" t="s">
        <v>344</v>
      </c>
      <c r="N37" s="17"/>
      <c r="O37" s="246">
        <f>'[27]Lead G'!$E$31</f>
        <v>25320257.07</v>
      </c>
      <c r="P37" s="114"/>
      <c r="T37" s="330"/>
      <c r="U37"/>
      <c r="V37"/>
      <c r="W37"/>
      <c r="X37"/>
      <c r="Y37" s="114">
        <f t="shared" si="22"/>
        <v>24</v>
      </c>
      <c r="AE37" s="56"/>
      <c r="AF37" s="56"/>
      <c r="AG37" s="254"/>
      <c r="AH37" s="56"/>
      <c r="AT37" s="330"/>
      <c r="AZ37" s="252"/>
      <c r="BA37" s="252"/>
      <c r="BB37" s="252"/>
      <c r="BC37" s="252"/>
      <c r="BD37" s="252"/>
      <c r="BE37" s="41"/>
      <c r="BF37" s="258"/>
      <c r="BG37" s="258"/>
      <c r="BH37" s="258"/>
      <c r="BQ37" s="259"/>
      <c r="BX37" s="397"/>
      <c r="BY37" s="397"/>
      <c r="BZ37" s="397"/>
      <c r="CA37" s="397"/>
      <c r="CB37" s="397"/>
      <c r="CC37" s="397"/>
      <c r="CD37" s="114"/>
      <c r="CI37" s="67"/>
      <c r="CJ37" s="123"/>
      <c r="CM37" s="67"/>
      <c r="CN37" s="123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</row>
    <row r="38" spans="1:145" s="300" customFormat="1" ht="14.25" customHeight="1">
      <c r="A38" s="114">
        <f t="shared" si="10"/>
        <v>25</v>
      </c>
      <c r="B38" s="269" t="s">
        <v>200</v>
      </c>
      <c r="C38" s="256"/>
      <c r="D38" s="270">
        <f>SUM(D35:D37)</f>
        <v>-25171487.659241237</v>
      </c>
      <c r="E38" s="256"/>
      <c r="F38" s="114">
        <f t="shared" si="0"/>
        <v>25</v>
      </c>
      <c r="G38" s="13" t="s">
        <v>327</v>
      </c>
      <c r="I38" s="257"/>
      <c r="J38" s="308">
        <f>'[37]Lead G'!$E$37</f>
        <v>373192.1501000002</v>
      </c>
      <c r="K38" s="256"/>
      <c r="L38" s="241">
        <f t="shared" si="11"/>
        <v>25</v>
      </c>
      <c r="M38" s="390" t="s">
        <v>287</v>
      </c>
      <c r="N38" s="17"/>
      <c r="O38" s="246">
        <f>'[27]Lead G'!$E$32</f>
        <v>-45481.5</v>
      </c>
      <c r="P38" s="114"/>
      <c r="U38"/>
      <c r="V38"/>
      <c r="W38"/>
      <c r="X38"/>
      <c r="Y38" s="114">
        <f t="shared" si="22"/>
        <v>25</v>
      </c>
      <c r="AD38" s="225"/>
      <c r="AG38" s="330"/>
      <c r="AI38" s="300" t="s">
        <v>77</v>
      </c>
      <c r="AP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41"/>
      <c r="BF38" s="258"/>
      <c r="BG38" s="258"/>
      <c r="BH38" s="258"/>
      <c r="BQ38" s="259"/>
      <c r="BX38" s="397"/>
      <c r="BY38" s="397"/>
      <c r="BZ38" s="397"/>
      <c r="CA38" s="397"/>
      <c r="CB38" s="397"/>
      <c r="CC38" s="397"/>
      <c r="CD38" s="114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F38" s="397"/>
      <c r="DG38" s="397"/>
      <c r="DH38" s="397"/>
      <c r="DI38" s="397"/>
      <c r="DJ38" s="397"/>
      <c r="DK38" s="397"/>
      <c r="DL38" s="397"/>
      <c r="DM38" s="397"/>
      <c r="DN38" s="397"/>
      <c r="DO38" s="397"/>
      <c r="DP38" s="397"/>
      <c r="DQ38" s="397"/>
      <c r="DR38" s="397"/>
      <c r="DS38" s="397"/>
      <c r="DT38" s="397"/>
    </row>
    <row r="39" spans="1:145" s="300" customFormat="1">
      <c r="A39" s="114">
        <f t="shared" si="10"/>
        <v>26</v>
      </c>
      <c r="B39" s="256"/>
      <c r="C39" s="256"/>
      <c r="D39" s="217"/>
      <c r="E39" s="256"/>
      <c r="F39" s="114">
        <f t="shared" si="0"/>
        <v>26</v>
      </c>
      <c r="G39" s="13" t="s">
        <v>328</v>
      </c>
      <c r="I39" s="257"/>
      <c r="J39" s="308">
        <f>'[37]Lead G'!$E$38</f>
        <v>0</v>
      </c>
      <c r="K39" s="256"/>
      <c r="L39" s="241">
        <f t="shared" si="11"/>
        <v>26</v>
      </c>
      <c r="M39" s="390" t="s">
        <v>288</v>
      </c>
      <c r="N39" s="17"/>
      <c r="O39" s="246">
        <f>'[27]Lead G'!$E$33</f>
        <v>-22640.55</v>
      </c>
      <c r="U39"/>
      <c r="V39"/>
      <c r="W39"/>
      <c r="X39"/>
      <c r="Y39" s="114">
        <f t="shared" si="22"/>
        <v>26</v>
      </c>
      <c r="Z39" s="66" t="s">
        <v>211</v>
      </c>
      <c r="AD39" s="225"/>
      <c r="AE39" s="225"/>
      <c r="AF39" s="225"/>
      <c r="AG39" s="225"/>
      <c r="AH39" s="225"/>
      <c r="AP39" s="252"/>
      <c r="AU39" s="252"/>
      <c r="AV39" s="252"/>
      <c r="AW39" s="252"/>
      <c r="AX39" s="252"/>
      <c r="AY39" s="252"/>
      <c r="AZ39" s="112"/>
      <c r="BA39" s="112"/>
      <c r="BB39" s="112"/>
      <c r="BC39" s="112"/>
      <c r="BD39" s="112"/>
      <c r="BE39" s="41"/>
      <c r="BF39" s="258"/>
      <c r="BG39" s="258"/>
      <c r="BH39" s="258"/>
      <c r="BQ39" s="259"/>
      <c r="BX39" s="397"/>
      <c r="BY39" s="397"/>
      <c r="BZ39" s="397"/>
      <c r="CA39" s="397"/>
      <c r="CB39" s="397"/>
      <c r="CC39" s="397"/>
      <c r="CD39" s="114"/>
      <c r="CQ39" s="397"/>
      <c r="CR39" s="397"/>
      <c r="CS39" s="397"/>
      <c r="CT39" s="397"/>
      <c r="CU39" s="397"/>
      <c r="CV39" s="397"/>
      <c r="CW39" s="24"/>
      <c r="CX39" s="24"/>
      <c r="CY39" s="24"/>
      <c r="CZ39" s="24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397"/>
    </row>
    <row r="40" spans="1:145" s="300" customFormat="1">
      <c r="A40" s="114">
        <f t="shared" si="10"/>
        <v>27</v>
      </c>
      <c r="B40" s="314" t="s">
        <v>174</v>
      </c>
      <c r="C40" s="287">
        <f>'Exh. BGM-4 (3) Param'!O14</f>
        <v>5.1399999999999996E-3</v>
      </c>
      <c r="D40" s="445">
        <f>+E32*C40</f>
        <v>-406226.28187695163</v>
      </c>
      <c r="E40" s="257"/>
      <c r="F40" s="114">
        <f t="shared" si="0"/>
        <v>27</v>
      </c>
      <c r="G40" s="13" t="s">
        <v>329</v>
      </c>
      <c r="I40" s="257"/>
      <c r="J40" s="308">
        <f>'[37]Lead G'!$E$39</f>
        <v>257955.61679999903</v>
      </c>
      <c r="L40" s="241">
        <f t="shared" si="11"/>
        <v>27</v>
      </c>
      <c r="M40" s="256" t="s">
        <v>345</v>
      </c>
      <c r="N40" s="17"/>
      <c r="O40" s="246">
        <f>'[27]Lead G'!$E$34</f>
        <v>-38775247.880000003</v>
      </c>
      <c r="P40" s="397"/>
      <c r="Q40" s="397"/>
      <c r="R40" s="397"/>
      <c r="S40" s="397"/>
      <c r="T40" s="397"/>
      <c r="U40"/>
      <c r="V40"/>
      <c r="W40"/>
      <c r="X40"/>
      <c r="Y40" s="114">
        <f t="shared" si="22"/>
        <v>27</v>
      </c>
      <c r="Z40" s="24" t="s">
        <v>386</v>
      </c>
      <c r="AA40" s="360">
        <v>0.5</v>
      </c>
      <c r="AB40" s="24"/>
      <c r="AC40" s="330">
        <f>-AC34*AA40</f>
        <v>10133921.183669562</v>
      </c>
      <c r="AD40" s="225"/>
      <c r="AE40" s="225"/>
      <c r="AF40" s="225"/>
      <c r="AG40" s="225"/>
      <c r="AH40" s="225"/>
      <c r="AP40" s="112"/>
      <c r="AQ40" s="252"/>
      <c r="AR40" s="252"/>
      <c r="AS40" s="252"/>
      <c r="AT40" s="252"/>
      <c r="AU40" s="112"/>
      <c r="AV40" s="112"/>
      <c r="AW40" s="112"/>
      <c r="AX40" s="112"/>
      <c r="AY40" s="112"/>
      <c r="AZ40" s="252"/>
      <c r="BA40" s="252"/>
      <c r="BB40" s="252"/>
      <c r="BC40" s="252"/>
      <c r="BD40" s="252"/>
      <c r="BE40" s="41"/>
      <c r="BF40" s="258"/>
      <c r="BG40" s="258"/>
      <c r="BH40" s="258"/>
      <c r="BQ40" s="259"/>
      <c r="BX40" s="397"/>
      <c r="BY40" s="397"/>
      <c r="BZ40" s="397"/>
      <c r="CA40" s="397"/>
      <c r="CB40" s="397"/>
      <c r="CC40" s="397"/>
      <c r="CD40" s="114"/>
      <c r="CJ40" s="104"/>
      <c r="CK40" s="104"/>
      <c r="CN40" s="104"/>
      <c r="CO40" s="104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F40" s="397"/>
      <c r="DG40" s="397"/>
      <c r="DH40" s="397"/>
      <c r="DI40" s="397"/>
      <c r="DJ40" s="397"/>
      <c r="DK40" s="397"/>
      <c r="DL40" s="397"/>
      <c r="DM40" s="397"/>
      <c r="DN40" s="397"/>
      <c r="DO40" s="397"/>
      <c r="DP40" s="397"/>
      <c r="DQ40" s="397"/>
      <c r="DR40" s="397"/>
      <c r="DS40" s="397"/>
      <c r="DT40" s="397"/>
    </row>
    <row r="41" spans="1:145" s="300" customFormat="1" ht="14.25" customHeight="1">
      <c r="A41" s="114">
        <f t="shared" si="10"/>
        <v>28</v>
      </c>
      <c r="B41" s="314" t="s">
        <v>175</v>
      </c>
      <c r="C41" s="287">
        <f>keep_WUTC_FILING_FEE</f>
        <v>2E-3</v>
      </c>
      <c r="D41" s="385">
        <f>+E32*C41</f>
        <v>-158064.70111943645</v>
      </c>
      <c r="E41" s="257"/>
      <c r="F41" s="114">
        <f t="shared" si="0"/>
        <v>28</v>
      </c>
      <c r="G41" s="13" t="s">
        <v>330</v>
      </c>
      <c r="I41" s="257"/>
      <c r="J41" s="308">
        <f>'[37]Lead G'!$E$40</f>
        <v>23923.69840000011</v>
      </c>
      <c r="L41" s="241">
        <f t="shared" si="11"/>
        <v>28</v>
      </c>
      <c r="M41" s="17" t="s">
        <v>147</v>
      </c>
      <c r="N41" s="17"/>
      <c r="O41" s="255">
        <f>SUM(O34:O40)</f>
        <v>-51174380.230000004</v>
      </c>
      <c r="P41" s="397"/>
      <c r="Q41" s="397"/>
      <c r="R41" s="397"/>
      <c r="S41" s="397"/>
      <c r="T41" s="397"/>
      <c r="U41"/>
      <c r="V41"/>
      <c r="W41"/>
      <c r="X41"/>
      <c r="Y41" s="114">
        <f t="shared" si="22"/>
        <v>28</v>
      </c>
      <c r="Z41" s="24" t="s">
        <v>247</v>
      </c>
      <c r="AA41" s="360"/>
      <c r="AB41" s="24"/>
      <c r="AC41" s="85">
        <f>'[19]Lead G'!$E$40</f>
        <v>-3546872.4142843462</v>
      </c>
      <c r="AD41" s="225"/>
      <c r="AE41" s="225"/>
      <c r="AF41" s="225"/>
      <c r="AG41" s="225"/>
      <c r="AH41" s="225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56"/>
      <c r="BA41" s="56"/>
      <c r="BB41" s="56"/>
      <c r="BC41" s="56"/>
      <c r="BD41" s="56"/>
      <c r="BE41" s="41"/>
      <c r="BF41" s="257"/>
      <c r="BG41" s="257"/>
      <c r="BH41" s="257"/>
      <c r="BI41" s="252"/>
      <c r="BJ41" s="252"/>
      <c r="BK41" s="252"/>
      <c r="BL41" s="252"/>
      <c r="BR41" s="84"/>
      <c r="BX41" s="397"/>
      <c r="BY41" s="397"/>
      <c r="BZ41" s="397"/>
      <c r="CA41" s="397"/>
      <c r="CB41" s="397"/>
      <c r="CC41" s="397"/>
      <c r="CD41" s="114"/>
      <c r="CI41" s="106"/>
      <c r="CJ41" s="225"/>
      <c r="CK41" s="225"/>
      <c r="CM41" s="106"/>
      <c r="CN41" s="225"/>
      <c r="CO41" s="225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F41" s="397"/>
      <c r="DG41" s="397"/>
      <c r="DH41" s="397"/>
      <c r="DI41" s="397"/>
      <c r="DJ41" s="397"/>
      <c r="DK41" s="397"/>
      <c r="DL41" s="397"/>
      <c r="DM41" s="397"/>
      <c r="DN41" s="397"/>
      <c r="DO41" s="397"/>
      <c r="DP41" s="397"/>
      <c r="DQ41" s="397"/>
      <c r="DR41" s="397"/>
      <c r="DS41" s="397"/>
      <c r="DT41" s="397"/>
    </row>
    <row r="42" spans="1:145" s="300" customFormat="1" ht="14.25" customHeight="1">
      <c r="A42" s="114">
        <f t="shared" si="10"/>
        <v>29</v>
      </c>
      <c r="B42" s="226" t="s">
        <v>176</v>
      </c>
      <c r="C42" s="287"/>
      <c r="D42" s="238"/>
      <c r="E42" s="332">
        <f>SUM(D38:D42)</f>
        <v>-25735778.642237626</v>
      </c>
      <c r="F42" s="114">
        <f t="shared" si="0"/>
        <v>29</v>
      </c>
      <c r="G42" s="13" t="s">
        <v>331</v>
      </c>
      <c r="I42" s="257"/>
      <c r="J42" s="308">
        <f>'[37]Lead G'!$E$41</f>
        <v>19954.838879999937</v>
      </c>
      <c r="L42" s="241">
        <f t="shared" si="11"/>
        <v>29</v>
      </c>
      <c r="M42" s="17"/>
      <c r="N42" s="17"/>
      <c r="O42" s="244"/>
      <c r="P42" s="397"/>
      <c r="Q42" s="397"/>
      <c r="R42" s="397"/>
      <c r="S42" s="397"/>
      <c r="T42" s="397"/>
      <c r="U42"/>
      <c r="V42"/>
      <c r="W42"/>
      <c r="X42"/>
      <c r="Y42" s="114">
        <f t="shared" si="22"/>
        <v>29</v>
      </c>
      <c r="Z42" s="24"/>
      <c r="AA42" s="360"/>
      <c r="AB42" s="24"/>
      <c r="AC42" s="225"/>
      <c r="AD42" s="225"/>
      <c r="AE42" s="225"/>
      <c r="AF42" s="225"/>
      <c r="AG42" s="225"/>
      <c r="AH42" s="225"/>
      <c r="AP42" s="56"/>
      <c r="AQ42" s="112"/>
      <c r="AR42" s="112"/>
      <c r="AS42" s="112"/>
      <c r="AT42" s="112"/>
      <c r="AU42" s="56"/>
      <c r="AV42" s="56"/>
      <c r="AW42" s="56"/>
      <c r="AX42" s="56"/>
      <c r="AY42" s="56"/>
      <c r="BE42" s="41"/>
      <c r="BF42" s="257"/>
      <c r="BG42" s="257"/>
      <c r="BH42" s="257"/>
      <c r="BI42" s="252"/>
      <c r="BJ42" s="252"/>
      <c r="BK42" s="252"/>
      <c r="BL42" s="252"/>
      <c r="BX42" s="397"/>
      <c r="BY42" s="397"/>
      <c r="BZ42" s="397"/>
      <c r="CA42" s="397"/>
      <c r="CB42" s="397"/>
      <c r="CC42" s="397"/>
      <c r="CI42" s="106"/>
      <c r="CJ42" s="225"/>
      <c r="CK42" s="225"/>
      <c r="CL42" s="56"/>
      <c r="CM42" s="106"/>
      <c r="CN42" s="225"/>
      <c r="CO42" s="225"/>
      <c r="CP42" s="56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</row>
    <row r="43" spans="1:145" s="300" customFormat="1" ht="14.25" customHeight="1" thickBot="1">
      <c r="A43" s="114">
        <f t="shared" si="10"/>
        <v>30</v>
      </c>
      <c r="B43" s="314"/>
      <c r="C43" s="287"/>
      <c r="D43" s="225"/>
      <c r="E43" s="257"/>
      <c r="F43" s="114">
        <f t="shared" si="0"/>
        <v>30</v>
      </c>
      <c r="G43" s="256" t="s">
        <v>173</v>
      </c>
      <c r="H43" s="256"/>
      <c r="I43" s="256"/>
      <c r="J43" s="327"/>
      <c r="K43" s="362">
        <f>SUM(J31:J42)</f>
        <v>58088569.543246187</v>
      </c>
      <c r="L43" s="241">
        <f t="shared" si="11"/>
        <v>30</v>
      </c>
      <c r="M43" s="17" t="s">
        <v>197</v>
      </c>
      <c r="N43" s="17"/>
      <c r="O43" s="329">
        <f>-O25-O31-O41</f>
        <v>1132535.2300000042</v>
      </c>
      <c r="P43" s="397"/>
      <c r="Q43" s="397"/>
      <c r="R43" s="397"/>
      <c r="S43" s="397"/>
      <c r="T43" s="397"/>
      <c r="U43" s="397"/>
      <c r="V43" s="397"/>
      <c r="W43" s="397"/>
      <c r="X43" s="397"/>
      <c r="Y43" s="114">
        <f t="shared" si="22"/>
        <v>30</v>
      </c>
      <c r="Z43" s="300" t="s">
        <v>212</v>
      </c>
      <c r="AC43" s="473">
        <f>SUM(AC40:AC42)</f>
        <v>6587048.7693852149</v>
      </c>
      <c r="AD43" s="225"/>
      <c r="AE43" s="225"/>
      <c r="AF43" s="225"/>
      <c r="AG43" s="225"/>
      <c r="AH43" s="225"/>
      <c r="AQ43" s="252"/>
      <c r="AR43" s="252"/>
      <c r="AS43" s="252"/>
      <c r="AT43" s="252"/>
      <c r="AZ43" s="225"/>
      <c r="BA43" s="225"/>
      <c r="BB43" s="225"/>
      <c r="BC43" s="225"/>
      <c r="BD43" s="225"/>
      <c r="BE43" s="41"/>
      <c r="BF43" s="257"/>
      <c r="BG43" s="257"/>
      <c r="BH43" s="257"/>
      <c r="BI43" s="112"/>
      <c r="BJ43" s="112"/>
      <c r="BK43" s="112"/>
      <c r="BL43" s="112"/>
      <c r="BX43" s="397"/>
      <c r="BY43" s="397"/>
      <c r="BZ43" s="397"/>
      <c r="CA43" s="397"/>
      <c r="CB43" s="397"/>
      <c r="CC43" s="397"/>
      <c r="CD43" s="404"/>
      <c r="CI43" s="106"/>
      <c r="CJ43" s="225"/>
      <c r="CK43" s="225"/>
      <c r="CM43" s="106"/>
      <c r="CN43" s="225"/>
      <c r="CO43" s="225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</row>
    <row r="44" spans="1:145" s="300" customFormat="1" ht="14.25" customHeight="1" thickTop="1">
      <c r="A44" s="114">
        <f t="shared" si="10"/>
        <v>31</v>
      </c>
      <c r="B44" s="314" t="s">
        <v>177</v>
      </c>
      <c r="C44" s="287">
        <f>'Exh. BGM-4 (3) Param'!O16</f>
        <v>3.8322000000000002E-2</v>
      </c>
      <c r="D44" s="332">
        <f>+E32*C44</f>
        <v>-3028677.7381495219</v>
      </c>
      <c r="E44" s="257"/>
      <c r="F44" s="114">
        <f t="shared" si="0"/>
        <v>31</v>
      </c>
      <c r="G44" s="408"/>
      <c r="H44" s="158"/>
      <c r="I44" s="309"/>
      <c r="J44" s="256"/>
      <c r="K44" s="256"/>
      <c r="L44" s="241">
        <f t="shared" si="11"/>
        <v>31</v>
      </c>
      <c r="M44" s="300" t="s">
        <v>109</v>
      </c>
      <c r="O44" s="246">
        <f>O43*0.35</f>
        <v>396387.33050000144</v>
      </c>
      <c r="P44" s="397"/>
      <c r="Q44" s="397"/>
      <c r="R44" s="397"/>
      <c r="S44" s="397"/>
      <c r="T44" s="397"/>
      <c r="U44" s="397"/>
      <c r="V44" s="397"/>
      <c r="W44" s="397"/>
      <c r="X44" s="397"/>
      <c r="AD44" s="225"/>
      <c r="AE44" s="225"/>
      <c r="AF44" s="225"/>
      <c r="AG44" s="225"/>
      <c r="AH44" s="225"/>
      <c r="AP44" s="225"/>
      <c r="AQ44" s="56"/>
      <c r="AR44" s="56"/>
      <c r="AS44" s="56"/>
      <c r="AT44" s="56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41"/>
      <c r="BF44" s="258"/>
      <c r="BG44" s="258"/>
      <c r="BH44" s="258"/>
      <c r="BI44" s="252"/>
      <c r="BJ44" s="252"/>
      <c r="BK44" s="252"/>
      <c r="BL44" s="252"/>
      <c r="BX44" s="397"/>
      <c r="BY44" s="397"/>
      <c r="BZ44" s="397"/>
      <c r="CA44" s="397"/>
      <c r="CB44" s="397"/>
      <c r="CC44" s="397"/>
      <c r="CJ44" s="106"/>
      <c r="CK44" s="225"/>
      <c r="CL44" s="225"/>
      <c r="CN44" s="106"/>
      <c r="CO44" s="225"/>
      <c r="CP44" s="225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</row>
    <row r="45" spans="1:145" s="300" customFormat="1" ht="14.25" customHeight="1" thickBot="1">
      <c r="A45" s="114">
        <f t="shared" si="10"/>
        <v>32</v>
      </c>
      <c r="B45" s="226"/>
      <c r="C45" s="256"/>
      <c r="D45" s="159"/>
      <c r="E45" s="257"/>
      <c r="F45" s="114">
        <f t="shared" si="0"/>
        <v>32</v>
      </c>
      <c r="G45" s="367" t="s">
        <v>198</v>
      </c>
      <c r="H45" s="363"/>
      <c r="I45" s="364"/>
      <c r="J45" s="365">
        <f>'[37]Lead G'!$E$44</f>
        <v>30724733.927239694</v>
      </c>
      <c r="K45" s="366"/>
      <c r="L45" s="241">
        <f t="shared" si="11"/>
        <v>32</v>
      </c>
      <c r="M45" s="300" t="s">
        <v>63</v>
      </c>
      <c r="O45" s="337">
        <f>O43-O44</f>
        <v>736147.89950000274</v>
      </c>
      <c r="P45" s="397"/>
      <c r="Q45" s="397"/>
      <c r="R45" s="397"/>
      <c r="S45" s="397"/>
      <c r="T45" s="397"/>
      <c r="U45" s="397"/>
      <c r="V45" s="397"/>
      <c r="W45" s="397"/>
      <c r="X45" s="397"/>
      <c r="AC45" s="330"/>
      <c r="AD45" s="225"/>
      <c r="AE45" s="225"/>
      <c r="AF45" s="225"/>
      <c r="AG45" s="225"/>
      <c r="AH45" s="225"/>
      <c r="AP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41"/>
      <c r="BF45" s="257"/>
      <c r="BG45" s="257"/>
      <c r="BH45" s="257"/>
      <c r="BI45" s="56"/>
      <c r="BJ45" s="56"/>
      <c r="BK45" s="56"/>
      <c r="BL45" s="56"/>
      <c r="BX45" s="397"/>
      <c r="BY45" s="397"/>
      <c r="BZ45" s="397"/>
      <c r="CA45" s="397"/>
      <c r="CB45" s="397"/>
      <c r="CC45" s="397"/>
      <c r="CJ45" s="106"/>
      <c r="CK45" s="225"/>
      <c r="CL45" s="225"/>
      <c r="CN45" s="106"/>
      <c r="CO45" s="225"/>
      <c r="CP45" s="225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397"/>
      <c r="DR45" s="397"/>
      <c r="DS45" s="397"/>
      <c r="DT45" s="397"/>
    </row>
    <row r="46" spans="1:145" s="300" customFormat="1" ht="14.25" customHeight="1" thickTop="1">
      <c r="A46" s="114">
        <f t="shared" si="10"/>
        <v>33</v>
      </c>
      <c r="B46" s="226" t="s">
        <v>178</v>
      </c>
      <c r="C46" s="256"/>
      <c r="D46" s="225"/>
      <c r="E46" s="332">
        <f>SUM(D44:D45)</f>
        <v>-3028677.7381495219</v>
      </c>
      <c r="F46" s="114">
        <f t="shared" si="0"/>
        <v>33</v>
      </c>
      <c r="G46" s="367" t="s">
        <v>191</v>
      </c>
      <c r="H46" s="363"/>
      <c r="I46" s="364"/>
      <c r="J46" s="327"/>
      <c r="K46" s="362">
        <f>J45</f>
        <v>30724733.927239694</v>
      </c>
      <c r="P46" s="397"/>
      <c r="Q46" s="397"/>
      <c r="R46" s="397"/>
      <c r="S46" s="397"/>
      <c r="T46" s="397"/>
      <c r="U46" s="397"/>
      <c r="V46" s="397"/>
      <c r="W46" s="397"/>
      <c r="X46" s="397"/>
      <c r="AC46" s="330"/>
      <c r="AD46" s="225"/>
      <c r="AE46" s="225"/>
      <c r="AF46" s="225"/>
      <c r="AG46" s="225"/>
      <c r="AH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41"/>
      <c r="BF46" s="257"/>
      <c r="BG46" s="257"/>
      <c r="BH46" s="257"/>
      <c r="BX46" s="397"/>
      <c r="BY46" s="397"/>
      <c r="BZ46" s="397"/>
      <c r="CA46" s="397"/>
      <c r="CB46" s="397"/>
      <c r="CC46" s="397"/>
      <c r="CJ46" s="106"/>
      <c r="CK46" s="225"/>
      <c r="CL46" s="225"/>
      <c r="CN46" s="106"/>
      <c r="CO46" s="225"/>
      <c r="CP46" s="225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</row>
    <row r="47" spans="1:145" s="300" customFormat="1" ht="14.25" customHeight="1">
      <c r="A47" s="114">
        <f t="shared" si="10"/>
        <v>34</v>
      </c>
      <c r="B47" s="314"/>
      <c r="C47" s="256"/>
      <c r="D47" s="256"/>
      <c r="E47" s="327"/>
      <c r="F47" s="114">
        <f t="shared" si="0"/>
        <v>34</v>
      </c>
      <c r="G47" s="367"/>
      <c r="H47" s="363"/>
      <c r="I47" s="364"/>
      <c r="J47" s="368"/>
      <c r="K47" s="369"/>
      <c r="O47" s="257"/>
      <c r="P47" s="397"/>
      <c r="Q47" s="397"/>
      <c r="R47" s="397"/>
      <c r="S47" s="397"/>
      <c r="T47" s="397"/>
      <c r="U47" s="397"/>
      <c r="V47" s="397"/>
      <c r="W47" s="397"/>
      <c r="X47" s="397"/>
      <c r="Y47" s="252"/>
      <c r="AC47" s="330"/>
      <c r="AD47" s="225"/>
      <c r="AE47" s="225"/>
      <c r="AF47" s="225"/>
      <c r="AG47" s="225"/>
      <c r="AH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58"/>
      <c r="BF47" s="257"/>
      <c r="BG47" s="257"/>
      <c r="BH47" s="257"/>
      <c r="BI47" s="225"/>
      <c r="BJ47" s="225"/>
      <c r="BK47" s="225"/>
      <c r="BL47" s="225"/>
      <c r="BX47" s="397"/>
      <c r="BY47" s="397"/>
      <c r="BZ47" s="397"/>
      <c r="CA47" s="397"/>
      <c r="CB47" s="397"/>
      <c r="CC47" s="397"/>
      <c r="CJ47" s="106"/>
      <c r="CK47" s="225"/>
      <c r="CL47" s="225"/>
      <c r="CN47" s="106"/>
      <c r="CO47" s="225"/>
      <c r="CP47" s="225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</row>
    <row r="48" spans="1:145" s="300" customFormat="1" ht="14.25" customHeight="1">
      <c r="A48" s="114">
        <f t="shared" si="10"/>
        <v>35</v>
      </c>
      <c r="B48" s="314" t="s">
        <v>165</v>
      </c>
      <c r="C48" s="256"/>
      <c r="D48" s="259"/>
      <c r="E48" s="332">
        <f>E32-E42-E46</f>
        <v>-50267894.179331072</v>
      </c>
      <c r="F48" s="114">
        <f t="shared" si="0"/>
        <v>35</v>
      </c>
      <c r="G48" s="370" t="s">
        <v>174</v>
      </c>
      <c r="H48" s="363"/>
      <c r="I48" s="371">
        <f>'Exh. BGM-4 (3) Param'!O14</f>
        <v>5.1399999999999996E-3</v>
      </c>
      <c r="J48" s="372">
        <f>ROUND(K43*I48,0)</f>
        <v>298575</v>
      </c>
      <c r="K48" s="366"/>
      <c r="O48" s="330"/>
      <c r="P48" s="397"/>
      <c r="Q48" s="397"/>
      <c r="R48" s="397"/>
      <c r="S48" s="397"/>
      <c r="T48" s="397"/>
      <c r="U48" s="397"/>
      <c r="V48" s="397"/>
      <c r="W48" s="397"/>
      <c r="X48" s="397"/>
      <c r="Y48" s="252"/>
      <c r="Z48" s="252"/>
      <c r="AA48" s="252"/>
      <c r="AB48" s="252"/>
      <c r="AC48" s="252"/>
      <c r="AD48" s="225"/>
      <c r="AE48" s="225"/>
      <c r="AF48" s="225"/>
      <c r="AG48" s="225"/>
      <c r="AH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404"/>
      <c r="BF48" s="257"/>
      <c r="BG48" s="257"/>
      <c r="BH48" s="257"/>
      <c r="BI48" s="225"/>
      <c r="BJ48" s="225"/>
      <c r="BK48" s="225"/>
      <c r="BL48" s="225"/>
      <c r="BX48" s="397"/>
      <c r="BY48" s="397"/>
      <c r="BZ48" s="397"/>
      <c r="CA48" s="397"/>
      <c r="CB48" s="397"/>
      <c r="CC48" s="397"/>
      <c r="CJ48" s="106"/>
      <c r="CK48" s="225"/>
      <c r="CL48" s="225"/>
      <c r="CN48" s="106"/>
      <c r="CO48" s="225"/>
      <c r="CP48" s="225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</row>
    <row r="49" spans="1:145" s="300" customFormat="1" ht="15" customHeight="1">
      <c r="A49" s="114">
        <f t="shared" si="10"/>
        <v>36</v>
      </c>
      <c r="B49" s="314" t="s">
        <v>59</v>
      </c>
      <c r="C49" s="260">
        <v>0.35</v>
      </c>
      <c r="D49" s="259"/>
      <c r="E49" s="258">
        <f>ROUND(E48*C49,0)</f>
        <v>-17593763</v>
      </c>
      <c r="F49" s="114">
        <f t="shared" si="0"/>
        <v>36</v>
      </c>
      <c r="G49" s="370" t="s">
        <v>175</v>
      </c>
      <c r="H49" s="370"/>
      <c r="I49" s="371">
        <f>keep_WUTC_FILING_FEE</f>
        <v>2E-3</v>
      </c>
      <c r="J49" s="373">
        <f>ROUND(K43*I49,0)</f>
        <v>116177</v>
      </c>
      <c r="K49" s="374"/>
      <c r="P49" s="397"/>
      <c r="Q49" s="397"/>
      <c r="R49" s="397"/>
      <c r="S49" s="397"/>
      <c r="T49" s="397"/>
      <c r="U49" s="397"/>
      <c r="W49" s="99"/>
      <c r="X49" s="17"/>
      <c r="Y49" s="112"/>
      <c r="Z49" s="56"/>
      <c r="AA49" s="56"/>
      <c r="AB49" s="56"/>
      <c r="AC49" s="56"/>
      <c r="AD49" s="225"/>
      <c r="AE49" s="225"/>
      <c r="AF49" s="225"/>
      <c r="AG49" s="225"/>
      <c r="AH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57"/>
      <c r="BF49" s="257"/>
      <c r="BG49" s="257"/>
      <c r="BH49" s="257"/>
      <c r="BI49" s="225"/>
      <c r="BJ49" s="225"/>
      <c r="BK49" s="225"/>
      <c r="BL49" s="225"/>
      <c r="BX49" s="397"/>
      <c r="BY49" s="397"/>
      <c r="BZ49" s="397"/>
      <c r="CA49" s="397"/>
      <c r="CB49" s="397"/>
      <c r="CC49" s="397"/>
      <c r="CJ49" s="106"/>
      <c r="CK49" s="225"/>
      <c r="CL49" s="225"/>
      <c r="CN49" s="106"/>
      <c r="CO49" s="225"/>
      <c r="CP49" s="225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7"/>
    </row>
    <row r="50" spans="1:145" s="300" customFormat="1" ht="12.75" customHeight="1" thickBot="1">
      <c r="A50" s="114">
        <f t="shared" si="10"/>
        <v>37</v>
      </c>
      <c r="B50" s="314" t="s">
        <v>63</v>
      </c>
      <c r="C50" s="256"/>
      <c r="D50" s="259"/>
      <c r="E50" s="338">
        <f>E48-E49</f>
        <v>-32674131.179331072</v>
      </c>
      <c r="F50" s="114">
        <f t="shared" si="0"/>
        <v>37</v>
      </c>
      <c r="G50" s="375" t="s">
        <v>176</v>
      </c>
      <c r="H50" s="370"/>
      <c r="I50" s="376"/>
      <c r="J50" s="377"/>
      <c r="K50" s="442">
        <f>SUM(J48:J49)</f>
        <v>414752</v>
      </c>
      <c r="O50" s="300" t="s">
        <v>18</v>
      </c>
      <c r="P50" s="397"/>
      <c r="Q50" s="397"/>
      <c r="R50" s="397"/>
      <c r="S50" s="397"/>
      <c r="T50" s="397"/>
      <c r="U50" s="397"/>
      <c r="Y50" s="252"/>
      <c r="AD50" s="225"/>
      <c r="AE50" s="225"/>
      <c r="AF50" s="225"/>
      <c r="AG50" s="225"/>
      <c r="AH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57"/>
      <c r="BF50" s="257"/>
      <c r="BG50" s="257"/>
      <c r="BH50" s="257"/>
      <c r="BI50" s="225"/>
      <c r="BJ50" s="225"/>
      <c r="BK50" s="225"/>
      <c r="BL50" s="225"/>
      <c r="BX50" s="397"/>
      <c r="BY50" s="397"/>
      <c r="BZ50" s="397"/>
      <c r="CA50" s="397"/>
      <c r="CB50" s="397"/>
      <c r="CC50" s="397"/>
      <c r="CJ50" s="106"/>
      <c r="CK50" s="225"/>
      <c r="CL50" s="225"/>
      <c r="CN50" s="106"/>
      <c r="CO50" s="225"/>
      <c r="CP50" s="225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</row>
    <row r="51" spans="1:145" s="300" customFormat="1" ht="12.75" customHeight="1" thickTop="1">
      <c r="A51" s="114"/>
      <c r="F51" s="114">
        <f t="shared" si="0"/>
        <v>38</v>
      </c>
      <c r="G51" s="370"/>
      <c r="H51" s="370"/>
      <c r="I51" s="378"/>
      <c r="J51" s="379"/>
      <c r="K51" s="376"/>
      <c r="P51" s="397"/>
      <c r="Q51" s="397"/>
      <c r="R51" s="397"/>
      <c r="S51" s="397"/>
      <c r="T51" s="397"/>
      <c r="U51" s="397"/>
      <c r="Y51" s="56"/>
      <c r="Z51" s="225"/>
      <c r="AA51" s="225"/>
      <c r="AB51" s="225"/>
      <c r="AC51" s="225"/>
      <c r="AD51" s="123"/>
      <c r="AE51" s="225"/>
      <c r="AF51" s="225"/>
      <c r="AG51" s="225"/>
      <c r="AH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57"/>
      <c r="BF51" s="257"/>
      <c r="BG51" s="257"/>
      <c r="BH51" s="257"/>
      <c r="BI51" s="225"/>
      <c r="BJ51" s="225"/>
      <c r="BK51" s="225"/>
      <c r="BL51" s="225"/>
      <c r="BX51" s="397"/>
      <c r="BY51" s="397"/>
      <c r="BZ51" s="397"/>
      <c r="CA51" s="397"/>
      <c r="CB51" s="397"/>
      <c r="CC51" s="397"/>
      <c r="CJ51" s="106"/>
      <c r="CK51" s="225"/>
      <c r="CL51" s="225"/>
      <c r="CN51" s="106"/>
      <c r="CO51" s="225"/>
      <c r="CP51" s="225"/>
      <c r="CQ51" s="397"/>
      <c r="CR51" s="397"/>
      <c r="CS51" s="397"/>
      <c r="CT51" s="397"/>
      <c r="CU51" s="397"/>
      <c r="CV51" s="397"/>
      <c r="CW51" s="397"/>
      <c r="CX51" s="397"/>
      <c r="CY51" s="397"/>
      <c r="CZ51" s="397"/>
      <c r="DF51" s="397"/>
      <c r="DG51" s="397"/>
      <c r="DH51" s="397"/>
      <c r="DI51" s="397"/>
      <c r="DJ51" s="397"/>
      <c r="DK51" s="397"/>
      <c r="DL51" s="397"/>
      <c r="DM51" s="397"/>
      <c r="DN51" s="397"/>
      <c r="DO51" s="397"/>
      <c r="DP51" s="397"/>
      <c r="DQ51" s="397"/>
      <c r="DR51" s="397"/>
      <c r="DS51" s="397"/>
      <c r="DT51" s="397"/>
    </row>
    <row r="52" spans="1:145" s="300" customFormat="1" ht="12.75" customHeight="1">
      <c r="A52" s="114"/>
      <c r="F52" s="114">
        <f t="shared" si="0"/>
        <v>39</v>
      </c>
      <c r="G52" s="370" t="s">
        <v>177</v>
      </c>
      <c r="H52" s="370"/>
      <c r="I52" s="371">
        <f>'Exh. BGM-4 (3) Param'!O16</f>
        <v>3.8322000000000002E-2</v>
      </c>
      <c r="J52" s="380">
        <f>ROUND(K43*I52,0)</f>
        <v>2226070</v>
      </c>
      <c r="K52" s="374"/>
      <c r="P52" s="397"/>
      <c r="Q52" s="397"/>
      <c r="R52" s="397"/>
      <c r="S52" s="397"/>
      <c r="T52" s="397"/>
      <c r="U52" s="397"/>
      <c r="Z52" s="225"/>
      <c r="AA52" s="225"/>
      <c r="AB52" s="225"/>
      <c r="AC52" s="225"/>
      <c r="AD52" s="123"/>
      <c r="AE52" s="123"/>
      <c r="AF52" s="123"/>
      <c r="AG52" s="123"/>
      <c r="AH52" s="123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57"/>
      <c r="BF52" s="257"/>
      <c r="BG52" s="257"/>
      <c r="BH52" s="257"/>
      <c r="BI52" s="225"/>
      <c r="BJ52" s="225"/>
      <c r="BK52" s="225"/>
      <c r="BL52" s="225"/>
      <c r="BX52" s="397"/>
      <c r="BY52" s="397"/>
      <c r="BZ52" s="397"/>
      <c r="CA52" s="397"/>
      <c r="CB52" s="397"/>
      <c r="CC52" s="397"/>
      <c r="CJ52" s="106"/>
      <c r="CK52" s="225"/>
      <c r="CL52" s="225"/>
      <c r="CN52" s="106"/>
      <c r="CO52" s="225"/>
      <c r="CP52" s="225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7"/>
      <c r="DQ52" s="397"/>
      <c r="DR52" s="397"/>
      <c r="DS52" s="397"/>
      <c r="DT52" s="397"/>
    </row>
    <row r="53" spans="1:145" s="300" customFormat="1" ht="12.75" customHeight="1">
      <c r="A53" s="114"/>
      <c r="B53" s="123"/>
      <c r="C53" s="123"/>
      <c r="D53" s="123"/>
      <c r="E53" s="123"/>
      <c r="F53" s="114">
        <f t="shared" si="0"/>
        <v>40</v>
      </c>
      <c r="G53" s="375" t="s">
        <v>178</v>
      </c>
      <c r="H53" s="370"/>
      <c r="I53" s="376"/>
      <c r="J53" s="377"/>
      <c r="K53" s="444">
        <f>SUM(J52:J52)</f>
        <v>2226070</v>
      </c>
      <c r="P53" s="397"/>
      <c r="Q53" s="397"/>
      <c r="R53" s="397"/>
      <c r="S53" s="397"/>
      <c r="T53" s="397"/>
      <c r="U53" s="397"/>
      <c r="W53" s="99"/>
      <c r="X53" s="17"/>
      <c r="Y53" s="225"/>
      <c r="Z53" s="225"/>
      <c r="AA53" s="225"/>
      <c r="AB53" s="225"/>
      <c r="AC53" s="225"/>
      <c r="AD53" s="123"/>
      <c r="AE53" s="123"/>
      <c r="AF53" s="123"/>
      <c r="AG53" s="123"/>
      <c r="AH53" s="123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57"/>
      <c r="BF53" s="257"/>
      <c r="BG53" s="257"/>
      <c r="BH53" s="257"/>
      <c r="BI53" s="225"/>
      <c r="BJ53" s="225"/>
      <c r="BK53" s="225"/>
      <c r="BL53" s="225"/>
      <c r="BX53" s="397"/>
      <c r="BY53" s="397"/>
      <c r="BZ53" s="397"/>
      <c r="CA53" s="397"/>
      <c r="CB53" s="397"/>
      <c r="CC53" s="397"/>
      <c r="CJ53" s="106"/>
      <c r="CK53" s="225"/>
      <c r="CL53" s="225"/>
      <c r="CN53" s="106"/>
      <c r="CO53" s="225"/>
      <c r="CP53" s="225"/>
      <c r="CQ53" s="397"/>
      <c r="CR53" s="397"/>
      <c r="CS53" s="397"/>
      <c r="CT53" s="397"/>
      <c r="CU53" s="397"/>
      <c r="CV53" s="397"/>
      <c r="CW53" s="397"/>
      <c r="CX53" s="397"/>
      <c r="CY53" s="397"/>
      <c r="CZ53" s="397"/>
      <c r="DF53" s="397"/>
      <c r="DG53" s="397"/>
      <c r="DH53" s="397"/>
      <c r="DI53" s="397"/>
      <c r="DJ53" s="397"/>
      <c r="DK53" s="397"/>
      <c r="DL53" s="397"/>
      <c r="DM53" s="397"/>
      <c r="DN53" s="397"/>
      <c r="DO53" s="397"/>
      <c r="DP53" s="397"/>
      <c r="DQ53" s="397"/>
      <c r="DR53" s="397"/>
      <c r="DS53" s="397"/>
      <c r="DT53" s="397"/>
    </row>
    <row r="54" spans="1:145" s="300" customFormat="1" ht="12.75" customHeight="1">
      <c r="A54" s="114"/>
      <c r="B54" s="213"/>
      <c r="C54" s="123"/>
      <c r="D54" s="123"/>
      <c r="F54" s="114">
        <f t="shared" si="0"/>
        <v>41</v>
      </c>
      <c r="G54" s="370"/>
      <c r="H54" s="370"/>
      <c r="I54" s="366"/>
      <c r="J54" s="366"/>
      <c r="K54" s="376"/>
      <c r="P54" s="397"/>
      <c r="Q54" s="397"/>
      <c r="R54" s="397"/>
      <c r="S54" s="397"/>
      <c r="T54" s="397"/>
      <c r="U54" s="397"/>
      <c r="W54" s="99"/>
      <c r="X54" s="17"/>
      <c r="Y54" s="225"/>
      <c r="Z54" s="225"/>
      <c r="AA54" s="225"/>
      <c r="AB54" s="225"/>
      <c r="AC54" s="225"/>
      <c r="AD54" s="259"/>
      <c r="AE54" s="123"/>
      <c r="AF54" s="123"/>
      <c r="AG54" s="123"/>
      <c r="AH54" s="123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58"/>
      <c r="BF54" s="257"/>
      <c r="BG54" s="257"/>
      <c r="BH54" s="257"/>
      <c r="BI54" s="225"/>
      <c r="BJ54" s="225"/>
      <c r="BK54" s="225"/>
      <c r="BL54" s="225"/>
      <c r="CJ54" s="106"/>
      <c r="CK54" s="225"/>
      <c r="CL54" s="225"/>
      <c r="CN54" s="106"/>
      <c r="CO54" s="225"/>
      <c r="CP54" s="225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7"/>
    </row>
    <row r="55" spans="1:145" s="300" customFormat="1" ht="14.25" customHeight="1">
      <c r="A55" s="114"/>
      <c r="B55" s="213"/>
      <c r="C55" s="240"/>
      <c r="D55" s="123"/>
      <c r="F55" s="114">
        <f t="shared" si="0"/>
        <v>42</v>
      </c>
      <c r="G55" s="370" t="s">
        <v>165</v>
      </c>
      <c r="H55" s="370"/>
      <c r="I55" s="366"/>
      <c r="J55" s="381"/>
      <c r="K55" s="469">
        <f>K43-K46-K50-K53</f>
        <v>24723013.616006494</v>
      </c>
      <c r="P55" s="397"/>
      <c r="Q55" s="397"/>
      <c r="R55" s="397"/>
      <c r="S55" s="397"/>
      <c r="T55" s="397"/>
      <c r="U55" s="397"/>
      <c r="V55" s="123"/>
      <c r="W55" s="123"/>
      <c r="X55" s="123"/>
      <c r="Y55" s="225"/>
      <c r="Z55" s="225"/>
      <c r="AA55" s="225"/>
      <c r="AB55" s="225"/>
      <c r="AC55" s="225"/>
      <c r="AD55" s="259"/>
      <c r="AE55" s="259"/>
      <c r="AF55" s="259"/>
      <c r="AG55" s="259"/>
      <c r="AH55" s="259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58"/>
      <c r="BF55" s="257"/>
      <c r="BG55" s="257"/>
      <c r="BH55" s="257"/>
      <c r="BI55" s="225"/>
      <c r="BJ55" s="225"/>
      <c r="BK55" s="225"/>
      <c r="BL55" s="225"/>
      <c r="CK55" s="225"/>
      <c r="CL55" s="225"/>
      <c r="CO55" s="225"/>
      <c r="CP55" s="225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</row>
    <row r="56" spans="1:145" s="300" customFormat="1" ht="14.25" customHeight="1">
      <c r="A56" s="114"/>
      <c r="B56" s="213"/>
      <c r="C56" s="123"/>
      <c r="D56" s="123"/>
      <c r="F56" s="114">
        <f t="shared" si="0"/>
        <v>43</v>
      </c>
      <c r="G56" s="370"/>
      <c r="H56" s="370"/>
      <c r="I56" s="366"/>
      <c r="J56" s="381"/>
      <c r="K56" s="376"/>
      <c r="P56" s="397"/>
      <c r="Q56" s="397"/>
      <c r="R56" s="397"/>
      <c r="S56" s="397"/>
      <c r="T56" s="397"/>
      <c r="U56" s="397"/>
      <c r="V56" s="123"/>
      <c r="W56" s="123"/>
      <c r="X56" s="123"/>
      <c r="Y56" s="225"/>
      <c r="Z56" s="225"/>
      <c r="AA56" s="225"/>
      <c r="AB56" s="225"/>
      <c r="AC56" s="225"/>
      <c r="AD56" s="259"/>
      <c r="AE56" s="259"/>
      <c r="AF56" s="259"/>
      <c r="AG56" s="259"/>
      <c r="AH56" s="259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123"/>
      <c r="BA56" s="123"/>
      <c r="BB56" s="123"/>
      <c r="BC56" s="123"/>
      <c r="BD56" s="123"/>
      <c r="BE56" s="258"/>
      <c r="BF56" s="257"/>
      <c r="BG56" s="257"/>
      <c r="BH56" s="257"/>
      <c r="BI56" s="225"/>
      <c r="BJ56" s="225"/>
      <c r="BK56" s="225"/>
      <c r="BL56" s="225"/>
      <c r="CK56" s="225"/>
      <c r="CL56" s="225"/>
      <c r="CO56" s="225"/>
      <c r="CP56" s="225"/>
      <c r="CQ56" s="397"/>
      <c r="CR56" s="397"/>
      <c r="CS56" s="397"/>
      <c r="CT56" s="397"/>
      <c r="CU56" s="397"/>
      <c r="CV56" s="397"/>
      <c r="CW56" s="397"/>
      <c r="CX56" s="397"/>
      <c r="CY56" s="397"/>
      <c r="CZ56" s="397"/>
      <c r="DF56" s="397"/>
      <c r="DG56" s="397"/>
      <c r="DH56" s="397"/>
      <c r="DI56" s="397"/>
      <c r="DJ56" s="397"/>
      <c r="DK56" s="397"/>
      <c r="DL56" s="397"/>
      <c r="DM56" s="397"/>
      <c r="DN56" s="397"/>
      <c r="DO56" s="397"/>
      <c r="DP56" s="397"/>
      <c r="DQ56" s="397"/>
      <c r="DR56" s="397"/>
      <c r="DS56" s="397"/>
      <c r="DT56" s="397"/>
    </row>
    <row r="57" spans="1:145" s="300" customFormat="1" ht="15" customHeight="1">
      <c r="A57" s="114"/>
      <c r="F57" s="114">
        <f t="shared" si="0"/>
        <v>44</v>
      </c>
      <c r="G57" s="370" t="s">
        <v>59</v>
      </c>
      <c r="H57" s="370"/>
      <c r="I57" s="382">
        <v>0.35</v>
      </c>
      <c r="J57" s="381"/>
      <c r="K57" s="383">
        <f>ROUND(K55*I57,0)</f>
        <v>8653055</v>
      </c>
      <c r="P57" s="397"/>
      <c r="Q57" s="397"/>
      <c r="R57" s="397"/>
      <c r="S57" s="397"/>
      <c r="T57" s="397"/>
      <c r="U57" s="397"/>
      <c r="Y57" s="225"/>
      <c r="Z57" s="225"/>
      <c r="AA57" s="225"/>
      <c r="AB57" s="225"/>
      <c r="AC57" s="225"/>
      <c r="AD57" s="259"/>
      <c r="AE57" s="259"/>
      <c r="AF57" s="259"/>
      <c r="AG57" s="259"/>
      <c r="AH57" s="259"/>
      <c r="AP57" s="123"/>
      <c r="AQ57" s="225"/>
      <c r="AR57" s="225"/>
      <c r="AS57" s="225"/>
      <c r="AT57" s="225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258"/>
      <c r="BF57" s="257"/>
      <c r="BG57" s="257"/>
      <c r="BH57" s="257"/>
      <c r="BI57" s="225"/>
      <c r="BJ57" s="225"/>
      <c r="BK57" s="225"/>
      <c r="BL57" s="225"/>
      <c r="CK57" s="123"/>
      <c r="CL57" s="123"/>
      <c r="CO57" s="123"/>
      <c r="CP57" s="123"/>
      <c r="CQ57" s="397"/>
      <c r="CR57" s="397"/>
      <c r="CS57" s="397"/>
      <c r="CT57" s="397"/>
      <c r="CU57" s="397"/>
      <c r="CV57" s="397"/>
      <c r="CW57" s="397"/>
      <c r="CX57" s="397"/>
      <c r="CY57" s="397"/>
      <c r="CZ57" s="397"/>
      <c r="DF57" s="397"/>
      <c r="DG57" s="397"/>
      <c r="DH57" s="397"/>
      <c r="DI57" s="397"/>
      <c r="DJ57" s="397"/>
      <c r="DK57" s="397"/>
      <c r="DL57" s="397"/>
      <c r="DM57" s="397"/>
      <c r="DN57" s="397"/>
      <c r="DO57" s="397"/>
      <c r="DP57" s="397"/>
      <c r="DQ57" s="397"/>
      <c r="DR57" s="397"/>
      <c r="DS57" s="397"/>
      <c r="DT57" s="397"/>
    </row>
    <row r="58" spans="1:145" s="300" customFormat="1" ht="15" customHeight="1" thickBot="1">
      <c r="A58" s="114"/>
      <c r="F58" s="114">
        <f t="shared" si="0"/>
        <v>45</v>
      </c>
      <c r="G58" s="370" t="s">
        <v>63</v>
      </c>
      <c r="H58" s="370"/>
      <c r="I58" s="366"/>
      <c r="J58" s="376"/>
      <c r="K58" s="384">
        <f>K55-K57</f>
        <v>16069958.616006494</v>
      </c>
      <c r="P58" s="397"/>
      <c r="Q58" s="397"/>
      <c r="R58" s="397"/>
      <c r="S58" s="397"/>
      <c r="T58" s="397"/>
      <c r="U58" s="397"/>
      <c r="V58" s="397"/>
      <c r="W58" s="397"/>
      <c r="X58" s="397"/>
      <c r="Y58" s="225"/>
      <c r="Z58" s="225"/>
      <c r="AA58" s="225"/>
      <c r="AB58" s="225"/>
      <c r="AC58" s="225"/>
      <c r="AD58" s="259"/>
      <c r="AE58" s="259"/>
      <c r="AF58" s="259"/>
      <c r="AG58" s="259"/>
      <c r="AH58" s="259"/>
      <c r="AP58" s="123"/>
      <c r="AQ58" s="225"/>
      <c r="AR58" s="225"/>
      <c r="AS58" s="225"/>
      <c r="AT58" s="225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258"/>
      <c r="BF58" s="257"/>
      <c r="BG58" s="257"/>
      <c r="BH58" s="257"/>
      <c r="BI58" s="225"/>
      <c r="BJ58" s="225"/>
      <c r="BK58" s="225"/>
      <c r="BL58" s="225"/>
      <c r="CK58" s="123"/>
      <c r="CL58" s="123"/>
      <c r="CO58" s="123"/>
      <c r="CP58" s="123"/>
      <c r="CQ58" s="397"/>
      <c r="CR58" s="397"/>
      <c r="CS58" s="397"/>
      <c r="CT58" s="397"/>
      <c r="CU58" s="397"/>
      <c r="CV58" s="397"/>
      <c r="CW58" s="397"/>
      <c r="CX58" s="397"/>
      <c r="CY58" s="397"/>
      <c r="CZ58" s="397"/>
      <c r="DF58" s="397"/>
      <c r="DG58" s="397"/>
      <c r="DH58" s="397"/>
      <c r="DI58" s="397"/>
      <c r="DJ58" s="397"/>
      <c r="DK58" s="397"/>
      <c r="DL58" s="397"/>
      <c r="DM58" s="397"/>
      <c r="DN58" s="397"/>
      <c r="DO58" s="397"/>
      <c r="DP58" s="397"/>
      <c r="DQ58" s="397"/>
      <c r="DR58" s="397"/>
      <c r="DS58" s="397"/>
      <c r="DT58" s="397"/>
      <c r="EO58" s="247"/>
    </row>
    <row r="59" spans="1:145" s="300" customFormat="1" ht="15" customHeight="1" thickTop="1">
      <c r="A59" s="18"/>
      <c r="F59" s="114"/>
      <c r="G59" s="397"/>
      <c r="H59" s="397"/>
      <c r="I59" s="397"/>
      <c r="J59" s="397"/>
      <c r="K59" s="397"/>
      <c r="P59" s="397"/>
      <c r="Q59" s="397"/>
      <c r="R59" s="397"/>
      <c r="S59" s="397"/>
      <c r="T59" s="397"/>
      <c r="U59" s="397"/>
      <c r="V59" s="397"/>
      <c r="W59" s="397"/>
      <c r="X59" s="397"/>
      <c r="Y59" s="225"/>
      <c r="Z59" s="225"/>
      <c r="AA59" s="225"/>
      <c r="AB59" s="225"/>
      <c r="AC59" s="225"/>
      <c r="AD59" s="259"/>
      <c r="AE59" s="259"/>
      <c r="AF59" s="259"/>
      <c r="AG59" s="259"/>
      <c r="AH59" s="259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259"/>
      <c r="BA59" s="259"/>
      <c r="BB59" s="259"/>
      <c r="BC59" s="259"/>
      <c r="BD59" s="259"/>
      <c r="BE59" s="258"/>
      <c r="BF59" s="257"/>
      <c r="BG59" s="257"/>
      <c r="BH59" s="257"/>
      <c r="BI59" s="225"/>
      <c r="BJ59" s="225"/>
      <c r="BK59" s="225"/>
      <c r="BL59" s="225"/>
      <c r="BM59" s="84"/>
      <c r="CK59" s="123"/>
      <c r="CL59" s="123"/>
      <c r="CO59" s="123"/>
      <c r="CP59" s="123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F59" s="397"/>
      <c r="DG59" s="397"/>
      <c r="DH59" s="397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7"/>
      <c r="DT59" s="397"/>
      <c r="EO59" s="247"/>
    </row>
    <row r="60" spans="1:145" s="300" customFormat="1" ht="13.5" customHeight="1">
      <c r="A60" s="18"/>
      <c r="F60" s="114"/>
      <c r="K60" s="114"/>
      <c r="P60" s="397"/>
      <c r="Q60" s="397"/>
      <c r="R60" s="397"/>
      <c r="S60" s="397"/>
      <c r="T60" s="397"/>
      <c r="U60" s="397"/>
      <c r="V60" s="397"/>
      <c r="W60" s="397"/>
      <c r="X60" s="397"/>
      <c r="Y60" s="225"/>
      <c r="Z60" s="225"/>
      <c r="AA60" s="225"/>
      <c r="AB60" s="225"/>
      <c r="AC60" s="225"/>
      <c r="AE60" s="259"/>
      <c r="AF60" s="259"/>
      <c r="AG60" s="259"/>
      <c r="AH60" s="259"/>
      <c r="AP60" s="259"/>
      <c r="AQ60" s="123"/>
      <c r="AR60" s="123"/>
      <c r="AS60" s="123"/>
      <c r="AT60" s="123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7"/>
      <c r="BF60" s="257"/>
      <c r="BG60" s="257"/>
      <c r="BH60" s="257"/>
      <c r="BI60" s="123"/>
      <c r="BJ60" s="123"/>
      <c r="BK60" s="123"/>
      <c r="BL60" s="123"/>
      <c r="CK60" s="259"/>
      <c r="CL60" s="259"/>
      <c r="CO60" s="259"/>
      <c r="CP60" s="259"/>
      <c r="CQ60" s="397"/>
      <c r="CR60" s="397"/>
      <c r="CS60" s="397"/>
      <c r="CT60" s="397"/>
      <c r="CU60" s="397"/>
      <c r="CV60" s="397"/>
      <c r="CW60" s="397"/>
      <c r="CX60" s="397"/>
      <c r="CY60" s="397"/>
      <c r="CZ60" s="397"/>
      <c r="DF60" s="397"/>
      <c r="DG60" s="397"/>
      <c r="DH60" s="397"/>
      <c r="DI60" s="397"/>
      <c r="DJ60" s="397"/>
      <c r="DK60" s="397"/>
      <c r="DL60" s="397"/>
      <c r="DM60" s="397"/>
      <c r="DN60" s="397"/>
      <c r="DO60" s="397"/>
      <c r="DP60" s="397"/>
      <c r="DQ60" s="397"/>
      <c r="DR60" s="397"/>
      <c r="DS60" s="397"/>
      <c r="DT60" s="397"/>
    </row>
    <row r="61" spans="1:145" s="300" customFormat="1" ht="15.75" customHeight="1">
      <c r="A61" s="18"/>
      <c r="B61" s="137"/>
      <c r="C61" s="137"/>
      <c r="D61" s="137"/>
      <c r="E61" s="137"/>
      <c r="F61" s="114"/>
      <c r="P61" s="397"/>
      <c r="Q61" s="397"/>
      <c r="R61" s="397"/>
      <c r="S61" s="397"/>
      <c r="T61" s="397"/>
      <c r="U61" s="397"/>
      <c r="V61" s="397"/>
      <c r="W61" s="397"/>
      <c r="X61" s="397"/>
      <c r="Y61" s="225"/>
      <c r="Z61" s="225"/>
      <c r="AA61" s="225"/>
      <c r="AB61" s="225"/>
      <c r="AC61" s="225"/>
      <c r="AP61" s="259"/>
      <c r="AQ61" s="123"/>
      <c r="AR61" s="123"/>
      <c r="AS61" s="123"/>
      <c r="AT61" s="123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7"/>
      <c r="BF61" s="257"/>
      <c r="BG61" s="257"/>
      <c r="BH61" s="257"/>
      <c r="BI61" s="123"/>
      <c r="BJ61" s="123"/>
      <c r="BK61" s="123"/>
      <c r="BL61" s="123"/>
      <c r="CK61" s="259"/>
      <c r="CL61" s="259"/>
      <c r="CO61" s="259"/>
      <c r="CP61" s="259"/>
      <c r="CQ61" s="397"/>
      <c r="CR61" s="397"/>
      <c r="CS61" s="397"/>
      <c r="CT61" s="397"/>
      <c r="CU61" s="397"/>
      <c r="CV61" s="397"/>
      <c r="CW61" s="397"/>
      <c r="CX61" s="397"/>
      <c r="CY61" s="397"/>
      <c r="CZ61" s="397"/>
      <c r="DF61" s="397"/>
      <c r="DG61" s="397"/>
      <c r="DH61" s="397"/>
      <c r="DI61" s="397"/>
      <c r="DJ61" s="397"/>
      <c r="DK61" s="397"/>
      <c r="DL61" s="397"/>
      <c r="DM61" s="397"/>
      <c r="DN61" s="397"/>
      <c r="DO61" s="397"/>
      <c r="DP61" s="397"/>
      <c r="DQ61" s="397"/>
      <c r="DR61" s="397"/>
      <c r="DS61" s="397"/>
      <c r="DT61" s="397"/>
    </row>
    <row r="62" spans="1:145" s="300" customFormat="1" ht="15.75" customHeight="1">
      <c r="A62" s="123"/>
      <c r="B62" s="258"/>
      <c r="C62" s="258"/>
      <c r="D62" s="258"/>
      <c r="E62" s="258"/>
      <c r="F62" s="18"/>
      <c r="P62" s="397"/>
      <c r="Q62" s="397"/>
      <c r="R62" s="397"/>
      <c r="S62" s="397"/>
      <c r="T62" s="397"/>
      <c r="U62" s="397"/>
      <c r="V62" s="397"/>
      <c r="W62" s="397"/>
      <c r="X62" s="397"/>
      <c r="Y62" s="225"/>
      <c r="Z62" s="225"/>
      <c r="AA62" s="225"/>
      <c r="AB62" s="225"/>
      <c r="AC62" s="225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7"/>
      <c r="BF62" s="257"/>
      <c r="BG62" s="257"/>
      <c r="BH62" s="257"/>
      <c r="BI62" s="123"/>
      <c r="BJ62" s="123"/>
      <c r="BK62" s="123"/>
      <c r="BL62" s="123"/>
      <c r="CK62" s="259"/>
      <c r="CL62" s="259"/>
      <c r="CO62" s="259"/>
      <c r="CP62" s="259"/>
      <c r="CQ62" s="397"/>
      <c r="CR62" s="397"/>
      <c r="CS62" s="397"/>
      <c r="CT62" s="397"/>
      <c r="CU62" s="397"/>
      <c r="CV62" s="397"/>
      <c r="CW62" s="397"/>
      <c r="CX62" s="397"/>
      <c r="CY62" s="397"/>
      <c r="CZ62" s="397"/>
      <c r="DF62" s="397"/>
      <c r="DG62" s="397"/>
      <c r="DH62" s="397"/>
      <c r="DI62" s="397"/>
      <c r="DJ62" s="397"/>
      <c r="DK62" s="397"/>
      <c r="DL62" s="397"/>
      <c r="DM62" s="397"/>
      <c r="DN62" s="397"/>
      <c r="DO62" s="397"/>
      <c r="DP62" s="397"/>
      <c r="DQ62" s="397"/>
      <c r="DR62" s="397"/>
      <c r="DS62" s="397"/>
      <c r="DT62" s="397"/>
    </row>
    <row r="63" spans="1:145" s="300" customFormat="1" ht="15" customHeight="1">
      <c r="A63" s="18"/>
      <c r="B63" s="258"/>
      <c r="C63" s="258"/>
      <c r="D63" s="258"/>
      <c r="E63" s="258"/>
      <c r="F63" s="18"/>
      <c r="P63" s="397"/>
      <c r="Q63" s="397"/>
      <c r="R63" s="397"/>
      <c r="S63" s="397"/>
      <c r="T63" s="397"/>
      <c r="U63" s="397"/>
      <c r="V63" s="397"/>
      <c r="W63" s="397"/>
      <c r="X63" s="397"/>
      <c r="Y63" s="225"/>
      <c r="Z63" s="225"/>
      <c r="AA63" s="225"/>
      <c r="AB63" s="225"/>
      <c r="AC63" s="225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7"/>
      <c r="BF63" s="257"/>
      <c r="BG63" s="257"/>
      <c r="BH63" s="257"/>
      <c r="BI63" s="259"/>
      <c r="BJ63" s="259"/>
      <c r="BK63" s="259"/>
      <c r="BL63" s="259"/>
      <c r="CK63" s="259"/>
      <c r="CL63" s="259"/>
      <c r="CO63" s="259"/>
      <c r="CP63" s="259"/>
      <c r="CQ63" s="397"/>
      <c r="CR63" s="397"/>
      <c r="CS63" s="397"/>
      <c r="CT63" s="397"/>
      <c r="CU63" s="397"/>
      <c r="CV63" s="397"/>
      <c r="CW63" s="397"/>
      <c r="CX63" s="397"/>
      <c r="CY63" s="397"/>
      <c r="CZ63" s="397"/>
      <c r="DF63" s="397"/>
      <c r="DG63" s="397"/>
      <c r="DH63" s="397"/>
      <c r="DI63" s="397"/>
      <c r="DJ63" s="397"/>
      <c r="DK63" s="397"/>
      <c r="DL63" s="397"/>
      <c r="DM63" s="397"/>
      <c r="DN63" s="397"/>
      <c r="DO63" s="397"/>
      <c r="DP63" s="397"/>
      <c r="DQ63" s="397"/>
      <c r="DR63" s="397"/>
      <c r="DS63" s="397"/>
      <c r="DT63" s="397"/>
    </row>
    <row r="64" spans="1:145" s="300" customFormat="1" ht="13.5" customHeight="1">
      <c r="A64" s="18"/>
      <c r="B64" s="258"/>
      <c r="C64" s="258"/>
      <c r="D64" s="258"/>
      <c r="E64" s="258"/>
      <c r="F64" s="18"/>
      <c r="P64" s="397"/>
      <c r="Q64" s="397"/>
      <c r="R64" s="397"/>
      <c r="S64" s="397"/>
      <c r="T64" s="397"/>
      <c r="U64" s="397"/>
      <c r="V64" s="397"/>
      <c r="W64" s="397"/>
      <c r="X64" s="397"/>
      <c r="Y64" s="225"/>
      <c r="Z64" s="123"/>
      <c r="AA64" s="123"/>
      <c r="AB64" s="123"/>
      <c r="AC64" s="123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7"/>
      <c r="BF64" s="257"/>
      <c r="BG64" s="257"/>
      <c r="BH64" s="257"/>
      <c r="BI64" s="259"/>
      <c r="BJ64" s="259"/>
      <c r="BK64" s="259"/>
      <c r="BL64" s="259"/>
      <c r="CK64" s="259"/>
      <c r="CL64" s="259"/>
      <c r="CO64" s="259"/>
      <c r="CP64" s="259"/>
      <c r="CQ64" s="397"/>
      <c r="CR64" s="397"/>
      <c r="CS64" s="397"/>
      <c r="CT64" s="397"/>
      <c r="CU64" s="397"/>
      <c r="CV64" s="397"/>
      <c r="CW64" s="397"/>
      <c r="CX64" s="397"/>
      <c r="CY64" s="397"/>
      <c r="CZ64" s="397"/>
      <c r="DF64" s="397"/>
      <c r="DG64" s="397"/>
      <c r="DH64" s="397"/>
      <c r="DI64" s="397"/>
      <c r="DJ64" s="397"/>
      <c r="DK64" s="397"/>
      <c r="DL64" s="397"/>
      <c r="DM64" s="397"/>
      <c r="DN64" s="397"/>
      <c r="DO64" s="397"/>
      <c r="DP64" s="397"/>
      <c r="DQ64" s="397"/>
      <c r="DR64" s="397"/>
      <c r="DS64" s="397"/>
      <c r="DT64" s="397"/>
    </row>
    <row r="65" spans="1:144" s="300" customFormat="1" ht="13.5" customHeight="1">
      <c r="A65" s="123"/>
      <c r="B65" s="258"/>
      <c r="C65" s="258"/>
      <c r="D65" s="258"/>
      <c r="E65" s="258"/>
      <c r="F65" s="123"/>
      <c r="P65" s="397"/>
      <c r="Q65" s="397"/>
      <c r="R65" s="397"/>
      <c r="S65" s="397"/>
      <c r="T65" s="397"/>
      <c r="U65" s="397"/>
      <c r="V65" s="397"/>
      <c r="W65" s="397"/>
      <c r="X65" s="397"/>
      <c r="Y65" s="225"/>
      <c r="Z65" s="123"/>
      <c r="AA65" s="123"/>
      <c r="AB65" s="123"/>
      <c r="AC65" s="123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BE65" s="257"/>
      <c r="BF65" s="257"/>
      <c r="BG65" s="257"/>
      <c r="BH65" s="257"/>
      <c r="BI65" s="259"/>
      <c r="BJ65" s="259"/>
      <c r="BK65" s="259"/>
      <c r="BL65" s="259"/>
      <c r="CK65" s="259"/>
      <c r="CL65" s="259"/>
      <c r="CO65" s="259"/>
      <c r="CP65" s="259"/>
      <c r="CQ65" s="397"/>
      <c r="CR65" s="397"/>
      <c r="CS65" s="397"/>
      <c r="CT65" s="397"/>
      <c r="CU65" s="397"/>
      <c r="CV65" s="397"/>
      <c r="CW65" s="397"/>
      <c r="CX65" s="397"/>
      <c r="CY65" s="397"/>
      <c r="CZ65" s="397"/>
      <c r="DF65" s="397"/>
      <c r="DG65" s="397"/>
      <c r="DH65" s="397"/>
      <c r="DI65" s="397"/>
      <c r="DJ65" s="397"/>
      <c r="DK65" s="397"/>
      <c r="DL65" s="397"/>
      <c r="DM65" s="397"/>
      <c r="DN65" s="397"/>
      <c r="DO65" s="397"/>
      <c r="DP65" s="397"/>
      <c r="DQ65" s="397"/>
      <c r="DR65" s="397"/>
      <c r="DS65" s="397"/>
      <c r="DT65" s="397"/>
    </row>
    <row r="66" spans="1:144" s="300" customFormat="1" ht="14.25" customHeight="1">
      <c r="A66" s="123"/>
      <c r="B66" s="332"/>
      <c r="C66" s="332"/>
      <c r="D66" s="332"/>
      <c r="E66" s="332"/>
      <c r="F66" s="18"/>
      <c r="P66" s="397"/>
      <c r="Q66" s="397"/>
      <c r="R66" s="397"/>
      <c r="S66" s="397"/>
      <c r="T66" s="397"/>
      <c r="U66" s="397"/>
      <c r="V66" s="397"/>
      <c r="W66" s="397"/>
      <c r="X66" s="397"/>
      <c r="Y66" s="123"/>
      <c r="Z66" s="123"/>
      <c r="AA66" s="123"/>
      <c r="AB66" s="123"/>
      <c r="AC66" s="123"/>
      <c r="AQ66" s="259"/>
      <c r="AR66" s="259"/>
      <c r="AS66" s="259"/>
      <c r="AT66" s="259"/>
      <c r="BE66" s="257"/>
      <c r="BF66" s="257"/>
      <c r="BG66" s="257"/>
      <c r="BH66" s="257"/>
      <c r="BI66" s="259"/>
      <c r="BJ66" s="259"/>
      <c r="BK66" s="259"/>
      <c r="BL66" s="259"/>
      <c r="CE66" s="110"/>
      <c r="CF66" s="110"/>
      <c r="CG66" s="110"/>
      <c r="CH66" s="110"/>
      <c r="CQ66" s="397"/>
      <c r="CR66" s="397"/>
      <c r="CS66" s="397"/>
      <c r="CT66" s="397"/>
      <c r="CU66" s="397"/>
      <c r="CV66" s="397"/>
      <c r="CW66" s="397"/>
      <c r="CX66" s="397"/>
      <c r="CY66" s="397"/>
      <c r="CZ66" s="397"/>
      <c r="DF66" s="397"/>
      <c r="DG66" s="397"/>
      <c r="DH66" s="397"/>
      <c r="DI66" s="397"/>
      <c r="DJ66" s="397"/>
      <c r="DK66" s="397"/>
      <c r="DL66" s="397"/>
      <c r="DM66" s="397"/>
      <c r="DN66" s="397"/>
      <c r="DO66" s="397"/>
      <c r="DP66" s="397"/>
      <c r="DQ66" s="397"/>
      <c r="DR66" s="397"/>
      <c r="DS66" s="397"/>
      <c r="DT66" s="397"/>
    </row>
    <row r="67" spans="1:144" s="300" customFormat="1" ht="12.75" customHeight="1">
      <c r="A67" s="123"/>
      <c r="B67" s="332"/>
      <c r="C67" s="332"/>
      <c r="D67" s="332"/>
      <c r="E67" s="332"/>
      <c r="F67" s="18"/>
      <c r="L67" s="241"/>
      <c r="P67" s="397"/>
      <c r="Q67" s="397"/>
      <c r="R67" s="397"/>
      <c r="S67" s="397"/>
      <c r="T67" s="397"/>
      <c r="U67" s="397"/>
      <c r="V67" s="397"/>
      <c r="W67" s="397"/>
      <c r="X67" s="397"/>
      <c r="Y67" s="123"/>
      <c r="Z67" s="259"/>
      <c r="AA67" s="259"/>
      <c r="AB67" s="259"/>
      <c r="AC67" s="259"/>
      <c r="AQ67" s="259"/>
      <c r="AR67" s="259"/>
      <c r="AS67" s="259"/>
      <c r="AT67" s="259"/>
      <c r="BE67" s="257"/>
      <c r="BF67" s="257"/>
      <c r="BG67" s="257"/>
      <c r="BH67" s="257"/>
      <c r="BI67" s="259"/>
      <c r="BJ67" s="259"/>
      <c r="BK67" s="259"/>
      <c r="BL67" s="259"/>
      <c r="CQ67" s="397"/>
      <c r="CR67" s="397"/>
      <c r="CS67" s="397"/>
      <c r="CT67" s="397"/>
      <c r="CU67" s="397"/>
      <c r="CV67" s="397"/>
      <c r="CW67" s="397"/>
      <c r="CX67" s="397"/>
      <c r="CY67" s="397"/>
      <c r="CZ67" s="397"/>
      <c r="DF67" s="397"/>
      <c r="DG67" s="397"/>
      <c r="DH67" s="397"/>
      <c r="DI67" s="397"/>
      <c r="DJ67" s="397"/>
      <c r="DK67" s="397"/>
      <c r="DL67" s="397"/>
      <c r="DM67" s="397"/>
      <c r="DN67" s="397"/>
      <c r="DO67" s="397"/>
      <c r="DP67" s="397"/>
      <c r="DQ67" s="397"/>
      <c r="DR67" s="397"/>
      <c r="DS67" s="397"/>
      <c r="DT67" s="397"/>
    </row>
    <row r="68" spans="1:144" s="300" customFormat="1" ht="12.75" customHeight="1">
      <c r="A68" s="123"/>
      <c r="B68" s="128"/>
      <c r="C68" s="128"/>
      <c r="D68" s="128"/>
      <c r="E68" s="128"/>
      <c r="F68" s="123"/>
      <c r="L68" s="241"/>
      <c r="M68" s="17"/>
      <c r="N68" s="17"/>
      <c r="O68" s="17"/>
      <c r="P68" s="397"/>
      <c r="Q68" s="397"/>
      <c r="R68" s="397"/>
      <c r="S68" s="397"/>
      <c r="T68" s="397"/>
      <c r="U68" s="397"/>
      <c r="V68" s="397"/>
      <c r="W68" s="397"/>
      <c r="X68" s="397"/>
      <c r="Y68" s="123"/>
      <c r="Z68" s="259"/>
      <c r="AA68" s="259"/>
      <c r="AB68" s="259"/>
      <c r="AC68" s="259"/>
      <c r="BE68" s="257"/>
      <c r="BF68" s="257"/>
      <c r="BG68" s="257"/>
      <c r="BH68" s="257"/>
      <c r="BI68" s="259"/>
      <c r="BJ68" s="259"/>
      <c r="BK68" s="259"/>
      <c r="BL68" s="259"/>
      <c r="CQ68" s="397"/>
      <c r="CR68" s="397"/>
      <c r="CS68" s="397"/>
      <c r="CT68" s="397"/>
      <c r="CU68" s="397"/>
      <c r="CV68" s="397"/>
      <c r="CW68" s="397"/>
      <c r="CX68" s="397"/>
      <c r="CY68" s="397"/>
      <c r="CZ68" s="397"/>
      <c r="DF68" s="397"/>
      <c r="DG68" s="397"/>
      <c r="DH68" s="397"/>
      <c r="DI68" s="397"/>
      <c r="DJ68" s="397"/>
      <c r="DK68" s="397"/>
      <c r="DL68" s="397"/>
      <c r="DM68" s="397"/>
      <c r="DN68" s="397"/>
      <c r="DO68" s="397"/>
      <c r="DP68" s="397"/>
      <c r="DQ68" s="397"/>
      <c r="DR68" s="397"/>
      <c r="DS68" s="397"/>
      <c r="DT68" s="397"/>
    </row>
    <row r="69" spans="1:144" s="300" customFormat="1" ht="12.75" customHeight="1">
      <c r="A69" s="123"/>
      <c r="B69" s="123"/>
      <c r="C69" s="123"/>
      <c r="D69" s="123"/>
      <c r="E69" s="123"/>
      <c r="F69" s="123"/>
      <c r="L69" s="241"/>
      <c r="M69" s="17"/>
      <c r="N69" s="17"/>
      <c r="O69" s="17"/>
      <c r="P69" s="397"/>
      <c r="Q69" s="397"/>
      <c r="R69" s="397"/>
      <c r="S69" s="397"/>
      <c r="T69" s="397"/>
      <c r="U69" s="397"/>
      <c r="V69" s="397"/>
      <c r="W69" s="397"/>
      <c r="X69" s="397"/>
      <c r="Y69" s="259"/>
      <c r="Z69" s="259"/>
      <c r="AA69" s="259"/>
      <c r="AB69" s="259"/>
      <c r="AC69" s="259"/>
      <c r="BE69" s="257"/>
      <c r="BF69" s="257"/>
      <c r="BG69" s="257"/>
      <c r="BH69" s="257"/>
      <c r="CQ69" s="397"/>
      <c r="CR69" s="397"/>
      <c r="CS69" s="397"/>
      <c r="CT69" s="397"/>
      <c r="CU69" s="397"/>
      <c r="CV69" s="397"/>
      <c r="CW69" s="397"/>
      <c r="CX69" s="397"/>
      <c r="CY69" s="397"/>
      <c r="CZ69" s="397"/>
      <c r="DF69" s="397"/>
      <c r="DG69" s="397"/>
      <c r="DH69" s="397"/>
      <c r="DI69" s="397"/>
      <c r="DJ69" s="397"/>
      <c r="DK69" s="397"/>
      <c r="DL69" s="397"/>
      <c r="DM69" s="397"/>
      <c r="DN69" s="397"/>
      <c r="DO69" s="397"/>
      <c r="DP69" s="397"/>
      <c r="DQ69" s="397"/>
      <c r="DR69" s="397"/>
      <c r="DS69" s="397"/>
      <c r="DT69" s="397"/>
    </row>
    <row r="70" spans="1:144" s="300" customFormat="1" ht="12.75" customHeight="1">
      <c r="A70" s="123"/>
      <c r="B70" s="258"/>
      <c r="C70" s="258"/>
      <c r="D70" s="258"/>
      <c r="E70" s="258"/>
      <c r="F70" s="123"/>
      <c r="L70" s="241"/>
      <c r="M70" s="17"/>
      <c r="N70" s="17"/>
      <c r="O70" s="17"/>
      <c r="P70" s="397"/>
      <c r="Q70" s="397"/>
      <c r="R70" s="397"/>
      <c r="S70" s="397"/>
      <c r="T70" s="397"/>
      <c r="U70" s="397"/>
      <c r="V70" s="397"/>
      <c r="W70" s="397"/>
      <c r="X70" s="397"/>
      <c r="Y70" s="259"/>
      <c r="Z70" s="259"/>
      <c r="AA70" s="259"/>
      <c r="AB70" s="259"/>
      <c r="AC70" s="259"/>
      <c r="BE70" s="257"/>
      <c r="BF70" s="257"/>
      <c r="BG70" s="257"/>
      <c r="BH70" s="257"/>
      <c r="CQ70" s="397"/>
      <c r="CR70" s="397"/>
      <c r="CS70" s="397"/>
      <c r="CT70" s="397"/>
      <c r="CU70" s="397"/>
      <c r="CV70" s="397"/>
      <c r="CW70" s="397"/>
      <c r="CX70" s="397"/>
      <c r="CY70" s="397"/>
      <c r="CZ70" s="397"/>
      <c r="DF70" s="397"/>
      <c r="DG70" s="397"/>
      <c r="DH70" s="397"/>
      <c r="DI70" s="397"/>
      <c r="DJ70" s="397"/>
      <c r="DK70" s="397"/>
      <c r="DL70" s="397"/>
      <c r="DM70" s="397"/>
      <c r="DN70" s="397"/>
      <c r="DO70" s="397"/>
      <c r="DP70" s="397"/>
      <c r="DQ70" s="397"/>
      <c r="DR70" s="397"/>
      <c r="DS70" s="397"/>
      <c r="DT70" s="397"/>
      <c r="EN70" s="123"/>
    </row>
    <row r="71" spans="1:144" s="300" customFormat="1" ht="12.75" customHeight="1">
      <c r="A71" s="123"/>
      <c r="B71" s="225"/>
      <c r="C71" s="225"/>
      <c r="D71" s="225"/>
      <c r="E71" s="225"/>
      <c r="F71" s="123"/>
      <c r="L71" s="123"/>
      <c r="M71" s="17"/>
      <c r="N71" s="17"/>
      <c r="O71" s="17"/>
      <c r="P71" s="397"/>
      <c r="Q71" s="397"/>
      <c r="R71" s="397"/>
      <c r="S71" s="397"/>
      <c r="T71" s="397"/>
      <c r="U71" s="397"/>
      <c r="V71" s="397"/>
      <c r="W71" s="397"/>
      <c r="X71" s="397"/>
      <c r="Y71" s="259"/>
      <c r="Z71" s="259"/>
      <c r="AA71" s="259"/>
      <c r="AB71" s="259"/>
      <c r="AC71" s="259"/>
      <c r="BE71" s="257"/>
      <c r="BF71" s="257"/>
      <c r="BG71" s="257"/>
      <c r="BH71" s="257"/>
      <c r="CD71" s="110"/>
      <c r="CQ71" s="397"/>
      <c r="CR71" s="397"/>
      <c r="CS71" s="397"/>
      <c r="CT71" s="397"/>
      <c r="CU71" s="397"/>
      <c r="CV71" s="397"/>
      <c r="CW71" s="397"/>
      <c r="CX71" s="397"/>
      <c r="CY71" s="397"/>
      <c r="CZ71" s="397"/>
      <c r="DF71" s="397"/>
      <c r="DG71" s="397"/>
      <c r="DH71" s="397"/>
      <c r="DI71" s="397"/>
      <c r="DJ71" s="397"/>
      <c r="DK71" s="397"/>
      <c r="DL71" s="397"/>
      <c r="DM71" s="397"/>
      <c r="DN71" s="397"/>
      <c r="DO71" s="397"/>
      <c r="DP71" s="397"/>
      <c r="DQ71" s="397"/>
      <c r="DR71" s="397"/>
      <c r="DS71" s="397"/>
      <c r="DT71" s="397"/>
      <c r="EN71" s="123"/>
    </row>
    <row r="72" spans="1:144" s="300" customFormat="1" ht="12.75" customHeight="1">
      <c r="A72" s="123"/>
      <c r="B72" s="102"/>
      <c r="C72" s="102"/>
      <c r="D72" s="102"/>
      <c r="E72" s="102"/>
      <c r="F72" s="123"/>
      <c r="M72" s="17"/>
      <c r="N72" s="17"/>
      <c r="O72" s="17"/>
      <c r="P72" s="397"/>
      <c r="Q72" s="397"/>
      <c r="R72" s="397"/>
      <c r="S72" s="397"/>
      <c r="T72" s="397"/>
      <c r="U72" s="397"/>
      <c r="V72" s="397"/>
      <c r="W72" s="397"/>
      <c r="X72" s="397"/>
      <c r="Y72" s="259"/>
      <c r="Z72" s="259"/>
      <c r="AA72" s="259"/>
      <c r="AB72" s="259"/>
      <c r="AC72" s="259"/>
      <c r="BE72" s="257"/>
      <c r="BF72" s="257"/>
      <c r="BG72" s="257"/>
      <c r="BH72" s="257"/>
      <c r="CQ72" s="397"/>
      <c r="CR72" s="397"/>
      <c r="CS72" s="397"/>
      <c r="CT72" s="397"/>
      <c r="CU72" s="397"/>
      <c r="CV72" s="397"/>
      <c r="CW72" s="397"/>
      <c r="CX72" s="397"/>
      <c r="CY72" s="397"/>
      <c r="CZ72" s="397"/>
      <c r="DF72" s="397"/>
      <c r="DG72" s="397"/>
      <c r="DH72" s="397"/>
      <c r="DI72" s="397"/>
      <c r="DJ72" s="397"/>
      <c r="DK72" s="397"/>
      <c r="DL72" s="397"/>
      <c r="DM72" s="397"/>
      <c r="DN72" s="397"/>
      <c r="DO72" s="397"/>
      <c r="DP72" s="397"/>
      <c r="DQ72" s="397"/>
      <c r="DR72" s="397"/>
      <c r="DS72" s="397"/>
      <c r="DT72" s="397"/>
      <c r="EN72" s="123"/>
    </row>
    <row r="73" spans="1:144" s="300" customFormat="1" ht="12.75" customHeight="1">
      <c r="A73" s="123"/>
      <c r="B73" s="102"/>
      <c r="C73" s="102"/>
      <c r="D73" s="102"/>
      <c r="E73" s="102"/>
      <c r="F73" s="123"/>
      <c r="M73" s="17"/>
      <c r="N73" s="17"/>
      <c r="O73" s="17"/>
      <c r="P73" s="397"/>
      <c r="Q73" s="397"/>
      <c r="R73" s="397"/>
      <c r="S73" s="397"/>
      <c r="T73" s="397"/>
      <c r="U73" s="397"/>
      <c r="V73" s="397"/>
      <c r="W73" s="397"/>
      <c r="X73" s="397"/>
      <c r="Y73" s="259"/>
      <c r="BE73" s="257"/>
      <c r="BF73" s="257"/>
      <c r="BG73" s="257"/>
      <c r="BH73" s="257"/>
      <c r="CQ73" s="397"/>
      <c r="CR73" s="397"/>
      <c r="CS73" s="397"/>
      <c r="CT73" s="397"/>
      <c r="CU73" s="397"/>
      <c r="CV73" s="397"/>
      <c r="CW73" s="397"/>
      <c r="CX73" s="397"/>
      <c r="CY73" s="397"/>
      <c r="CZ73" s="397"/>
      <c r="DF73" s="397"/>
      <c r="DG73" s="397"/>
      <c r="DH73" s="397"/>
      <c r="DI73" s="397"/>
      <c r="DJ73" s="397"/>
      <c r="DK73" s="397"/>
      <c r="DL73" s="397"/>
      <c r="DM73" s="397"/>
      <c r="DN73" s="397"/>
      <c r="DO73" s="397"/>
      <c r="DP73" s="397"/>
      <c r="DQ73" s="397"/>
      <c r="DR73" s="397"/>
      <c r="DS73" s="397"/>
      <c r="DT73" s="397"/>
      <c r="EN73" s="123"/>
    </row>
    <row r="74" spans="1:144" s="300" customFormat="1" ht="12.75" customHeight="1">
      <c r="A74" s="123"/>
      <c r="B74" s="105"/>
      <c r="C74" s="105"/>
      <c r="D74" s="105"/>
      <c r="E74" s="105"/>
      <c r="F74" s="123"/>
      <c r="M74" s="17"/>
      <c r="N74" s="17"/>
      <c r="O74" s="17"/>
      <c r="P74" s="397"/>
      <c r="Q74" s="397"/>
      <c r="R74" s="397"/>
      <c r="S74" s="397"/>
      <c r="T74" s="397"/>
      <c r="U74" s="397"/>
      <c r="V74" s="397"/>
      <c r="W74" s="397"/>
      <c r="X74" s="397"/>
      <c r="Y74" s="259"/>
      <c r="BE74" s="257"/>
      <c r="BF74" s="257"/>
      <c r="BG74" s="257"/>
      <c r="BH74" s="25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F74" s="397"/>
      <c r="DG74" s="397"/>
      <c r="DH74" s="397"/>
      <c r="DI74" s="397"/>
      <c r="DJ74" s="397"/>
      <c r="DK74" s="397"/>
      <c r="DL74" s="397"/>
      <c r="DM74" s="397"/>
      <c r="DN74" s="397"/>
      <c r="DO74" s="397"/>
      <c r="DP74" s="397"/>
      <c r="DQ74" s="397"/>
      <c r="DR74" s="397"/>
      <c r="DS74" s="397"/>
      <c r="DT74" s="397"/>
      <c r="EN74" s="123"/>
    </row>
    <row r="75" spans="1:144" s="300" customFormat="1" ht="12.75" customHeight="1">
      <c r="A75" s="123"/>
      <c r="B75" s="246"/>
      <c r="C75" s="246"/>
      <c r="D75" s="246"/>
      <c r="E75" s="246"/>
      <c r="F75" s="123"/>
      <c r="M75" s="17"/>
      <c r="N75" s="17"/>
      <c r="O75" s="17"/>
      <c r="P75" s="397"/>
      <c r="Q75" s="397"/>
      <c r="R75" s="397"/>
      <c r="S75" s="397"/>
      <c r="T75" s="397"/>
      <c r="U75" s="397"/>
      <c r="V75" s="397"/>
      <c r="W75" s="397"/>
      <c r="X75" s="397"/>
      <c r="BE75" s="257"/>
      <c r="BF75" s="257"/>
      <c r="BG75" s="257"/>
      <c r="BH75" s="25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7"/>
      <c r="DQ75" s="397"/>
      <c r="DR75" s="397"/>
      <c r="DS75" s="397"/>
      <c r="DT75" s="397"/>
      <c r="EN75" s="123"/>
    </row>
    <row r="76" spans="1:144" s="300" customFormat="1" ht="12.75" customHeight="1">
      <c r="A76" s="123"/>
      <c r="B76" s="246"/>
      <c r="C76" s="246"/>
      <c r="D76" s="246"/>
      <c r="E76" s="246"/>
      <c r="F76" s="123"/>
      <c r="M76" s="17"/>
      <c r="N76" s="17"/>
      <c r="O76" s="17"/>
      <c r="P76" s="397"/>
      <c r="Q76" s="397"/>
      <c r="R76" s="397"/>
      <c r="S76" s="397"/>
      <c r="T76" s="397"/>
      <c r="U76" s="397"/>
      <c r="V76" s="397"/>
      <c r="W76" s="397"/>
      <c r="X76" s="397"/>
      <c r="BE76" s="257"/>
      <c r="BF76" s="257"/>
      <c r="BG76" s="257"/>
      <c r="BH76" s="25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F76" s="397"/>
      <c r="DG76" s="397"/>
      <c r="DH76" s="397"/>
      <c r="DI76" s="397"/>
      <c r="DJ76" s="397"/>
      <c r="DK76" s="397"/>
      <c r="DL76" s="397"/>
      <c r="DM76" s="397"/>
      <c r="DN76" s="397"/>
      <c r="DO76" s="397"/>
      <c r="DP76" s="397"/>
      <c r="DQ76" s="397"/>
      <c r="DR76" s="397"/>
      <c r="DS76" s="397"/>
      <c r="DT76" s="397"/>
      <c r="EM76" s="123"/>
      <c r="EN76" s="123"/>
    </row>
    <row r="77" spans="1:144" s="300" customFormat="1">
      <c r="A77" s="123"/>
      <c r="B77" s="246"/>
      <c r="C77" s="246"/>
      <c r="D77" s="246"/>
      <c r="E77" s="246"/>
      <c r="F77" s="123"/>
      <c r="L77" s="123"/>
      <c r="M77" s="17"/>
      <c r="N77" s="17"/>
      <c r="O77" s="17"/>
      <c r="P77" s="397"/>
      <c r="Q77" s="397"/>
      <c r="R77" s="397"/>
      <c r="S77" s="397"/>
      <c r="T77" s="397"/>
      <c r="U77" s="397"/>
      <c r="W77" s="123"/>
      <c r="X77" s="123"/>
      <c r="BE77" s="257"/>
      <c r="BF77" s="257"/>
      <c r="BG77" s="257"/>
      <c r="BH77" s="25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F77" s="397"/>
      <c r="DG77" s="397"/>
      <c r="DH77" s="397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7"/>
      <c r="DT77" s="397"/>
      <c r="EM77" s="409"/>
      <c r="EN77" s="123"/>
    </row>
    <row r="78" spans="1:144" s="300" customFormat="1" ht="12.75" customHeight="1">
      <c r="A78" s="123"/>
      <c r="B78" s="105"/>
      <c r="C78" s="105"/>
      <c r="D78" s="105"/>
      <c r="E78" s="105"/>
      <c r="F78" s="123"/>
      <c r="L78" s="123"/>
      <c r="M78" s="17"/>
      <c r="N78" s="17"/>
      <c r="O78" s="17"/>
      <c r="P78" s="397"/>
      <c r="Q78" s="397"/>
      <c r="R78" s="397"/>
      <c r="S78" s="397"/>
      <c r="T78" s="397"/>
      <c r="U78" s="397"/>
      <c r="W78" s="123"/>
      <c r="X78" s="123"/>
      <c r="BE78" s="257"/>
      <c r="BF78" s="257"/>
      <c r="BG78" s="257"/>
      <c r="BH78" s="25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EM78" s="123"/>
      <c r="EN78" s="123"/>
    </row>
    <row r="79" spans="1:144" s="300" customFormat="1" ht="12.75" customHeight="1">
      <c r="A79" s="123"/>
      <c r="B79" s="105"/>
      <c r="C79" s="105"/>
      <c r="D79" s="105"/>
      <c r="E79" s="105"/>
      <c r="F79" s="123"/>
      <c r="L79" s="123"/>
      <c r="M79" s="17"/>
      <c r="N79" s="17"/>
      <c r="O79" s="17"/>
      <c r="P79" s="397"/>
      <c r="Q79" s="397"/>
      <c r="R79" s="397"/>
      <c r="S79" s="397"/>
      <c r="T79" s="397"/>
      <c r="U79" s="397"/>
      <c r="V79" s="123"/>
      <c r="W79" s="123"/>
      <c r="X79" s="123"/>
      <c r="BE79" s="257"/>
      <c r="BF79" s="257"/>
      <c r="BG79" s="257"/>
      <c r="BH79" s="257"/>
      <c r="CQ79" s="397"/>
      <c r="CR79" s="397"/>
      <c r="CS79" s="397"/>
      <c r="CT79" s="397"/>
      <c r="CU79" s="397"/>
      <c r="CV79" s="397"/>
      <c r="CW79" s="397"/>
      <c r="CX79" s="397"/>
      <c r="CY79" s="397"/>
      <c r="CZ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EM79" s="123"/>
      <c r="EN79" s="123"/>
    </row>
    <row r="80" spans="1:144" s="300" customFormat="1" ht="12.75" customHeight="1">
      <c r="A80" s="123"/>
      <c r="B80" s="105"/>
      <c r="C80" s="105"/>
      <c r="D80" s="105"/>
      <c r="E80" s="105"/>
      <c r="F80" s="123"/>
      <c r="L80" s="123"/>
      <c r="M80" s="17"/>
      <c r="N80" s="17"/>
      <c r="O80" s="17"/>
      <c r="P80" s="397"/>
      <c r="Q80" s="397"/>
      <c r="R80" s="397"/>
      <c r="S80" s="397"/>
      <c r="T80" s="397"/>
      <c r="U80" s="397"/>
      <c r="V80" s="123"/>
      <c r="W80" s="123"/>
      <c r="X80" s="123"/>
      <c r="BE80" s="257"/>
      <c r="BF80" s="257"/>
      <c r="BG80" s="257"/>
      <c r="BH80" s="25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7"/>
      <c r="DT80" s="397"/>
      <c r="EM80" s="123"/>
      <c r="EN80" s="123"/>
    </row>
    <row r="81" spans="1:144" s="300" customFormat="1" ht="12.75" customHeight="1">
      <c r="A81" s="123"/>
      <c r="B81" s="105"/>
      <c r="C81" s="105"/>
      <c r="D81" s="105"/>
      <c r="E81" s="105"/>
      <c r="F81" s="123"/>
      <c r="L81" s="123"/>
      <c r="M81" s="17"/>
      <c r="N81" s="17"/>
      <c r="O81" s="17"/>
      <c r="P81" s="397"/>
      <c r="Q81" s="397"/>
      <c r="R81" s="397"/>
      <c r="S81" s="397"/>
      <c r="T81" s="397"/>
      <c r="U81" s="397"/>
      <c r="V81" s="123"/>
      <c r="W81" s="123"/>
      <c r="X81" s="123"/>
      <c r="BE81" s="257"/>
      <c r="BF81" s="257"/>
      <c r="BG81" s="257"/>
      <c r="BH81" s="257"/>
      <c r="CQ81" s="397"/>
      <c r="CR81" s="397"/>
      <c r="CS81" s="397"/>
      <c r="CT81" s="397"/>
      <c r="CU81" s="397"/>
      <c r="CV81" s="397"/>
      <c r="CW81" s="397"/>
      <c r="CX81" s="397"/>
      <c r="CY81" s="397"/>
      <c r="CZ81" s="397"/>
      <c r="DF81" s="397"/>
      <c r="DG81" s="397"/>
      <c r="DH81" s="397"/>
      <c r="DI81" s="397"/>
      <c r="DJ81" s="397"/>
      <c r="DK81" s="397"/>
      <c r="DL81" s="397"/>
      <c r="DM81" s="397"/>
      <c r="DN81" s="397"/>
      <c r="DO81" s="397"/>
      <c r="DP81" s="397"/>
      <c r="DQ81" s="397"/>
      <c r="DR81" s="397"/>
      <c r="DS81" s="397"/>
      <c r="DT81" s="397"/>
      <c r="EN81" s="123"/>
    </row>
    <row r="82" spans="1:144" s="300" customFormat="1" ht="12.75" customHeight="1">
      <c r="A82" s="123"/>
      <c r="B82" s="105"/>
      <c r="C82" s="105"/>
      <c r="D82" s="105"/>
      <c r="E82" s="105"/>
      <c r="F82" s="123"/>
      <c r="L82" s="123"/>
      <c r="M82" s="17"/>
      <c r="N82" s="17"/>
      <c r="O82" s="17"/>
      <c r="P82" s="397"/>
      <c r="Q82" s="397"/>
      <c r="R82" s="397"/>
      <c r="S82" s="397"/>
      <c r="T82" s="397"/>
      <c r="U82" s="397"/>
      <c r="V82" s="123"/>
      <c r="W82" s="123"/>
      <c r="X82" s="123"/>
      <c r="BE82" s="257"/>
      <c r="BF82" s="257"/>
      <c r="BG82" s="257"/>
      <c r="BH82" s="257"/>
      <c r="CQ82" s="397"/>
      <c r="CR82" s="397"/>
      <c r="CS82" s="397"/>
      <c r="CT82" s="397"/>
      <c r="CU82" s="397"/>
      <c r="CV82" s="397"/>
      <c r="CW82" s="397"/>
      <c r="CX82" s="397"/>
      <c r="CY82" s="397"/>
      <c r="CZ82" s="397"/>
      <c r="DF82" s="397"/>
      <c r="DG82" s="397"/>
      <c r="DH82" s="397"/>
      <c r="DI82" s="397"/>
      <c r="DJ82" s="397"/>
      <c r="DK82" s="397"/>
      <c r="DL82" s="397"/>
      <c r="DM82" s="397"/>
      <c r="DN82" s="397"/>
      <c r="DO82" s="397"/>
      <c r="DP82" s="397"/>
      <c r="DQ82" s="397"/>
      <c r="DR82" s="397"/>
      <c r="DS82" s="397"/>
      <c r="DT82" s="397"/>
      <c r="EN82" s="123"/>
    </row>
    <row r="83" spans="1:144" s="300" customFormat="1" ht="12.75" customHeight="1">
      <c r="A83" s="123"/>
      <c r="B83" s="105"/>
      <c r="C83" s="105"/>
      <c r="D83" s="105"/>
      <c r="E83" s="105"/>
      <c r="F83" s="123"/>
      <c r="L83" s="123"/>
      <c r="M83" s="17"/>
      <c r="N83" s="17"/>
      <c r="O83" s="17"/>
      <c r="P83" s="397"/>
      <c r="Q83" s="397"/>
      <c r="R83" s="397"/>
      <c r="S83" s="397"/>
      <c r="T83" s="397"/>
      <c r="U83" s="397"/>
      <c r="V83" s="123"/>
      <c r="W83" s="123"/>
      <c r="X83" s="123"/>
      <c r="BE83" s="257"/>
      <c r="BF83" s="257"/>
      <c r="BG83" s="257"/>
      <c r="BH83" s="257"/>
      <c r="CQ83" s="397"/>
      <c r="CR83" s="397"/>
      <c r="CS83" s="397"/>
      <c r="CT83" s="397"/>
      <c r="CU83" s="397"/>
      <c r="CV83" s="397"/>
      <c r="CW83" s="397"/>
      <c r="CX83" s="397"/>
      <c r="CY83" s="397"/>
      <c r="CZ83" s="397"/>
      <c r="DF83" s="397"/>
      <c r="DG83" s="397"/>
      <c r="DH83" s="397"/>
      <c r="DI83" s="397"/>
      <c r="DJ83" s="397"/>
      <c r="DK83" s="397"/>
      <c r="DL83" s="397"/>
      <c r="DM83" s="397"/>
      <c r="DN83" s="397"/>
      <c r="DO83" s="397"/>
      <c r="DP83" s="397"/>
      <c r="DQ83" s="397"/>
      <c r="DR83" s="397"/>
      <c r="DS83" s="397"/>
      <c r="DT83" s="397"/>
      <c r="EN83" s="409"/>
    </row>
    <row r="84" spans="1:144" s="300" customFormat="1" ht="12.75" customHeight="1">
      <c r="A84" s="123"/>
      <c r="B84" s="105"/>
      <c r="C84" s="105"/>
      <c r="D84" s="105"/>
      <c r="E84" s="105"/>
      <c r="F84" s="123"/>
      <c r="L84" s="123"/>
      <c r="M84" s="17"/>
      <c r="N84" s="17"/>
      <c r="O84" s="17"/>
      <c r="P84" s="397"/>
      <c r="Q84" s="397"/>
      <c r="R84" s="397"/>
      <c r="S84" s="397"/>
      <c r="T84" s="397"/>
      <c r="U84" s="397"/>
      <c r="V84" s="123"/>
      <c r="W84" s="123"/>
      <c r="X84" s="123"/>
      <c r="BE84" s="257"/>
      <c r="BF84" s="257"/>
      <c r="BG84" s="257"/>
      <c r="BH84" s="257"/>
      <c r="CQ84" s="397"/>
      <c r="CR84" s="397"/>
      <c r="CS84" s="397"/>
      <c r="CT84" s="397"/>
      <c r="CU84" s="397"/>
      <c r="CV84" s="397"/>
      <c r="CW84" s="397"/>
      <c r="CX84" s="397"/>
      <c r="CY84" s="397"/>
      <c r="CZ84" s="397"/>
      <c r="DF84" s="397"/>
      <c r="DG84" s="397"/>
      <c r="DH84" s="397"/>
      <c r="DI84" s="397"/>
      <c r="DJ84" s="397"/>
      <c r="DK84" s="397"/>
      <c r="DL84" s="397"/>
      <c r="DM84" s="397"/>
      <c r="DN84" s="397"/>
      <c r="DO84" s="397"/>
      <c r="DP84" s="397"/>
      <c r="DQ84" s="397"/>
      <c r="DR84" s="397"/>
      <c r="DS84" s="397"/>
      <c r="DT84" s="397"/>
      <c r="EN84" s="123"/>
    </row>
    <row r="85" spans="1:144" s="300" customFormat="1" ht="12.75" customHeight="1">
      <c r="A85" s="123"/>
      <c r="B85" s="105"/>
      <c r="C85" s="105"/>
      <c r="D85" s="105"/>
      <c r="E85" s="105"/>
      <c r="F85" s="123"/>
      <c r="L85" s="123"/>
      <c r="M85" s="17"/>
      <c r="N85" s="17"/>
      <c r="O85" s="17"/>
      <c r="P85" s="397"/>
      <c r="Q85" s="397"/>
      <c r="R85" s="397"/>
      <c r="S85" s="397"/>
      <c r="T85" s="397"/>
      <c r="U85" s="397"/>
      <c r="V85" s="123"/>
      <c r="W85" s="123"/>
      <c r="X85" s="123"/>
      <c r="BE85" s="257"/>
      <c r="BF85" s="257"/>
      <c r="BG85" s="257"/>
      <c r="BH85" s="257"/>
      <c r="CQ85" s="397"/>
      <c r="CR85" s="397"/>
      <c r="CS85" s="397"/>
      <c r="CT85" s="397"/>
      <c r="CU85" s="397"/>
      <c r="CV85" s="397"/>
      <c r="CW85" s="397"/>
      <c r="CX85" s="397"/>
      <c r="CY85" s="397"/>
      <c r="CZ85" s="397"/>
      <c r="DF85" s="397"/>
      <c r="DG85" s="397"/>
      <c r="DH85" s="397"/>
      <c r="DI85" s="397"/>
      <c r="DJ85" s="397"/>
      <c r="DK85" s="397"/>
      <c r="DL85" s="397"/>
      <c r="DM85" s="397"/>
      <c r="DN85" s="397"/>
      <c r="DO85" s="397"/>
      <c r="DP85" s="397"/>
      <c r="DQ85" s="397"/>
      <c r="DR85" s="397"/>
      <c r="DS85" s="397"/>
      <c r="DT85" s="397"/>
      <c r="EN85" s="123"/>
    </row>
    <row r="86" spans="1:144" s="300" customFormat="1" ht="12.75" customHeight="1">
      <c r="A86" s="123"/>
      <c r="B86" s="105"/>
      <c r="C86" s="105"/>
      <c r="D86" s="105"/>
      <c r="E86" s="105"/>
      <c r="F86" s="123"/>
      <c r="L86" s="123"/>
      <c r="M86" s="17"/>
      <c r="N86" s="17"/>
      <c r="O86" s="17"/>
      <c r="P86" s="397"/>
      <c r="Q86" s="397"/>
      <c r="R86" s="397"/>
      <c r="S86" s="397"/>
      <c r="T86" s="397"/>
      <c r="U86" s="397"/>
      <c r="V86" s="123"/>
      <c r="W86" s="123"/>
      <c r="X86" s="123"/>
      <c r="BE86" s="257"/>
      <c r="BF86" s="257"/>
      <c r="BG86" s="257"/>
      <c r="BH86" s="25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397"/>
      <c r="DR86" s="397"/>
      <c r="DS86" s="397"/>
      <c r="DT86" s="397"/>
      <c r="EN86" s="123"/>
    </row>
    <row r="87" spans="1:144" s="300" customFormat="1" ht="12.75" customHeight="1">
      <c r="A87" s="123"/>
      <c r="B87" s="105"/>
      <c r="C87" s="105"/>
      <c r="D87" s="105"/>
      <c r="E87" s="105"/>
      <c r="F87" s="123"/>
      <c r="L87" s="123"/>
      <c r="M87" s="17"/>
      <c r="N87" s="17"/>
      <c r="O87" s="17"/>
      <c r="P87" s="397"/>
      <c r="Q87" s="397"/>
      <c r="R87" s="397"/>
      <c r="S87" s="397"/>
      <c r="T87" s="397"/>
      <c r="U87" s="397"/>
      <c r="V87" s="123"/>
      <c r="W87" s="123"/>
      <c r="X87" s="123"/>
      <c r="BE87" s="257"/>
      <c r="BF87" s="257"/>
      <c r="BG87" s="257"/>
      <c r="BH87" s="25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EN87" s="123"/>
    </row>
    <row r="88" spans="1:144" s="300" customFormat="1" ht="12.75" customHeight="1">
      <c r="A88" s="123"/>
      <c r="B88" s="105"/>
      <c r="C88" s="105"/>
      <c r="D88" s="105"/>
      <c r="E88" s="105"/>
      <c r="F88" s="123"/>
      <c r="L88" s="123"/>
      <c r="M88" s="17"/>
      <c r="N88" s="17"/>
      <c r="O88" s="17"/>
      <c r="P88" s="397"/>
      <c r="Q88" s="397"/>
      <c r="R88" s="397"/>
      <c r="S88" s="397"/>
      <c r="T88" s="397"/>
      <c r="U88" s="397"/>
      <c r="V88" s="123"/>
      <c r="W88" s="123"/>
      <c r="X88" s="123"/>
      <c r="BE88" s="257"/>
      <c r="BF88" s="257"/>
      <c r="BG88" s="257"/>
      <c r="BH88" s="25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397"/>
      <c r="DR88" s="397"/>
      <c r="DS88" s="397"/>
      <c r="DT88" s="397"/>
      <c r="EN88" s="123"/>
    </row>
    <row r="89" spans="1:144" s="300" customFormat="1" ht="12.75" customHeight="1">
      <c r="A89" s="123"/>
      <c r="B89" s="105"/>
      <c r="C89" s="105"/>
      <c r="D89" s="105"/>
      <c r="E89" s="105"/>
      <c r="F89" s="123"/>
      <c r="L89" s="123"/>
      <c r="M89" s="123"/>
      <c r="N89" s="123"/>
      <c r="O89" s="123"/>
      <c r="P89" s="397"/>
      <c r="Q89" s="397"/>
      <c r="R89" s="397"/>
      <c r="S89" s="397"/>
      <c r="T89" s="397"/>
      <c r="U89" s="397"/>
      <c r="V89" s="123"/>
      <c r="W89" s="123"/>
      <c r="X89" s="123"/>
      <c r="BE89" s="257"/>
      <c r="BF89" s="257"/>
      <c r="BG89" s="257"/>
      <c r="BH89" s="25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397"/>
      <c r="DR89" s="397"/>
      <c r="DS89" s="397"/>
      <c r="DT89" s="397"/>
      <c r="EN89" s="123"/>
    </row>
    <row r="90" spans="1:144" s="300" customFormat="1" ht="12.75" customHeight="1">
      <c r="A90" s="123"/>
      <c r="B90" s="123"/>
      <c r="C90" s="123"/>
      <c r="D90" s="123"/>
      <c r="E90" s="123"/>
      <c r="F90" s="123"/>
      <c r="L90" s="123"/>
      <c r="M90" s="123"/>
      <c r="N90" s="123"/>
      <c r="O90" s="123"/>
      <c r="P90" s="397"/>
      <c r="Q90" s="397"/>
      <c r="R90" s="397"/>
      <c r="S90" s="397"/>
      <c r="T90" s="397"/>
      <c r="U90" s="397"/>
      <c r="V90" s="123"/>
      <c r="W90" s="123"/>
      <c r="X90" s="123"/>
      <c r="BE90" s="257"/>
      <c r="BF90" s="257"/>
      <c r="BG90" s="257"/>
      <c r="BH90" s="25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397"/>
      <c r="DR90" s="397"/>
      <c r="DS90" s="397"/>
      <c r="DT90" s="397"/>
      <c r="EN90" s="123"/>
    </row>
    <row r="91" spans="1:144" s="300" customFormat="1" ht="12.75" customHeight="1">
      <c r="A91" s="123"/>
      <c r="B91" s="123"/>
      <c r="C91" s="123"/>
      <c r="D91" s="123"/>
      <c r="E91" s="123"/>
      <c r="F91" s="123"/>
      <c r="L91" s="123"/>
      <c r="M91" s="123"/>
      <c r="N91" s="123"/>
      <c r="O91" s="123"/>
      <c r="P91" s="397"/>
      <c r="Q91" s="397"/>
      <c r="R91" s="397"/>
      <c r="S91" s="397"/>
      <c r="T91" s="397"/>
      <c r="U91" s="397"/>
      <c r="V91" s="123"/>
      <c r="W91" s="123"/>
      <c r="X91" s="123"/>
      <c r="BE91" s="257"/>
      <c r="BF91" s="257"/>
      <c r="BG91" s="257"/>
      <c r="BH91" s="257"/>
      <c r="CQ91" s="397"/>
      <c r="CR91" s="397"/>
      <c r="CS91" s="397"/>
      <c r="CT91" s="397"/>
      <c r="CU91" s="397"/>
      <c r="CV91" s="397"/>
      <c r="CW91" s="397"/>
      <c r="CX91" s="397"/>
      <c r="CY91" s="397"/>
      <c r="CZ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7"/>
      <c r="DQ91" s="397"/>
      <c r="DR91" s="397"/>
      <c r="DS91" s="397"/>
      <c r="DT91" s="397"/>
      <c r="EN91" s="123"/>
    </row>
    <row r="92" spans="1:144" s="300" customFormat="1" ht="12.75" customHeight="1">
      <c r="B92" s="123"/>
      <c r="C92" s="123"/>
      <c r="D92" s="123"/>
      <c r="E92" s="123"/>
      <c r="F92" s="123"/>
      <c r="L92" s="123"/>
      <c r="M92" s="123"/>
      <c r="N92" s="123"/>
      <c r="O92" s="123"/>
      <c r="P92" s="397"/>
      <c r="Q92" s="397"/>
      <c r="R92" s="397"/>
      <c r="S92" s="397"/>
      <c r="T92" s="397"/>
      <c r="U92" s="397"/>
      <c r="V92" s="123"/>
      <c r="W92" s="123"/>
      <c r="X92" s="123"/>
      <c r="BE92" s="257"/>
      <c r="BF92" s="257"/>
      <c r="BG92" s="257"/>
      <c r="BH92" s="257"/>
      <c r="CQ92" s="397"/>
      <c r="CR92" s="397"/>
      <c r="CS92" s="397"/>
      <c r="CT92" s="397"/>
      <c r="CU92" s="397"/>
      <c r="CV92" s="397"/>
      <c r="CW92" s="397"/>
      <c r="CX92" s="397"/>
      <c r="CY92" s="397"/>
      <c r="CZ92" s="397"/>
      <c r="DF92" s="397"/>
      <c r="DG92" s="397"/>
      <c r="DH92" s="397"/>
      <c r="DI92" s="397"/>
      <c r="DJ92" s="397"/>
      <c r="DK92" s="397"/>
      <c r="DL92" s="397"/>
      <c r="DM92" s="397"/>
      <c r="DN92" s="397"/>
      <c r="DO92" s="397"/>
      <c r="DP92" s="397"/>
      <c r="DQ92" s="397"/>
      <c r="DR92" s="397"/>
      <c r="DS92" s="397"/>
      <c r="DT92" s="397"/>
      <c r="EN92" s="123"/>
    </row>
    <row r="93" spans="1:144" s="300" customFormat="1" ht="12.75" customHeight="1">
      <c r="B93" s="123"/>
      <c r="C93" s="123"/>
      <c r="D93" s="123"/>
      <c r="E93" s="123"/>
      <c r="F93" s="123"/>
      <c r="L93" s="123"/>
      <c r="M93" s="123"/>
      <c r="N93" s="123"/>
      <c r="O93" s="123"/>
      <c r="P93" s="397"/>
      <c r="Q93" s="397"/>
      <c r="R93" s="397"/>
      <c r="S93" s="397"/>
      <c r="T93" s="397"/>
      <c r="U93" s="397"/>
      <c r="V93" s="123"/>
      <c r="W93" s="123"/>
      <c r="X93" s="123"/>
      <c r="BE93" s="257"/>
      <c r="BF93" s="257"/>
      <c r="BG93" s="257"/>
      <c r="BH93" s="257"/>
      <c r="CQ93" s="397"/>
      <c r="CR93" s="397"/>
      <c r="CS93" s="397"/>
      <c r="CT93" s="397"/>
      <c r="CU93" s="397"/>
      <c r="CV93" s="397"/>
      <c r="CW93" s="397"/>
      <c r="CX93" s="397"/>
      <c r="CY93" s="397"/>
      <c r="CZ93" s="397"/>
      <c r="DF93" s="397"/>
      <c r="DG93" s="397"/>
      <c r="DH93" s="397"/>
      <c r="DI93" s="397"/>
      <c r="DJ93" s="397"/>
      <c r="DK93" s="397"/>
      <c r="DL93" s="397"/>
      <c r="DM93" s="397"/>
      <c r="DN93" s="397"/>
      <c r="DO93" s="397"/>
      <c r="DP93" s="397"/>
      <c r="DQ93" s="397"/>
      <c r="DR93" s="397"/>
      <c r="DS93" s="397"/>
      <c r="DT93" s="397"/>
    </row>
    <row r="94" spans="1:144" s="300" customFormat="1" ht="12.75" customHeight="1">
      <c r="B94" s="123"/>
      <c r="C94" s="123"/>
      <c r="D94" s="123"/>
      <c r="E94" s="123"/>
      <c r="F94" s="123"/>
      <c r="L94" s="123"/>
      <c r="M94" s="123"/>
      <c r="N94" s="123"/>
      <c r="O94" s="123"/>
      <c r="P94" s="397"/>
      <c r="Q94" s="397"/>
      <c r="R94" s="397"/>
      <c r="S94" s="397"/>
      <c r="T94" s="397"/>
      <c r="U94" s="397"/>
      <c r="V94" s="123"/>
      <c r="W94" s="123"/>
      <c r="X94" s="123"/>
      <c r="BE94" s="257"/>
      <c r="BF94" s="257"/>
      <c r="BG94" s="257"/>
      <c r="BH94" s="257"/>
      <c r="CQ94" s="397"/>
      <c r="CR94" s="397"/>
      <c r="CS94" s="397"/>
      <c r="CT94" s="397"/>
      <c r="CU94" s="397"/>
      <c r="CV94" s="397"/>
      <c r="CW94" s="397"/>
      <c r="CX94" s="397"/>
      <c r="CY94" s="397"/>
      <c r="CZ94" s="397"/>
      <c r="DF94" s="397"/>
      <c r="DG94" s="397"/>
      <c r="DH94" s="397"/>
      <c r="DI94" s="397"/>
      <c r="DJ94" s="397"/>
      <c r="DK94" s="397"/>
      <c r="DL94" s="397"/>
      <c r="DM94" s="397"/>
      <c r="DN94" s="397"/>
      <c r="DO94" s="397"/>
      <c r="DP94" s="397"/>
      <c r="DQ94" s="397"/>
      <c r="DR94" s="397"/>
      <c r="DS94" s="397"/>
      <c r="DT94" s="397"/>
    </row>
    <row r="95" spans="1:144" s="300" customFormat="1" ht="12.75" customHeight="1">
      <c r="B95" s="123"/>
      <c r="C95" s="123"/>
      <c r="D95" s="123"/>
      <c r="E95" s="123"/>
      <c r="L95" s="123"/>
      <c r="M95" s="123"/>
      <c r="N95" s="123"/>
      <c r="O95" s="123"/>
      <c r="P95" s="397"/>
      <c r="Q95" s="397"/>
      <c r="R95" s="397"/>
      <c r="S95" s="397"/>
      <c r="T95" s="397"/>
      <c r="U95" s="397"/>
      <c r="V95" s="123"/>
      <c r="W95" s="123"/>
      <c r="X95" s="123"/>
      <c r="BE95" s="257"/>
      <c r="BF95" s="257"/>
      <c r="BG95" s="257"/>
      <c r="BH95" s="257"/>
      <c r="CQ95" s="397"/>
      <c r="CR95" s="397"/>
      <c r="CS95" s="397"/>
      <c r="CT95" s="397"/>
      <c r="CU95" s="397"/>
      <c r="CV95" s="397"/>
      <c r="CW95" s="397"/>
      <c r="CX95" s="397"/>
      <c r="CY95" s="397"/>
      <c r="CZ95" s="397"/>
      <c r="DF95" s="397"/>
      <c r="DG95" s="397"/>
      <c r="DH95" s="397"/>
      <c r="DI95" s="397"/>
      <c r="DJ95" s="397"/>
      <c r="DK95" s="397"/>
      <c r="DL95" s="397"/>
      <c r="DM95" s="397"/>
      <c r="DN95" s="397"/>
      <c r="DO95" s="397"/>
      <c r="DP95" s="397"/>
      <c r="DQ95" s="397"/>
      <c r="DR95" s="397"/>
      <c r="DS95" s="397"/>
      <c r="DT95" s="397"/>
    </row>
    <row r="96" spans="1:144" s="300" customFormat="1" ht="12.75" customHeight="1">
      <c r="B96" s="123"/>
      <c r="C96" s="123"/>
      <c r="D96" s="123"/>
      <c r="E96" s="123"/>
      <c r="L96" s="123"/>
      <c r="M96" s="123"/>
      <c r="N96" s="123"/>
      <c r="O96" s="123"/>
      <c r="P96" s="397"/>
      <c r="Q96" s="397"/>
      <c r="R96" s="397"/>
      <c r="S96" s="397"/>
      <c r="T96" s="397"/>
      <c r="U96" s="397"/>
      <c r="V96" s="123"/>
      <c r="W96" s="123"/>
      <c r="X96" s="123"/>
      <c r="BE96" s="257"/>
      <c r="BF96" s="257"/>
      <c r="BG96" s="257"/>
      <c r="BH96" s="257"/>
      <c r="CQ96" s="397"/>
      <c r="CR96" s="397"/>
      <c r="CS96" s="397"/>
      <c r="CT96" s="397"/>
      <c r="CU96" s="397"/>
      <c r="CV96" s="397"/>
      <c r="CW96" s="397"/>
      <c r="CX96" s="397"/>
      <c r="CY96" s="397"/>
      <c r="CZ96" s="397"/>
      <c r="DF96" s="397"/>
      <c r="DG96" s="397"/>
      <c r="DH96" s="397"/>
      <c r="DI96" s="397"/>
      <c r="DJ96" s="397"/>
      <c r="DK96" s="397"/>
      <c r="DL96" s="397"/>
      <c r="DM96" s="397"/>
      <c r="DN96" s="397"/>
      <c r="DO96" s="397"/>
      <c r="DP96" s="397"/>
      <c r="DQ96" s="397"/>
      <c r="DR96" s="397"/>
      <c r="DS96" s="397"/>
      <c r="DT96" s="397"/>
    </row>
    <row r="97" spans="2:124" s="300" customFormat="1" ht="12.75" customHeight="1">
      <c r="B97" s="123"/>
      <c r="C97" s="123"/>
      <c r="D97" s="123"/>
      <c r="E97" s="123"/>
      <c r="L97" s="123"/>
      <c r="M97" s="123"/>
      <c r="N97" s="123"/>
      <c r="O97" s="123"/>
      <c r="P97" s="397"/>
      <c r="Q97" s="397"/>
      <c r="R97" s="397"/>
      <c r="S97" s="397"/>
      <c r="T97" s="397"/>
      <c r="U97" s="397"/>
      <c r="V97" s="123"/>
      <c r="W97" s="123"/>
      <c r="X97" s="123"/>
      <c r="BE97" s="257"/>
      <c r="BF97" s="257"/>
      <c r="BG97" s="257"/>
      <c r="BH97" s="257"/>
      <c r="CQ97" s="397"/>
      <c r="CR97" s="397"/>
      <c r="CS97" s="397"/>
      <c r="CT97" s="397"/>
      <c r="CU97" s="397"/>
      <c r="CV97" s="397"/>
      <c r="CW97" s="397"/>
      <c r="CX97" s="397"/>
      <c r="CY97" s="397"/>
      <c r="CZ97" s="397"/>
      <c r="DF97" s="397"/>
      <c r="DG97" s="397"/>
      <c r="DH97" s="397"/>
      <c r="DI97" s="397"/>
      <c r="DJ97" s="397"/>
      <c r="DK97" s="397"/>
      <c r="DL97" s="397"/>
      <c r="DM97" s="397"/>
      <c r="DN97" s="397"/>
      <c r="DO97" s="397"/>
      <c r="DP97" s="397"/>
      <c r="DQ97" s="397"/>
      <c r="DR97" s="397"/>
      <c r="DS97" s="397"/>
      <c r="DT97" s="397"/>
    </row>
    <row r="98" spans="2:124" s="300" customFormat="1" ht="12.75" customHeight="1">
      <c r="B98" s="123"/>
      <c r="C98" s="123"/>
      <c r="D98" s="123"/>
      <c r="E98" s="123"/>
      <c r="L98" s="123"/>
      <c r="M98" s="123"/>
      <c r="N98" s="123"/>
      <c r="O98" s="123"/>
      <c r="P98" s="397"/>
      <c r="Q98" s="397"/>
      <c r="R98" s="397"/>
      <c r="S98" s="397"/>
      <c r="T98" s="397"/>
      <c r="U98" s="397"/>
      <c r="V98" s="123"/>
      <c r="W98" s="123"/>
      <c r="X98" s="123"/>
      <c r="BE98" s="257"/>
      <c r="BF98" s="257"/>
      <c r="BG98" s="257"/>
      <c r="BH98" s="257"/>
      <c r="CQ98" s="397"/>
      <c r="CR98" s="397"/>
      <c r="CS98" s="397"/>
      <c r="CT98" s="397"/>
      <c r="CU98" s="397"/>
      <c r="CV98" s="397"/>
      <c r="CW98" s="397"/>
      <c r="CX98" s="397"/>
      <c r="CY98" s="397"/>
      <c r="CZ98" s="397"/>
      <c r="DF98" s="397"/>
      <c r="DG98" s="397"/>
      <c r="DH98" s="397"/>
      <c r="DI98" s="397"/>
      <c r="DJ98" s="397"/>
      <c r="DK98" s="397"/>
      <c r="DL98" s="397"/>
      <c r="DM98" s="397"/>
      <c r="DN98" s="397"/>
      <c r="DO98" s="397"/>
      <c r="DP98" s="397"/>
      <c r="DQ98" s="397"/>
      <c r="DR98" s="397"/>
      <c r="DS98" s="397"/>
      <c r="DT98" s="397"/>
    </row>
    <row r="99" spans="2:124" s="300" customFormat="1" ht="12.75" customHeight="1">
      <c r="B99" s="123"/>
      <c r="C99" s="123"/>
      <c r="D99" s="123"/>
      <c r="E99" s="123"/>
      <c r="L99" s="123"/>
      <c r="M99" s="123"/>
      <c r="N99" s="123"/>
      <c r="O99" s="123"/>
      <c r="P99" s="397"/>
      <c r="Q99" s="397"/>
      <c r="R99" s="397"/>
      <c r="S99" s="397"/>
      <c r="T99" s="397"/>
      <c r="U99" s="397"/>
      <c r="V99" s="123"/>
      <c r="W99" s="123"/>
      <c r="X99" s="123"/>
      <c r="BE99" s="257"/>
      <c r="BF99" s="257"/>
      <c r="BG99" s="257"/>
      <c r="BH99" s="257"/>
      <c r="CQ99" s="397"/>
      <c r="CR99" s="397"/>
      <c r="CS99" s="397"/>
      <c r="CT99" s="397"/>
      <c r="CU99" s="397"/>
      <c r="CV99" s="397"/>
      <c r="CW99" s="397"/>
      <c r="CX99" s="397"/>
      <c r="CY99" s="397"/>
      <c r="CZ99" s="397"/>
      <c r="DF99" s="397"/>
      <c r="DG99" s="397"/>
      <c r="DH99" s="397"/>
      <c r="DI99" s="397"/>
      <c r="DJ99" s="397"/>
      <c r="DK99" s="397"/>
      <c r="DL99" s="397"/>
      <c r="DM99" s="397"/>
      <c r="DN99" s="397"/>
      <c r="DO99" s="397"/>
      <c r="DP99" s="397"/>
      <c r="DQ99" s="397"/>
      <c r="DR99" s="397"/>
      <c r="DS99" s="397"/>
      <c r="DT99" s="397"/>
    </row>
    <row r="100" spans="2:124" s="300" customFormat="1" ht="12.75" customHeight="1">
      <c r="B100" s="123"/>
      <c r="C100" s="123"/>
      <c r="D100" s="123"/>
      <c r="E100" s="123"/>
      <c r="L100" s="123"/>
      <c r="M100" s="123"/>
      <c r="N100" s="123"/>
      <c r="O100" s="123"/>
      <c r="P100" s="397"/>
      <c r="Q100" s="397"/>
      <c r="R100" s="397"/>
      <c r="S100" s="397"/>
      <c r="T100" s="397"/>
      <c r="U100" s="397"/>
      <c r="V100" s="123"/>
      <c r="W100" s="123"/>
      <c r="X100" s="123"/>
      <c r="BE100" s="257"/>
      <c r="BF100" s="257"/>
      <c r="BG100" s="257"/>
      <c r="BH100" s="257"/>
      <c r="CQ100" s="397"/>
      <c r="CR100" s="397"/>
      <c r="CS100" s="397"/>
      <c r="CT100" s="397"/>
      <c r="CU100" s="397"/>
      <c r="CV100" s="397"/>
      <c r="CW100" s="397"/>
      <c r="CX100" s="397"/>
      <c r="CY100" s="397"/>
      <c r="CZ100" s="397"/>
      <c r="DF100" s="397"/>
      <c r="DG100" s="397"/>
      <c r="DH100" s="397"/>
      <c r="DI100" s="397"/>
      <c r="DJ100" s="397"/>
      <c r="DK100" s="397"/>
      <c r="DL100" s="397"/>
      <c r="DM100" s="397"/>
      <c r="DN100" s="397"/>
      <c r="DO100" s="397"/>
      <c r="DP100" s="397"/>
      <c r="DQ100" s="397"/>
      <c r="DR100" s="397"/>
      <c r="DS100" s="397"/>
      <c r="DT100" s="397"/>
    </row>
    <row r="101" spans="2:124" s="300" customFormat="1" ht="12.75" customHeight="1">
      <c r="B101" s="123"/>
      <c r="C101" s="123"/>
      <c r="D101" s="123"/>
      <c r="E101" s="123"/>
      <c r="L101" s="123"/>
      <c r="M101" s="123"/>
      <c r="N101" s="123"/>
      <c r="O101" s="123"/>
      <c r="P101" s="397"/>
      <c r="Q101" s="397"/>
      <c r="R101" s="397"/>
      <c r="S101" s="397"/>
      <c r="T101" s="397"/>
      <c r="U101" s="397"/>
      <c r="V101" s="123"/>
      <c r="W101" s="123"/>
      <c r="X101" s="123"/>
      <c r="BE101" s="257"/>
      <c r="BF101" s="257"/>
      <c r="BG101" s="257"/>
      <c r="BH101" s="257"/>
      <c r="CQ101" s="397"/>
      <c r="CR101" s="397"/>
      <c r="CS101" s="397"/>
      <c r="CT101" s="397"/>
      <c r="CU101" s="397"/>
      <c r="CV101" s="397"/>
      <c r="CW101" s="397"/>
      <c r="CX101" s="397"/>
      <c r="CY101" s="397"/>
      <c r="CZ101" s="397"/>
      <c r="DF101" s="397"/>
      <c r="DG101" s="397"/>
      <c r="DH101" s="397"/>
      <c r="DI101" s="397"/>
      <c r="DJ101" s="397"/>
      <c r="DK101" s="397"/>
      <c r="DL101" s="397"/>
      <c r="DM101" s="397"/>
      <c r="DN101" s="397"/>
      <c r="DO101" s="397"/>
      <c r="DP101" s="397"/>
      <c r="DQ101" s="397"/>
      <c r="DR101" s="397"/>
      <c r="DS101" s="397"/>
      <c r="DT101" s="397"/>
    </row>
    <row r="102" spans="2:124" s="300" customFormat="1" ht="12.75" customHeight="1">
      <c r="B102" s="123"/>
      <c r="C102" s="123"/>
      <c r="D102" s="123"/>
      <c r="E102" s="123"/>
      <c r="L102" s="123"/>
      <c r="M102" s="123"/>
      <c r="N102" s="123"/>
      <c r="O102" s="123"/>
      <c r="P102" s="397"/>
      <c r="Q102" s="397"/>
      <c r="R102" s="397"/>
      <c r="S102" s="397"/>
      <c r="T102" s="397"/>
      <c r="U102" s="397"/>
      <c r="V102" s="123"/>
      <c r="W102" s="123"/>
      <c r="X102" s="123"/>
      <c r="BE102" s="257"/>
      <c r="BF102" s="257"/>
      <c r="BG102" s="257"/>
      <c r="BH102" s="257"/>
      <c r="CQ102" s="397"/>
      <c r="CR102" s="397"/>
      <c r="CS102" s="397"/>
      <c r="CT102" s="397"/>
      <c r="CU102" s="397"/>
      <c r="CV102" s="397"/>
      <c r="CW102" s="397"/>
      <c r="CX102" s="397"/>
      <c r="CY102" s="397"/>
      <c r="CZ102" s="397"/>
      <c r="DF102" s="397"/>
      <c r="DG102" s="397"/>
      <c r="DH102" s="397"/>
      <c r="DI102" s="397"/>
      <c r="DJ102" s="397"/>
      <c r="DK102" s="397"/>
      <c r="DL102" s="397"/>
      <c r="DM102" s="397"/>
      <c r="DN102" s="397"/>
      <c r="DO102" s="397"/>
      <c r="DP102" s="397"/>
      <c r="DQ102" s="397"/>
      <c r="DR102" s="397"/>
      <c r="DS102" s="397"/>
      <c r="DT102" s="397"/>
    </row>
    <row r="103" spans="2:124" s="300" customFormat="1" ht="12.75" customHeight="1">
      <c r="B103" s="123"/>
      <c r="C103" s="123"/>
      <c r="D103" s="123"/>
      <c r="E103" s="123"/>
      <c r="L103" s="123"/>
      <c r="M103" s="123"/>
      <c r="N103" s="123"/>
      <c r="O103" s="123"/>
      <c r="P103" s="397"/>
      <c r="Q103" s="397"/>
      <c r="R103" s="397"/>
      <c r="S103" s="397"/>
      <c r="T103" s="397"/>
      <c r="U103" s="397"/>
      <c r="V103" s="123"/>
      <c r="W103" s="123"/>
      <c r="X103" s="123"/>
      <c r="BE103" s="257"/>
      <c r="BF103" s="257"/>
      <c r="BG103" s="257"/>
      <c r="BH103" s="257"/>
      <c r="CQ103" s="397"/>
      <c r="CR103" s="397"/>
      <c r="CS103" s="397"/>
      <c r="CT103" s="397"/>
      <c r="CU103" s="397"/>
      <c r="CV103" s="397"/>
      <c r="CW103" s="397"/>
      <c r="CX103" s="397"/>
      <c r="CY103" s="397"/>
      <c r="CZ103" s="397"/>
      <c r="DF103" s="397"/>
      <c r="DG103" s="397"/>
      <c r="DH103" s="397"/>
      <c r="DI103" s="397"/>
      <c r="DJ103" s="397"/>
      <c r="DK103" s="397"/>
      <c r="DL103" s="397"/>
      <c r="DM103" s="397"/>
      <c r="DN103" s="397"/>
      <c r="DO103" s="397"/>
      <c r="DP103" s="397"/>
      <c r="DQ103" s="397"/>
      <c r="DR103" s="397"/>
      <c r="DS103" s="397"/>
      <c r="DT103" s="397"/>
    </row>
    <row r="104" spans="2:124" s="300" customFormat="1" ht="12.75" customHeight="1">
      <c r="B104" s="123"/>
      <c r="C104" s="123"/>
      <c r="D104" s="123"/>
      <c r="E104" s="123"/>
      <c r="L104" s="123"/>
      <c r="M104" s="123"/>
      <c r="N104" s="123"/>
      <c r="O104" s="123"/>
      <c r="P104" s="397"/>
      <c r="Q104" s="397"/>
      <c r="R104" s="397"/>
      <c r="S104" s="397"/>
      <c r="T104" s="397"/>
      <c r="U104" s="397"/>
      <c r="V104" s="123"/>
      <c r="W104" s="123"/>
      <c r="X104" s="123"/>
      <c r="BE104" s="257"/>
      <c r="BF104" s="257"/>
      <c r="BG104" s="257"/>
      <c r="BH104" s="257"/>
      <c r="CQ104" s="397"/>
      <c r="CR104" s="397"/>
      <c r="CS104" s="397"/>
      <c r="CT104" s="397"/>
      <c r="CU104" s="397"/>
      <c r="CV104" s="397"/>
      <c r="CW104" s="397"/>
      <c r="CX104" s="397"/>
      <c r="CY104" s="397"/>
      <c r="CZ104" s="397"/>
      <c r="DF104" s="397"/>
      <c r="DG104" s="397"/>
      <c r="DH104" s="397"/>
      <c r="DI104" s="397"/>
      <c r="DJ104" s="397"/>
      <c r="DK104" s="397"/>
      <c r="DL104" s="397"/>
      <c r="DM104" s="397"/>
      <c r="DN104" s="397"/>
      <c r="DO104" s="397"/>
      <c r="DP104" s="397"/>
      <c r="DQ104" s="397"/>
      <c r="DR104" s="397"/>
      <c r="DS104" s="397"/>
      <c r="DT104" s="397"/>
    </row>
    <row r="105" spans="2:124" s="300" customFormat="1" ht="12.75" customHeight="1">
      <c r="B105" s="123"/>
      <c r="C105" s="123"/>
      <c r="D105" s="123"/>
      <c r="E105" s="123"/>
      <c r="L105" s="123"/>
      <c r="M105" s="123"/>
      <c r="N105" s="123"/>
      <c r="O105" s="123"/>
      <c r="P105" s="397"/>
      <c r="Q105" s="397"/>
      <c r="R105" s="397"/>
      <c r="S105" s="397"/>
      <c r="T105" s="397"/>
      <c r="U105" s="397"/>
      <c r="V105" s="123"/>
      <c r="W105" s="123"/>
      <c r="X105" s="123"/>
      <c r="BE105" s="257"/>
      <c r="BF105" s="257"/>
      <c r="BG105" s="257"/>
      <c r="BH105" s="257"/>
      <c r="CQ105" s="397"/>
      <c r="CR105" s="397"/>
      <c r="CS105" s="397"/>
      <c r="CT105" s="397"/>
      <c r="CU105" s="397"/>
      <c r="CV105" s="397"/>
      <c r="CW105" s="397"/>
      <c r="CX105" s="397"/>
      <c r="CY105" s="397"/>
      <c r="CZ105" s="397"/>
      <c r="DF105" s="397"/>
      <c r="DG105" s="397"/>
      <c r="DH105" s="397"/>
      <c r="DI105" s="397"/>
      <c r="DJ105" s="397"/>
      <c r="DK105" s="397"/>
      <c r="DL105" s="397"/>
      <c r="DM105" s="397"/>
      <c r="DN105" s="397"/>
      <c r="DO105" s="397"/>
      <c r="DP105" s="397"/>
      <c r="DQ105" s="397"/>
      <c r="DR105" s="397"/>
      <c r="DS105" s="397"/>
      <c r="DT105" s="397"/>
    </row>
    <row r="106" spans="2:124" s="300" customFormat="1" ht="12.75" customHeight="1">
      <c r="B106" s="123"/>
      <c r="C106" s="123"/>
      <c r="D106" s="123"/>
      <c r="E106" s="123"/>
      <c r="L106" s="123"/>
      <c r="M106" s="123"/>
      <c r="N106" s="123"/>
      <c r="O106" s="123"/>
      <c r="P106" s="397"/>
      <c r="Q106" s="397"/>
      <c r="R106" s="397"/>
      <c r="S106" s="397"/>
      <c r="T106" s="397"/>
      <c r="U106" s="397"/>
      <c r="V106" s="123"/>
      <c r="W106" s="123"/>
      <c r="X106" s="123"/>
      <c r="BE106" s="257"/>
      <c r="BF106" s="257"/>
      <c r="BG106" s="257"/>
      <c r="BH106" s="257"/>
      <c r="CQ106" s="397"/>
      <c r="CR106" s="397"/>
      <c r="CS106" s="397"/>
      <c r="CT106" s="397"/>
      <c r="CU106" s="397"/>
      <c r="CV106" s="397"/>
      <c r="CW106" s="397"/>
      <c r="CX106" s="397"/>
      <c r="CY106" s="397"/>
      <c r="CZ106" s="397"/>
      <c r="DF106" s="397"/>
      <c r="DG106" s="397"/>
      <c r="DH106" s="397"/>
      <c r="DI106" s="397"/>
      <c r="DJ106" s="397"/>
      <c r="DK106" s="397"/>
      <c r="DL106" s="397"/>
      <c r="DM106" s="397"/>
      <c r="DN106" s="397"/>
      <c r="DO106" s="397"/>
      <c r="DP106" s="397"/>
      <c r="DQ106" s="397"/>
      <c r="DR106" s="397"/>
      <c r="DS106" s="397"/>
      <c r="DT106" s="397"/>
    </row>
    <row r="107" spans="2:124" s="300" customFormat="1" ht="12.75" customHeight="1">
      <c r="B107" s="123"/>
      <c r="C107" s="123"/>
      <c r="D107" s="123"/>
      <c r="E107" s="123"/>
      <c r="L107" s="123"/>
      <c r="M107" s="123"/>
      <c r="N107" s="123"/>
      <c r="O107" s="123"/>
      <c r="P107" s="397"/>
      <c r="Q107" s="397"/>
      <c r="R107" s="397"/>
      <c r="S107" s="397"/>
      <c r="T107" s="397"/>
      <c r="U107" s="397"/>
      <c r="V107" s="123"/>
      <c r="W107" s="123"/>
      <c r="X107" s="123"/>
      <c r="BE107" s="257"/>
      <c r="BF107" s="257"/>
      <c r="BG107" s="257"/>
      <c r="BH107" s="257"/>
      <c r="CQ107" s="397"/>
      <c r="CR107" s="397"/>
      <c r="CS107" s="397"/>
      <c r="CT107" s="397"/>
      <c r="CU107" s="397"/>
      <c r="CV107" s="397"/>
      <c r="CW107" s="397"/>
      <c r="CX107" s="397"/>
      <c r="CY107" s="397"/>
      <c r="CZ107" s="397"/>
      <c r="DF107" s="397"/>
      <c r="DG107" s="397"/>
      <c r="DH107" s="397"/>
      <c r="DI107" s="397"/>
      <c r="DJ107" s="397"/>
      <c r="DK107" s="397"/>
      <c r="DL107" s="397"/>
      <c r="DM107" s="397"/>
      <c r="DN107" s="397"/>
      <c r="DO107" s="397"/>
      <c r="DP107" s="397"/>
      <c r="DQ107" s="397"/>
      <c r="DR107" s="397"/>
      <c r="DS107" s="397"/>
      <c r="DT107" s="397"/>
    </row>
    <row r="108" spans="2:124" s="300" customFormat="1" ht="12.75" customHeight="1">
      <c r="B108" s="123"/>
      <c r="C108" s="123"/>
      <c r="D108" s="123"/>
      <c r="E108" s="123"/>
      <c r="L108" s="123"/>
      <c r="M108" s="123"/>
      <c r="N108" s="123"/>
      <c r="O108" s="123"/>
      <c r="P108" s="397"/>
      <c r="Q108" s="397"/>
      <c r="R108" s="397"/>
      <c r="S108" s="397"/>
      <c r="T108" s="397"/>
      <c r="U108" s="397"/>
      <c r="V108" s="123"/>
      <c r="W108" s="123"/>
      <c r="X108" s="123"/>
      <c r="BE108" s="257"/>
      <c r="BF108" s="257"/>
      <c r="BG108" s="257"/>
      <c r="BH108" s="257"/>
      <c r="CQ108" s="397"/>
      <c r="CR108" s="397"/>
      <c r="CS108" s="397"/>
      <c r="CT108" s="397"/>
      <c r="CU108" s="397"/>
      <c r="CV108" s="397"/>
      <c r="CW108" s="397"/>
      <c r="CX108" s="397"/>
      <c r="CY108" s="397"/>
      <c r="CZ108" s="397"/>
      <c r="DF108" s="397"/>
      <c r="DG108"/>
      <c r="DH108"/>
      <c r="DI108"/>
      <c r="DJ108"/>
      <c r="DK108" s="397"/>
      <c r="DL108"/>
      <c r="DM108"/>
      <c r="DN108"/>
      <c r="DO108"/>
      <c r="DP108" s="397"/>
      <c r="DQ108"/>
      <c r="DR108"/>
      <c r="DS108"/>
      <c r="DT108"/>
    </row>
    <row r="109" spans="2:124" s="300" customFormat="1" ht="12.75" customHeight="1">
      <c r="B109" s="123"/>
      <c r="C109" s="123"/>
      <c r="D109" s="123"/>
      <c r="E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397"/>
      <c r="Q109" s="397"/>
      <c r="R109" s="397"/>
      <c r="S109" s="397"/>
      <c r="T109" s="397"/>
      <c r="U109" s="397"/>
      <c r="V109" s="123"/>
      <c r="W109" s="123"/>
      <c r="X109" s="123"/>
      <c r="BE109" s="257"/>
      <c r="BF109" s="257"/>
      <c r="BG109" s="257"/>
      <c r="BH109" s="257"/>
      <c r="CQ109" s="397"/>
      <c r="CR109" s="397"/>
      <c r="CS109" s="397"/>
      <c r="CT109" s="397"/>
      <c r="CU109" s="397"/>
      <c r="CV109" s="397"/>
      <c r="CW109" s="397"/>
      <c r="CX109" s="397"/>
      <c r="CY109" s="397"/>
      <c r="CZ109" s="397"/>
      <c r="DF109" s="397"/>
      <c r="DG109"/>
      <c r="DH109"/>
      <c r="DI109"/>
      <c r="DJ109"/>
      <c r="DK109" s="397"/>
      <c r="DL109"/>
      <c r="DM109"/>
      <c r="DN109"/>
      <c r="DO109"/>
      <c r="DP109" s="397"/>
      <c r="DQ109"/>
      <c r="DR109"/>
      <c r="DS109"/>
      <c r="DT109"/>
    </row>
    <row r="110" spans="2:124" s="300" customFormat="1" ht="12.75" customHeight="1">
      <c r="B110" s="123"/>
      <c r="C110" s="123"/>
      <c r="D110" s="123"/>
      <c r="E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397"/>
      <c r="Q110" s="397"/>
      <c r="R110" s="397"/>
      <c r="S110" s="397"/>
      <c r="T110" s="397"/>
      <c r="U110" s="397"/>
      <c r="V110" s="123"/>
      <c r="W110" s="123"/>
      <c r="X110" s="123"/>
      <c r="BE110" s="257"/>
      <c r="BF110" s="257"/>
      <c r="BG110" s="257"/>
      <c r="BH110" s="257"/>
      <c r="CQ110" s="397"/>
      <c r="CR110" s="397"/>
      <c r="CS110" s="397"/>
      <c r="CT110" s="397"/>
      <c r="CU110" s="397"/>
      <c r="CV110" s="397"/>
      <c r="CW110" s="397"/>
      <c r="CX110" s="397"/>
      <c r="CY110" s="397"/>
      <c r="CZ110" s="397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</row>
    <row r="111" spans="2:124" s="300" customFormat="1" ht="12.75" customHeight="1">
      <c r="B111" s="123"/>
      <c r="C111" s="123"/>
      <c r="D111" s="123"/>
      <c r="E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397"/>
      <c r="Q111" s="397"/>
      <c r="R111" s="397"/>
      <c r="S111" s="397"/>
      <c r="T111" s="397"/>
      <c r="U111" s="397"/>
      <c r="V111" s="123"/>
      <c r="W111" s="123"/>
      <c r="X111" s="123"/>
      <c r="BE111" s="257"/>
      <c r="BF111" s="257"/>
      <c r="BG111" s="257"/>
      <c r="BH111" s="25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</row>
    <row r="112" spans="2:124" s="300" customFormat="1" ht="12.75" customHeight="1">
      <c r="B112" s="123"/>
      <c r="C112" s="123"/>
      <c r="D112" s="123"/>
      <c r="E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397"/>
      <c r="Q112" s="397"/>
      <c r="R112" s="397"/>
      <c r="S112" s="397"/>
      <c r="T112" s="397"/>
      <c r="U112" s="397"/>
      <c r="V112" s="123"/>
      <c r="W112" s="123"/>
      <c r="X112" s="123"/>
      <c r="BE112" s="257"/>
      <c r="BF112" s="257"/>
      <c r="BG112" s="257"/>
      <c r="BH112" s="257"/>
      <c r="CQ112" s="397"/>
      <c r="CR112" s="397"/>
      <c r="CS112" s="397"/>
      <c r="CT112" s="397"/>
      <c r="CU112" s="397"/>
      <c r="CV112" s="397"/>
      <c r="CW112" s="397"/>
      <c r="CX112" s="397"/>
      <c r="CY112" s="397"/>
      <c r="CZ112" s="397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</row>
    <row r="113" spans="2:124" s="300" customFormat="1" ht="12.75" customHeight="1">
      <c r="B113" s="123"/>
      <c r="C113" s="123"/>
      <c r="D113" s="123"/>
      <c r="E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397"/>
      <c r="Q113" s="397"/>
      <c r="R113" s="397"/>
      <c r="S113" s="397"/>
      <c r="T113" s="397"/>
      <c r="U113" s="397"/>
      <c r="V113" s="123"/>
      <c r="W113" s="123"/>
      <c r="X113" s="123"/>
      <c r="BE113" s="257"/>
      <c r="BF113" s="257"/>
      <c r="BG113" s="257"/>
      <c r="BH113" s="257"/>
      <c r="CQ113" s="397"/>
      <c r="CR113" s="397"/>
      <c r="CS113" s="397"/>
      <c r="CT113" s="397"/>
      <c r="CU113" s="397"/>
      <c r="CV113" s="397"/>
      <c r="CW113" s="397"/>
      <c r="CX113" s="397"/>
      <c r="CY113" s="397"/>
      <c r="CZ113" s="397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</row>
    <row r="114" spans="2:124" s="300" customFormat="1" ht="12.75" customHeight="1">
      <c r="B114" s="123"/>
      <c r="C114" s="123"/>
      <c r="D114" s="123"/>
      <c r="E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397"/>
      <c r="Q114" s="397"/>
      <c r="R114" s="397"/>
      <c r="S114" s="397"/>
      <c r="T114" s="397"/>
      <c r="U114" s="397"/>
      <c r="V114" s="123"/>
      <c r="W114" s="123"/>
      <c r="X114" s="123"/>
      <c r="BE114" s="257"/>
      <c r="BF114" s="257"/>
      <c r="BG114" s="257"/>
      <c r="BH114" s="257"/>
      <c r="CQ114" s="397"/>
      <c r="CR114" s="397"/>
      <c r="CS114" s="397"/>
      <c r="CT114" s="397"/>
      <c r="CU114" s="397"/>
      <c r="CV114" s="397"/>
      <c r="CW114" s="397"/>
      <c r="CX114" s="397"/>
      <c r="CY114" s="397"/>
      <c r="CZ114" s="397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</row>
    <row r="115" spans="2:124" s="300" customFormat="1" ht="12.75" customHeight="1">
      <c r="B115" s="123"/>
      <c r="C115" s="123"/>
      <c r="D115" s="123"/>
      <c r="E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397"/>
      <c r="Q115" s="397"/>
      <c r="R115" s="397"/>
      <c r="S115" s="397"/>
      <c r="T115" s="397"/>
      <c r="U115" s="397"/>
      <c r="V115" s="123"/>
      <c r="W115" s="123"/>
      <c r="X115" s="123"/>
      <c r="BE115" s="257"/>
      <c r="BF115" s="257"/>
      <c r="BG115" s="257"/>
      <c r="BH115" s="257"/>
      <c r="CQ115" s="397"/>
      <c r="CR115" s="397"/>
      <c r="CS115" s="397"/>
      <c r="CT115" s="397"/>
      <c r="CU115" s="397"/>
      <c r="CV115" s="397"/>
      <c r="CW115" s="397"/>
      <c r="CX115" s="397"/>
      <c r="CY115" s="397"/>
      <c r="CZ115" s="397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</row>
    <row r="116" spans="2:124" s="300" customFormat="1" ht="12.75" customHeight="1">
      <c r="B116" s="123"/>
      <c r="C116" s="123"/>
      <c r="D116" s="123"/>
      <c r="E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397"/>
      <c r="Q116" s="397"/>
      <c r="R116" s="397"/>
      <c r="S116" s="397"/>
      <c r="T116" s="397"/>
      <c r="U116" s="397"/>
      <c r="V116" s="123"/>
      <c r="W116" s="123"/>
      <c r="X116" s="123"/>
      <c r="BE116" s="257"/>
      <c r="BF116" s="257"/>
      <c r="BG116" s="257"/>
      <c r="BH116" s="257"/>
      <c r="CQ116" s="397"/>
      <c r="CR116" s="397"/>
      <c r="CS116" s="397"/>
      <c r="CT116" s="397"/>
      <c r="CU116" s="397"/>
      <c r="CV116" s="397"/>
      <c r="CW116" s="397"/>
      <c r="CX116" s="397"/>
      <c r="CY116" s="397"/>
      <c r="CZ116" s="397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</row>
    <row r="117" spans="2:124" s="300" customFormat="1" ht="12.75" customHeight="1">
      <c r="B117" s="123"/>
      <c r="C117" s="123"/>
      <c r="D117" s="123"/>
      <c r="E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397"/>
      <c r="Q117" s="397"/>
      <c r="R117" s="397"/>
      <c r="S117" s="397"/>
      <c r="T117" s="397"/>
      <c r="U117" s="397"/>
      <c r="V117" s="123"/>
      <c r="W117" s="123"/>
      <c r="X117" s="123"/>
      <c r="BE117" s="257"/>
      <c r="BF117" s="257"/>
      <c r="BG117" s="257"/>
      <c r="BH117" s="257"/>
      <c r="CQ117" s="397"/>
      <c r="CR117" s="397"/>
      <c r="CS117" s="397"/>
      <c r="CT117" s="397"/>
      <c r="CU117" s="397"/>
      <c r="CV117" s="397"/>
      <c r="CW117" s="397"/>
      <c r="CX117" s="397"/>
      <c r="CY117" s="397"/>
      <c r="CZ117" s="39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</row>
    <row r="118" spans="2:124" s="300" customFormat="1" ht="12.75" customHeight="1">
      <c r="B118" s="123"/>
      <c r="C118" s="123"/>
      <c r="D118" s="123"/>
      <c r="E118" s="123"/>
      <c r="L118" s="123"/>
      <c r="M118" s="123"/>
      <c r="N118" s="123"/>
      <c r="O118" s="123"/>
      <c r="P118" s="397"/>
      <c r="Q118" s="397"/>
      <c r="R118" s="397"/>
      <c r="S118" s="397"/>
      <c r="T118" s="397"/>
      <c r="U118" s="397"/>
      <c r="V118" s="123"/>
      <c r="W118" s="123"/>
      <c r="X118" s="123"/>
      <c r="BE118" s="257"/>
      <c r="BF118" s="257"/>
      <c r="BG118" s="257"/>
      <c r="BH118" s="257"/>
      <c r="CQ118" s="397"/>
      <c r="CR118" s="397"/>
      <c r="CS118" s="397"/>
      <c r="CT118" s="397"/>
      <c r="CU118" s="397"/>
      <c r="CV118" s="397"/>
      <c r="CW118" s="397"/>
      <c r="CX118" s="397"/>
      <c r="CY118" s="397"/>
      <c r="CZ118" s="397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</row>
    <row r="119" spans="2:124" s="300" customFormat="1" ht="12.75" customHeight="1">
      <c r="B119" s="123"/>
      <c r="C119" s="123"/>
      <c r="D119" s="123"/>
      <c r="E119" s="123"/>
      <c r="L119" s="123"/>
      <c r="M119" s="123"/>
      <c r="N119" s="123"/>
      <c r="O119" s="123"/>
      <c r="P119" s="397"/>
      <c r="Q119" s="397"/>
      <c r="R119" s="397"/>
      <c r="S119" s="397"/>
      <c r="T119" s="397"/>
      <c r="U119" s="397"/>
      <c r="V119" s="123"/>
      <c r="W119" s="123"/>
      <c r="X119" s="123"/>
      <c r="BE119" s="257"/>
      <c r="BF119" s="257"/>
      <c r="BG119" s="257"/>
      <c r="BH119" s="257"/>
      <c r="CQ119" s="397"/>
      <c r="CR119" s="397"/>
      <c r="CS119" s="397"/>
      <c r="CT119" s="397"/>
      <c r="CU119" s="397"/>
      <c r="CV119" s="397"/>
      <c r="CW119" s="397"/>
      <c r="CX119" s="397"/>
      <c r="CY119" s="397"/>
      <c r="CZ119" s="397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</row>
    <row r="120" spans="2:124" s="300" customFormat="1" ht="12.75" customHeight="1">
      <c r="L120" s="123"/>
      <c r="M120" s="123"/>
      <c r="N120" s="123"/>
      <c r="O120" s="123"/>
      <c r="P120" s="397"/>
      <c r="Q120" s="397"/>
      <c r="R120" s="397"/>
      <c r="S120" s="397"/>
      <c r="T120" s="397"/>
      <c r="U120" s="397"/>
      <c r="V120" s="123"/>
      <c r="W120" s="123"/>
      <c r="X120" s="123"/>
      <c r="BE120" s="257"/>
      <c r="BF120" s="257"/>
      <c r="BG120" s="257"/>
      <c r="BH120" s="257"/>
      <c r="CQ120" s="397"/>
      <c r="CR120" s="397"/>
      <c r="CS120" s="397"/>
      <c r="CT120" s="397"/>
      <c r="CU120" s="397"/>
      <c r="CV120" s="397"/>
      <c r="CW120" s="397"/>
      <c r="CX120" s="397"/>
      <c r="CY120" s="397"/>
      <c r="CZ120" s="397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</row>
    <row r="121" spans="2:124" s="300" customFormat="1" ht="12.75" customHeight="1">
      <c r="L121" s="123"/>
      <c r="M121" s="123"/>
      <c r="N121" s="123"/>
      <c r="O121" s="123"/>
      <c r="P121" s="397"/>
      <c r="Q121" s="397"/>
      <c r="R121" s="397"/>
      <c r="S121" s="397"/>
      <c r="T121" s="397"/>
      <c r="U121" s="397"/>
      <c r="V121" s="123"/>
      <c r="W121" s="123"/>
      <c r="X121" s="123"/>
      <c r="BE121" s="257"/>
      <c r="BF121" s="257"/>
      <c r="BG121" s="257"/>
      <c r="BH121" s="257"/>
      <c r="CQ121" s="397"/>
      <c r="CR121" s="397"/>
      <c r="CS121" s="397"/>
      <c r="CT121" s="397"/>
      <c r="CU121" s="397"/>
      <c r="CV121" s="397"/>
      <c r="CW121" s="397"/>
      <c r="CX121" s="397"/>
      <c r="CY121" s="397"/>
      <c r="CZ121" s="397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2:124" s="300" customFormat="1" ht="12.75" customHeight="1">
      <c r="L122" s="123"/>
      <c r="M122" s="123"/>
      <c r="N122" s="123"/>
      <c r="O122" s="123"/>
      <c r="P122" s="397"/>
      <c r="Q122" s="397"/>
      <c r="R122" s="397"/>
      <c r="S122" s="397"/>
      <c r="T122" s="397"/>
      <c r="U122" s="397"/>
      <c r="V122" s="123"/>
      <c r="W122" s="123"/>
      <c r="X122" s="123"/>
      <c r="BE122" s="257"/>
      <c r="BF122" s="257"/>
      <c r="BG122" s="257"/>
      <c r="BH122" s="257"/>
      <c r="CQ122" s="397"/>
      <c r="CR122" s="397"/>
      <c r="CS122" s="397"/>
      <c r="CT122" s="397"/>
      <c r="CU122" s="397"/>
      <c r="CV122" s="397"/>
      <c r="CW122" s="397"/>
      <c r="CX122" s="397"/>
      <c r="CY122" s="397"/>
      <c r="CZ122" s="397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</row>
    <row r="123" spans="2:124" s="300" customFormat="1" ht="12.75" customHeight="1">
      <c r="L123" s="123"/>
      <c r="M123" s="123"/>
      <c r="N123" s="123"/>
      <c r="O123" s="123"/>
      <c r="P123" s="397"/>
      <c r="Q123" s="397"/>
      <c r="R123" s="397"/>
      <c r="S123" s="397"/>
      <c r="T123" s="397"/>
      <c r="U123" s="397"/>
      <c r="V123" s="123"/>
      <c r="W123" s="123"/>
      <c r="X123" s="123"/>
      <c r="BE123" s="257"/>
      <c r="BF123" s="257"/>
      <c r="BG123" s="257"/>
      <c r="BH123" s="257"/>
      <c r="CQ123" s="397"/>
      <c r="CR123" s="397"/>
      <c r="CS123" s="397"/>
      <c r="CT123" s="397"/>
      <c r="CU123" s="397"/>
      <c r="CV123" s="397"/>
      <c r="CW123" s="397"/>
      <c r="CX123" s="397"/>
      <c r="CY123" s="397"/>
      <c r="CZ123" s="397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</row>
    <row r="124" spans="2:124" s="300" customFormat="1" ht="12.75" customHeight="1">
      <c r="L124" s="123"/>
      <c r="M124" s="123"/>
      <c r="N124" s="123"/>
      <c r="O124" s="123"/>
      <c r="P124" s="397"/>
      <c r="Q124" s="397"/>
      <c r="R124" s="397"/>
      <c r="S124" s="397"/>
      <c r="T124" s="397"/>
      <c r="U124" s="397"/>
      <c r="V124" s="123"/>
      <c r="W124" s="123"/>
      <c r="X124" s="123"/>
      <c r="BE124" s="257"/>
      <c r="BF124" s="257"/>
      <c r="BG124" s="257"/>
      <c r="BH124" s="257"/>
      <c r="CQ124" s="397"/>
      <c r="CR124" s="397"/>
      <c r="CS124" s="397"/>
      <c r="CT124" s="397"/>
      <c r="CU124" s="397"/>
      <c r="CV124" s="397"/>
      <c r="CW124" s="397"/>
      <c r="CX124" s="397"/>
      <c r="CY124" s="397"/>
      <c r="CZ124" s="397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</row>
    <row r="125" spans="2:124" s="300" customFormat="1" ht="12.75" customHeight="1">
      <c r="L125" s="123"/>
      <c r="M125" s="123"/>
      <c r="N125" s="123"/>
      <c r="O125" s="123"/>
      <c r="P125" s="397"/>
      <c r="Q125" s="397"/>
      <c r="R125" s="397"/>
      <c r="S125" s="397"/>
      <c r="T125" s="397"/>
      <c r="U125" s="397"/>
      <c r="V125" s="123"/>
      <c r="W125" s="123"/>
      <c r="X125" s="123"/>
      <c r="BE125" s="257"/>
      <c r="BF125" s="257"/>
      <c r="BG125" s="257"/>
      <c r="BH125" s="257"/>
      <c r="CQ125" s="397"/>
      <c r="CR125" s="397"/>
      <c r="CS125" s="397"/>
      <c r="CT125" s="397"/>
      <c r="CU125" s="397"/>
      <c r="CV125" s="397"/>
      <c r="CW125" s="397"/>
      <c r="CX125" s="397"/>
      <c r="CY125" s="397"/>
      <c r="CZ125" s="397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</row>
    <row r="126" spans="2:124" s="300" customFormat="1" ht="12.75" customHeight="1">
      <c r="L126" s="123"/>
      <c r="M126" s="123"/>
      <c r="N126" s="123"/>
      <c r="O126" s="123"/>
      <c r="P126" s="397"/>
      <c r="Q126" s="397"/>
      <c r="R126" s="397"/>
      <c r="S126" s="397"/>
      <c r="T126" s="397"/>
      <c r="U126" s="397"/>
      <c r="V126" s="123"/>
      <c r="W126" s="123"/>
      <c r="X126" s="123"/>
      <c r="BE126" s="257"/>
      <c r="BF126" s="257"/>
      <c r="BG126" s="257"/>
      <c r="BH126" s="257"/>
      <c r="CQ126" s="397"/>
      <c r="CR126" s="397"/>
      <c r="CS126" s="397"/>
      <c r="CT126" s="397"/>
      <c r="CU126" s="397"/>
      <c r="CV126" s="397"/>
      <c r="CW126" s="397"/>
      <c r="CX126" s="397"/>
      <c r="CY126" s="397"/>
      <c r="CZ126" s="397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</row>
    <row r="127" spans="2:124" s="300" customFormat="1" ht="12.75" customHeight="1">
      <c r="L127" s="123"/>
      <c r="M127" s="123"/>
      <c r="N127" s="123"/>
      <c r="O127" s="123"/>
      <c r="P127" s="397"/>
      <c r="Q127" s="397"/>
      <c r="R127" s="397"/>
      <c r="S127" s="397"/>
      <c r="T127" s="397"/>
      <c r="U127" s="397"/>
      <c r="V127" s="123"/>
      <c r="W127" s="123"/>
      <c r="X127" s="123"/>
      <c r="BE127" s="257"/>
      <c r="BF127" s="257"/>
      <c r="BG127" s="257"/>
      <c r="BH127" s="257"/>
      <c r="CQ127" s="397"/>
      <c r="CR127" s="397"/>
      <c r="CS127" s="397"/>
      <c r="CT127" s="397"/>
      <c r="CU127" s="397"/>
      <c r="CV127" s="397"/>
      <c r="CW127" s="397"/>
      <c r="CX127" s="397"/>
      <c r="CY127" s="397"/>
      <c r="CZ127" s="39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</row>
    <row r="128" spans="2:124" s="300" customFormat="1" ht="12.75" customHeight="1">
      <c r="L128" s="123"/>
      <c r="M128" s="123"/>
      <c r="N128" s="123"/>
      <c r="O128" s="123"/>
      <c r="P128" s="397"/>
      <c r="Q128" s="397"/>
      <c r="R128" s="397"/>
      <c r="S128" s="397"/>
      <c r="T128" s="397"/>
      <c r="U128" s="397"/>
      <c r="V128" s="123"/>
      <c r="W128" s="123"/>
      <c r="X128" s="123"/>
      <c r="BE128" s="257"/>
      <c r="BF128" s="257"/>
      <c r="BG128" s="257"/>
      <c r="BH128" s="257"/>
      <c r="CQ128" s="397"/>
      <c r="CR128" s="397"/>
      <c r="CS128" s="397"/>
      <c r="CT128" s="397"/>
      <c r="CU128" s="397"/>
      <c r="CV128" s="397"/>
      <c r="CW128" s="397"/>
      <c r="CX128" s="397"/>
      <c r="CY128" s="397"/>
      <c r="CZ128" s="397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</row>
    <row r="129" spans="1:124" s="300" customFormat="1" ht="12.75" customHeight="1">
      <c r="L129" s="123"/>
      <c r="M129" s="123"/>
      <c r="N129" s="123"/>
      <c r="O129" s="123"/>
      <c r="P129" s="397"/>
      <c r="Q129" s="397"/>
      <c r="R129" s="397"/>
      <c r="S129" s="397"/>
      <c r="T129" s="397"/>
      <c r="U129" s="397"/>
      <c r="V129" s="123"/>
      <c r="W129" s="123"/>
      <c r="X129" s="123"/>
      <c r="BE129" s="257"/>
      <c r="BF129" s="257"/>
      <c r="BG129" s="257"/>
      <c r="BH129" s="257"/>
      <c r="CQ129" s="397"/>
      <c r="CR129" s="397"/>
      <c r="CS129" s="397"/>
      <c r="CT129" s="397"/>
      <c r="CU129" s="397"/>
      <c r="CV129" s="397"/>
      <c r="CW129" s="397"/>
      <c r="CX129" s="397"/>
      <c r="CY129" s="397"/>
      <c r="CZ129" s="397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</row>
    <row r="130" spans="1:124" s="300" customFormat="1" ht="12.75" customHeight="1">
      <c r="L130" s="123"/>
      <c r="M130" s="123"/>
      <c r="N130" s="123"/>
      <c r="O130" s="123"/>
      <c r="P130" s="397"/>
      <c r="Q130" s="397"/>
      <c r="R130" s="397"/>
      <c r="S130" s="397"/>
      <c r="T130" s="397"/>
      <c r="U130" s="397"/>
      <c r="V130" s="123"/>
      <c r="W130" s="123"/>
      <c r="X130" s="123"/>
      <c r="BE130" s="257"/>
      <c r="BF130" s="257"/>
      <c r="BG130" s="257"/>
      <c r="BH130" s="257"/>
      <c r="CQ130" s="397"/>
      <c r="CR130" s="397"/>
      <c r="CS130" s="397"/>
      <c r="CT130" s="397"/>
      <c r="CU130" s="397"/>
      <c r="CV130" s="397"/>
      <c r="CW130" s="397"/>
      <c r="CX130" s="397"/>
      <c r="CY130" s="397"/>
      <c r="CZ130" s="397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</row>
    <row r="131" spans="1:124" s="300" customFormat="1" ht="12.75" customHeight="1">
      <c r="L131" s="123"/>
      <c r="M131" s="123"/>
      <c r="N131" s="123"/>
      <c r="O131" s="123"/>
      <c r="P131" s="397"/>
      <c r="Q131" s="397"/>
      <c r="R131" s="397"/>
      <c r="S131" s="397"/>
      <c r="T131" s="397"/>
      <c r="U131" s="397"/>
      <c r="V131" s="123"/>
      <c r="W131" s="123"/>
      <c r="X131" s="123"/>
      <c r="BE131" s="257"/>
      <c r="BF131" s="257"/>
      <c r="BG131" s="257"/>
      <c r="BH131" s="257"/>
      <c r="CQ131" s="397"/>
      <c r="CR131" s="397"/>
      <c r="CS131" s="397"/>
      <c r="CT131" s="397"/>
      <c r="CU131" s="397"/>
      <c r="CV131" s="397"/>
      <c r="CW131" s="397"/>
      <c r="CX131" s="397"/>
      <c r="CY131" s="397"/>
      <c r="CZ131" s="397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</row>
    <row r="132" spans="1:124" s="300" customFormat="1" ht="12.75" customHeight="1">
      <c r="L132" s="123"/>
      <c r="M132" s="123"/>
      <c r="N132" s="123"/>
      <c r="O132" s="123"/>
      <c r="P132" s="397"/>
      <c r="Q132" s="397"/>
      <c r="R132" s="397"/>
      <c r="S132" s="397"/>
      <c r="T132" s="397"/>
      <c r="U132" s="397"/>
      <c r="V132" s="123"/>
      <c r="W132" s="123"/>
      <c r="X132" s="123"/>
      <c r="BE132" s="257"/>
      <c r="BF132" s="257"/>
      <c r="BG132" s="257"/>
      <c r="BH132" s="257"/>
      <c r="CQ132" s="397"/>
      <c r="CR132" s="397"/>
      <c r="CS132" s="397"/>
      <c r="CT132" s="397"/>
      <c r="CU132" s="397"/>
      <c r="CV132" s="397"/>
      <c r="CW132" s="397"/>
      <c r="CX132" s="397"/>
      <c r="CY132" s="397"/>
      <c r="CZ132" s="397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</row>
    <row r="133" spans="1:124" s="300" customFormat="1" ht="12.75" customHeight="1">
      <c r="L133" s="123"/>
      <c r="M133" s="123"/>
      <c r="N133" s="123"/>
      <c r="O133" s="123"/>
      <c r="P133" s="397"/>
      <c r="Q133" s="397"/>
      <c r="R133" s="397"/>
      <c r="S133" s="397"/>
      <c r="T133" s="397"/>
      <c r="U133" s="397"/>
      <c r="V133" s="123"/>
      <c r="W133" s="123"/>
      <c r="X133" s="123"/>
      <c r="BE133" s="257"/>
      <c r="BF133" s="257"/>
      <c r="BG133" s="257"/>
      <c r="BH133" s="257"/>
      <c r="CQ133" s="397"/>
      <c r="CR133" s="397"/>
      <c r="CS133" s="397"/>
      <c r="CT133" s="397"/>
      <c r="CU133" s="397"/>
      <c r="CV133" s="397"/>
      <c r="CW133" s="397"/>
      <c r="CX133" s="397"/>
      <c r="CY133" s="397"/>
      <c r="CZ133" s="397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</row>
    <row r="134" spans="1:124" s="300" customFormat="1" ht="12.75" customHeight="1">
      <c r="L134" s="123"/>
      <c r="M134" s="123"/>
      <c r="N134" s="123"/>
      <c r="O134" s="123"/>
      <c r="P134" s="397"/>
      <c r="Q134" s="397"/>
      <c r="R134" s="397"/>
      <c r="S134" s="397"/>
      <c r="T134" s="397"/>
      <c r="U134" s="397"/>
      <c r="V134" s="123"/>
      <c r="W134" s="123"/>
      <c r="X134" s="123"/>
      <c r="BE134" s="257"/>
      <c r="BF134" s="257"/>
      <c r="BG134" s="257"/>
      <c r="BH134" s="257"/>
      <c r="CQ134" s="397"/>
      <c r="CR134" s="397"/>
      <c r="CS134" s="397"/>
      <c r="CT134" s="397"/>
      <c r="CU134" s="397"/>
      <c r="CV134" s="397"/>
      <c r="CW134" s="397"/>
      <c r="CX134" s="397"/>
      <c r="CY134" s="397"/>
      <c r="CZ134" s="397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</row>
    <row r="135" spans="1:124" s="300" customFormat="1" ht="12.75" customHeight="1">
      <c r="A135" s="112"/>
      <c r="L135" s="123"/>
      <c r="M135" s="123"/>
      <c r="N135" s="123"/>
      <c r="O135" s="123"/>
      <c r="P135" s="397"/>
      <c r="Q135" s="397"/>
      <c r="R135" s="397"/>
      <c r="S135" s="397"/>
      <c r="T135" s="397"/>
      <c r="U135" s="397"/>
      <c r="V135" s="123"/>
      <c r="W135" s="123"/>
      <c r="X135" s="123"/>
      <c r="BE135" s="257"/>
      <c r="BF135" s="257"/>
      <c r="BG135" s="257"/>
      <c r="BH135" s="257"/>
      <c r="CQ135" s="397"/>
      <c r="CR135" s="397"/>
      <c r="CS135" s="397"/>
      <c r="CT135" s="397"/>
      <c r="CU135" s="397"/>
      <c r="CV135" s="397"/>
      <c r="CW135" s="397"/>
      <c r="CX135" s="397"/>
      <c r="CY135" s="397"/>
      <c r="CZ135" s="397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</row>
    <row r="136" spans="1:124" s="300" customFormat="1" ht="12.75" customHeight="1">
      <c r="A136" s="112"/>
      <c r="L136" s="123"/>
      <c r="M136" s="123"/>
      <c r="N136" s="123"/>
      <c r="O136" s="123"/>
      <c r="P136" s="397"/>
      <c r="Q136" s="397"/>
      <c r="R136" s="397"/>
      <c r="S136" s="397"/>
      <c r="T136" s="397"/>
      <c r="U136" s="397"/>
      <c r="V136" s="123"/>
      <c r="W136" s="123"/>
      <c r="X136" s="123"/>
      <c r="BE136" s="257"/>
      <c r="BF136" s="257"/>
      <c r="BG136" s="257"/>
      <c r="BH136" s="257"/>
      <c r="CQ136" s="397"/>
      <c r="CR136" s="397"/>
      <c r="CS136" s="397"/>
      <c r="CT136" s="397"/>
      <c r="CU136" s="397"/>
      <c r="CV136" s="397"/>
      <c r="CW136" s="397"/>
      <c r="CX136" s="397"/>
      <c r="CY136" s="397"/>
      <c r="CZ136" s="397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300" customFormat="1" ht="12.75" customHeight="1">
      <c r="A137" s="112"/>
      <c r="L137" s="123"/>
      <c r="M137" s="123"/>
      <c r="N137" s="123"/>
      <c r="O137" s="123"/>
      <c r="P137" s="397"/>
      <c r="Q137" s="397"/>
      <c r="R137" s="397"/>
      <c r="S137" s="397"/>
      <c r="T137" s="397"/>
      <c r="U137" s="397"/>
      <c r="V137" s="123"/>
      <c r="W137" s="123"/>
      <c r="X137" s="123"/>
      <c r="BE137" s="257"/>
      <c r="BF137" s="257"/>
      <c r="BG137" s="257"/>
      <c r="BH137" s="257"/>
      <c r="CQ137" s="397"/>
      <c r="CR137" s="397"/>
      <c r="CS137" s="397"/>
      <c r="CT137" s="397"/>
      <c r="CU137" s="397"/>
      <c r="CV137" s="397"/>
      <c r="CW137" s="397"/>
      <c r="CX137" s="397"/>
      <c r="CY137" s="397"/>
      <c r="CZ137" s="39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300" customFormat="1" ht="12.75" customHeight="1">
      <c r="A138" s="112"/>
      <c r="F138" s="112"/>
      <c r="L138" s="123"/>
      <c r="M138" s="123"/>
      <c r="N138" s="123"/>
      <c r="O138" s="123"/>
      <c r="P138" s="397"/>
      <c r="Q138" s="397"/>
      <c r="R138" s="397"/>
      <c r="S138" s="397"/>
      <c r="T138" s="397"/>
      <c r="U138" s="397"/>
      <c r="V138" s="123"/>
      <c r="W138" s="123"/>
      <c r="X138" s="123"/>
      <c r="BE138" s="257"/>
      <c r="BF138" s="257"/>
      <c r="BG138" s="257"/>
      <c r="BH138" s="257"/>
      <c r="CQ138" s="397"/>
      <c r="CR138" s="397"/>
      <c r="CS138" s="397"/>
      <c r="CT138" s="397"/>
      <c r="CU138" s="397"/>
      <c r="CV138" s="397"/>
      <c r="CW138" s="397"/>
      <c r="CX138" s="397"/>
      <c r="CY138" s="397"/>
      <c r="CZ138" s="397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300" customFormat="1" ht="12.75" customHeight="1">
      <c r="A139" s="114"/>
      <c r="F139" s="112"/>
      <c r="L139" s="123"/>
      <c r="M139" s="123"/>
      <c r="N139" s="123"/>
      <c r="O139" s="123"/>
      <c r="P139" s="397"/>
      <c r="Q139" s="397"/>
      <c r="R139" s="397"/>
      <c r="S139" s="397"/>
      <c r="T139" s="397"/>
      <c r="U139" s="397"/>
      <c r="V139" s="123"/>
      <c r="W139" s="123"/>
      <c r="X139" s="123"/>
      <c r="BE139" s="257"/>
      <c r="BF139" s="257"/>
      <c r="BG139" s="257"/>
      <c r="BH139" s="257"/>
      <c r="CQ139" s="397"/>
      <c r="CR139" s="397"/>
      <c r="CS139" s="397"/>
      <c r="CT139" s="397"/>
      <c r="CU139" s="397"/>
      <c r="CV139" s="397"/>
      <c r="CW139" s="397"/>
      <c r="CX139" s="397"/>
      <c r="CY139" s="397"/>
      <c r="CZ139" s="397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300" customFormat="1" ht="12.75" customHeight="1">
      <c r="A140" s="114"/>
      <c r="F140" s="112"/>
      <c r="L140" s="123"/>
      <c r="M140" s="123"/>
      <c r="N140" s="123"/>
      <c r="O140" s="123"/>
      <c r="P140" s="397"/>
      <c r="Q140" s="397"/>
      <c r="R140" s="397"/>
      <c r="S140" s="397"/>
      <c r="T140" s="397"/>
      <c r="U140" s="397"/>
      <c r="V140" s="123"/>
      <c r="W140" s="123"/>
      <c r="X140" s="123"/>
      <c r="BE140" s="257"/>
      <c r="BF140" s="257"/>
      <c r="BG140" s="257"/>
      <c r="BH140" s="257"/>
      <c r="CQ140" s="397"/>
      <c r="CR140" s="397"/>
      <c r="CS140" s="397"/>
      <c r="CT140" s="397"/>
      <c r="CU140" s="397"/>
      <c r="CV140" s="397"/>
      <c r="CW140" s="397"/>
      <c r="CX140" s="397"/>
      <c r="CY140" s="397"/>
      <c r="CZ140" s="397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300" customFormat="1" ht="12.75" customHeight="1">
      <c r="A141" s="122"/>
      <c r="F141" s="112"/>
      <c r="L141" s="123"/>
      <c r="M141" s="123"/>
      <c r="N141" s="123"/>
      <c r="O141" s="123"/>
      <c r="P141" s="397"/>
      <c r="Q141" s="397"/>
      <c r="R141" s="397"/>
      <c r="S141" s="397"/>
      <c r="T141" s="397"/>
      <c r="U141" s="397"/>
      <c r="V141" s="123"/>
      <c r="W141" s="123"/>
      <c r="X141" s="123"/>
      <c r="BE141" s="257"/>
      <c r="BF141" s="257"/>
      <c r="BG141" s="257"/>
      <c r="BH141" s="257"/>
      <c r="CQ141" s="397"/>
      <c r="CR141" s="397"/>
      <c r="CS141" s="397"/>
      <c r="CT141" s="397"/>
      <c r="CU141" s="397"/>
      <c r="CV141" s="397"/>
      <c r="CW141" s="397"/>
      <c r="CX141" s="397"/>
      <c r="CY141" s="397"/>
      <c r="CZ141" s="397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300" customFormat="1" ht="12.75" customHeight="1">
      <c r="A142" s="124"/>
      <c r="F142" s="114"/>
      <c r="L142" s="123"/>
      <c r="M142" s="123"/>
      <c r="N142" s="123"/>
      <c r="O142" s="123"/>
      <c r="P142" s="397"/>
      <c r="Q142" s="397"/>
      <c r="R142" s="397"/>
      <c r="S142" s="397"/>
      <c r="T142" s="397"/>
      <c r="U142" s="397"/>
      <c r="V142" s="123"/>
      <c r="W142" s="123"/>
      <c r="X142" s="123"/>
      <c r="BE142" s="257"/>
      <c r="BF142" s="257"/>
      <c r="BG142" s="257"/>
      <c r="BH142" s="257"/>
      <c r="CQ142" s="397"/>
      <c r="CR142" s="397"/>
      <c r="CS142" s="397"/>
      <c r="CT142" s="397"/>
      <c r="CU142" s="397"/>
      <c r="CV142" s="397"/>
      <c r="CW142" s="397"/>
      <c r="CX142" s="397"/>
      <c r="CY142" s="397"/>
      <c r="CZ142" s="397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300" customFormat="1" ht="12.75" customHeight="1">
      <c r="A143" s="124"/>
      <c r="F143" s="114"/>
      <c r="L143" s="123"/>
      <c r="M143" s="123"/>
      <c r="N143" s="123"/>
      <c r="O143" s="123"/>
      <c r="P143" s="397"/>
      <c r="Q143" s="397"/>
      <c r="R143" s="397"/>
      <c r="S143" s="397"/>
      <c r="T143" s="397"/>
      <c r="U143" s="397"/>
      <c r="V143" s="123"/>
      <c r="W143" s="123"/>
      <c r="X143" s="123"/>
      <c r="BE143" s="257"/>
      <c r="BF143" s="257"/>
      <c r="BG143" s="257"/>
      <c r="BH143" s="257"/>
      <c r="CQ143" s="397"/>
      <c r="CR143" s="397"/>
      <c r="CS143" s="397"/>
      <c r="CT143" s="397"/>
      <c r="CU143" s="397"/>
      <c r="CV143" s="397"/>
      <c r="CW143" s="397"/>
      <c r="CX143" s="397"/>
      <c r="CY143" s="397"/>
      <c r="CZ143" s="397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300" customFormat="1" ht="12.75" customHeight="1">
      <c r="A144" s="124"/>
      <c r="F144" s="122"/>
      <c r="L144" s="123"/>
      <c r="M144" s="123"/>
      <c r="N144" s="123"/>
      <c r="O144" s="123"/>
      <c r="P144" s="397"/>
      <c r="Q144" s="397"/>
      <c r="R144" s="397"/>
      <c r="S144" s="397"/>
      <c r="T144" s="397"/>
      <c r="U144" s="397"/>
      <c r="V144" s="123"/>
      <c r="W144" s="123"/>
      <c r="X144" s="123"/>
      <c r="BE144" s="257"/>
      <c r="BF144" s="257"/>
      <c r="BG144" s="257"/>
      <c r="BH144" s="257"/>
      <c r="CQ144" s="397"/>
      <c r="CR144" s="397"/>
      <c r="CS144" s="397"/>
      <c r="CT144" s="397"/>
      <c r="CU144" s="397"/>
      <c r="CV144" s="397"/>
      <c r="CW144" s="397"/>
      <c r="CX144" s="397"/>
      <c r="CY144" s="397"/>
      <c r="CZ144" s="397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124" s="300" customFormat="1" ht="12.75" customHeight="1">
      <c r="A145" s="124"/>
      <c r="F145" s="124"/>
      <c r="L145" s="123"/>
      <c r="M145" s="123"/>
      <c r="N145" s="123"/>
      <c r="O145" s="123"/>
      <c r="P145" s="397"/>
      <c r="Q145" s="397"/>
      <c r="R145" s="397"/>
      <c r="S145" s="397"/>
      <c r="T145" s="397"/>
      <c r="U145" s="397"/>
      <c r="V145" s="123"/>
      <c r="W145" s="123"/>
      <c r="X145" s="123"/>
      <c r="BE145" s="257"/>
      <c r="BF145" s="257"/>
      <c r="BG145" s="257"/>
      <c r="BH145" s="257"/>
      <c r="CQ145" s="397"/>
      <c r="CR145" s="397"/>
      <c r="CS145" s="397"/>
      <c r="CT145" s="397"/>
      <c r="CU145" s="397"/>
      <c r="CV145" s="397"/>
      <c r="CW145" s="397"/>
      <c r="CX145" s="397"/>
      <c r="CY145" s="397"/>
      <c r="CZ145" s="397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124" s="300" customFormat="1" ht="12.75" customHeight="1">
      <c r="A146" s="124"/>
      <c r="F146" s="124"/>
      <c r="L146" s="123"/>
      <c r="M146" s="123"/>
      <c r="N146" s="123"/>
      <c r="O146" s="123"/>
      <c r="P146" s="397"/>
      <c r="Q146" s="397"/>
      <c r="R146" s="397"/>
      <c r="S146" s="397"/>
      <c r="T146" s="397"/>
      <c r="U146" s="397"/>
      <c r="V146" s="123"/>
      <c r="W146" s="123"/>
      <c r="X146" s="123"/>
      <c r="BE146" s="257"/>
      <c r="BF146" s="257"/>
      <c r="BG146" s="257"/>
      <c r="BH146" s="257"/>
      <c r="CQ146" s="397"/>
      <c r="CR146" s="397"/>
      <c r="CS146" s="397"/>
      <c r="CT146" s="397"/>
      <c r="CU146" s="397"/>
      <c r="CV146" s="397"/>
      <c r="CW146" s="397"/>
      <c r="CX146" s="397"/>
      <c r="CY146" s="397"/>
      <c r="CZ146" s="397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</row>
    <row r="147" spans="1:124" s="300" customFormat="1" ht="12.75" customHeight="1">
      <c r="A147" s="124"/>
      <c r="F147" s="124"/>
      <c r="L147" s="123"/>
      <c r="M147" s="123"/>
      <c r="N147" s="123"/>
      <c r="O147" s="123"/>
      <c r="P147" s="397"/>
      <c r="Q147" s="397"/>
      <c r="R147" s="397"/>
      <c r="S147" s="397"/>
      <c r="T147" s="397"/>
      <c r="U147" s="397"/>
      <c r="V147" s="123"/>
      <c r="W147" s="123"/>
      <c r="X147" s="123"/>
      <c r="BE147" s="257"/>
      <c r="BF147" s="257"/>
      <c r="BG147" s="257"/>
      <c r="BH147" s="257"/>
      <c r="CQ147" s="397"/>
      <c r="CR147" s="397"/>
      <c r="CS147" s="397"/>
      <c r="CT147" s="397"/>
      <c r="CU147" s="397"/>
      <c r="CV147" s="397"/>
      <c r="CW147" s="397"/>
      <c r="CX147" s="397"/>
      <c r="CY147" s="397"/>
      <c r="CZ147" s="39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124" s="300" customFormat="1" ht="12.75" customHeight="1">
      <c r="A148" s="124"/>
      <c r="F148" s="124"/>
      <c r="L148" s="123"/>
      <c r="M148" s="123"/>
      <c r="N148" s="123"/>
      <c r="O148" s="123"/>
      <c r="P148" s="397"/>
      <c r="Q148" s="397"/>
      <c r="R148" s="397"/>
      <c r="S148" s="397"/>
      <c r="T148" s="397"/>
      <c r="U148" s="397"/>
      <c r="V148" s="123"/>
      <c r="W148" s="123"/>
      <c r="X148" s="123"/>
      <c r="BE148" s="257"/>
      <c r="BF148" s="257"/>
      <c r="BG148" s="257"/>
      <c r="BH148" s="257"/>
      <c r="CQ148" s="397"/>
      <c r="CR148" s="397"/>
      <c r="CS148" s="397"/>
      <c r="CT148" s="397"/>
      <c r="CU148" s="397"/>
      <c r="CV148" s="397"/>
      <c r="CW148" s="397"/>
      <c r="CX148" s="397"/>
      <c r="CY148" s="397"/>
      <c r="CZ148" s="397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124" s="300" customFormat="1" ht="12.75" customHeight="1">
      <c r="A149" s="124"/>
      <c r="F149" s="124"/>
      <c r="L149" s="123"/>
      <c r="M149" s="123"/>
      <c r="N149" s="123"/>
      <c r="O149" s="123"/>
      <c r="P149" s="397"/>
      <c r="Q149" s="397"/>
      <c r="R149" s="397"/>
      <c r="S149" s="397"/>
      <c r="T149" s="397"/>
      <c r="U149" s="397"/>
      <c r="V149" s="123"/>
      <c r="W149" s="123"/>
      <c r="X149" s="123"/>
      <c r="BE149" s="257"/>
      <c r="BF149" s="257"/>
      <c r="BG149" s="257"/>
      <c r="BH149" s="257"/>
      <c r="CQ149" s="397"/>
      <c r="CR149" s="397"/>
      <c r="CS149" s="397"/>
      <c r="CT149" s="397"/>
      <c r="CU149" s="397"/>
      <c r="CV149" s="397"/>
      <c r="CW149" s="397"/>
      <c r="CX149" s="397"/>
      <c r="CY149" s="397"/>
      <c r="CZ149" s="397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124" s="300" customFormat="1" ht="12.75" customHeight="1">
      <c r="A150" s="124"/>
      <c r="F150" s="124"/>
      <c r="L150" s="123"/>
      <c r="M150" s="123"/>
      <c r="N150" s="123"/>
      <c r="O150" s="123"/>
      <c r="P150" s="397"/>
      <c r="Q150" s="397"/>
      <c r="R150" s="397"/>
      <c r="S150" s="397"/>
      <c r="T150" s="397"/>
      <c r="U150" s="397"/>
      <c r="V150" s="123"/>
      <c r="W150" s="123"/>
      <c r="X150" s="123"/>
      <c r="BE150" s="257"/>
      <c r="BF150" s="257"/>
      <c r="BG150" s="257"/>
      <c r="BH150" s="257"/>
      <c r="CQ150" s="397"/>
      <c r="CR150" s="397"/>
      <c r="CS150" s="397"/>
      <c r="CT150" s="397"/>
      <c r="CU150" s="397"/>
      <c r="CV150" s="397"/>
      <c r="CW150" s="397"/>
      <c r="CX150" s="397"/>
      <c r="CY150" s="397"/>
      <c r="CZ150" s="397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124" s="300" customFormat="1" ht="12.75" customHeight="1">
      <c r="A151" s="124"/>
      <c r="F151" s="124"/>
      <c r="L151" s="123"/>
      <c r="M151" s="123"/>
      <c r="N151" s="123"/>
      <c r="O151" s="123"/>
      <c r="P151" s="397"/>
      <c r="Q151" s="397"/>
      <c r="R151" s="397"/>
      <c r="S151" s="397"/>
      <c r="T151" s="397"/>
      <c r="U151" s="397"/>
      <c r="V151" s="123"/>
      <c r="W151" s="123"/>
      <c r="X151" s="123"/>
      <c r="BE151" s="257"/>
      <c r="BF151" s="257"/>
      <c r="BG151" s="257"/>
      <c r="BH151" s="257"/>
      <c r="CQ151" s="397"/>
      <c r="CR151" s="397"/>
      <c r="CS151" s="397"/>
      <c r="CT151" s="397"/>
      <c r="CU151" s="397"/>
      <c r="CV151" s="397"/>
      <c r="CW151" s="397"/>
      <c r="CX151" s="397"/>
      <c r="CY151" s="397"/>
      <c r="CZ151" s="397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</row>
    <row r="152" spans="1:124" s="300" customFormat="1" ht="12.75" customHeight="1">
      <c r="A152" s="124"/>
      <c r="F152" s="124"/>
      <c r="L152" s="123"/>
      <c r="M152" s="123"/>
      <c r="N152" s="123"/>
      <c r="O152" s="123"/>
      <c r="P152" s="397"/>
      <c r="Q152" s="397"/>
      <c r="R152" s="397"/>
      <c r="S152" s="397"/>
      <c r="T152" s="397"/>
      <c r="U152" s="397"/>
      <c r="V152" s="123"/>
      <c r="W152" s="123"/>
      <c r="X152" s="123"/>
      <c r="BE152" s="257"/>
      <c r="BF152" s="257"/>
      <c r="BG152" s="257"/>
      <c r="BH152" s="257"/>
      <c r="CQ152" s="397"/>
      <c r="CR152" s="397"/>
      <c r="CS152" s="397"/>
      <c r="CT152" s="397"/>
      <c r="CU152" s="397"/>
      <c r="CV152" s="397"/>
      <c r="CW152" s="397"/>
      <c r="CX152" s="397"/>
      <c r="CY152" s="397"/>
      <c r="CZ152" s="397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</row>
    <row r="153" spans="1:124" s="300" customFormat="1" ht="12.75" customHeight="1">
      <c r="A153" s="124"/>
      <c r="F153" s="124"/>
      <c r="L153" s="123"/>
      <c r="M153" s="123"/>
      <c r="N153" s="123"/>
      <c r="O153" s="123"/>
      <c r="P153" s="397"/>
      <c r="Q153" s="397"/>
      <c r="R153" s="397"/>
      <c r="S153" s="397"/>
      <c r="T153" s="397"/>
      <c r="U153" s="397"/>
      <c r="V153" s="123"/>
      <c r="W153" s="123"/>
      <c r="X153" s="123"/>
      <c r="BE153" s="257"/>
      <c r="BF153" s="257"/>
      <c r="BG153" s="257"/>
      <c r="BH153" s="257"/>
      <c r="CQ153" s="397"/>
      <c r="CR153" s="397"/>
      <c r="CS153" s="397"/>
      <c r="CT153" s="397"/>
      <c r="CU153" s="397"/>
      <c r="CV153" s="397"/>
      <c r="CW153" s="397"/>
      <c r="CX153" s="397"/>
      <c r="CY153" s="397"/>
      <c r="CZ153" s="397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</row>
    <row r="154" spans="1:124" s="300" customFormat="1" ht="12.75" customHeight="1">
      <c r="A154" s="124"/>
      <c r="F154" s="124"/>
      <c r="L154" s="123"/>
      <c r="M154" s="123"/>
      <c r="N154" s="123"/>
      <c r="O154" s="123"/>
      <c r="P154" s="397"/>
      <c r="Q154" s="397"/>
      <c r="R154" s="397"/>
      <c r="S154" s="397"/>
      <c r="T154" s="397"/>
      <c r="U154" s="397"/>
      <c r="V154" s="123"/>
      <c r="W154" s="123"/>
      <c r="X154" s="123"/>
      <c r="BE154" s="257"/>
      <c r="BF154" s="257"/>
      <c r="BG154" s="257"/>
      <c r="BH154" s="257"/>
      <c r="CQ154" s="397"/>
      <c r="CR154" s="397"/>
      <c r="CS154" s="397"/>
      <c r="CT154" s="397"/>
      <c r="CU154" s="397"/>
      <c r="CV154" s="397"/>
      <c r="CW154" s="397"/>
      <c r="CX154" s="397"/>
      <c r="CY154" s="397"/>
      <c r="CZ154" s="397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124" s="300" customFormat="1" ht="12.75" customHeight="1">
      <c r="A155" s="122"/>
      <c r="F155" s="124"/>
      <c r="L155" s="123"/>
      <c r="M155" s="123"/>
      <c r="N155" s="123"/>
      <c r="O155" s="123"/>
      <c r="P155" s="397"/>
      <c r="Q155" s="397"/>
      <c r="R155" s="397"/>
      <c r="S155" s="397"/>
      <c r="T155" s="397"/>
      <c r="U155" s="397"/>
      <c r="V155" s="123"/>
      <c r="W155" s="123"/>
      <c r="X155" s="123"/>
      <c r="BE155" s="257"/>
      <c r="BF155" s="257"/>
      <c r="BG155" s="257"/>
      <c r="BH155" s="257"/>
      <c r="CQ155" s="397"/>
      <c r="CR155" s="397"/>
      <c r="CS155" s="397"/>
      <c r="CT155" s="397"/>
      <c r="CU155" s="397"/>
      <c r="CV155" s="397"/>
      <c r="CW155" s="397"/>
      <c r="CX155" s="397"/>
      <c r="CY155" s="397"/>
      <c r="CZ155" s="397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</row>
    <row r="156" spans="1:124" s="300" customFormat="1" ht="12.75" customHeight="1">
      <c r="A156" s="124"/>
      <c r="F156" s="124"/>
      <c r="L156" s="123"/>
      <c r="M156" s="123"/>
      <c r="N156" s="123"/>
      <c r="O156" s="123"/>
      <c r="P156" s="397"/>
      <c r="Q156" s="397"/>
      <c r="R156" s="397"/>
      <c r="S156" s="397"/>
      <c r="T156" s="397"/>
      <c r="U156" s="397"/>
      <c r="V156" s="123"/>
      <c r="W156" s="123"/>
      <c r="X156" s="123"/>
      <c r="BE156" s="257"/>
      <c r="BF156" s="257"/>
      <c r="BG156" s="257"/>
      <c r="BH156" s="257"/>
      <c r="CQ156" s="397"/>
      <c r="CR156" s="397"/>
      <c r="CS156" s="397"/>
      <c r="CT156" s="397"/>
      <c r="CU156" s="397"/>
      <c r="CV156" s="397"/>
      <c r="CW156" s="397"/>
      <c r="CX156" s="397"/>
      <c r="CY156" s="397"/>
      <c r="CZ156" s="397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</row>
    <row r="157" spans="1:124" s="300" customFormat="1" ht="12.75" customHeight="1">
      <c r="A157" s="124"/>
      <c r="F157" s="124"/>
      <c r="L157" s="123"/>
      <c r="M157" s="123"/>
      <c r="N157" s="123"/>
      <c r="O157" s="123"/>
      <c r="P157" s="397"/>
      <c r="Q157" s="397"/>
      <c r="R157" s="397"/>
      <c r="S157" s="397"/>
      <c r="T157" s="397"/>
      <c r="U157" s="397"/>
      <c r="V157" s="123"/>
      <c r="W157" s="123"/>
      <c r="X157" s="123"/>
      <c r="BE157" s="257"/>
      <c r="BF157" s="257"/>
      <c r="BG157" s="257"/>
      <c r="BH157" s="257"/>
      <c r="CQ157" s="397"/>
      <c r="CR157" s="397"/>
      <c r="CS157" s="397"/>
      <c r="CT157" s="397"/>
      <c r="CU157" s="397"/>
      <c r="CV157" s="397"/>
      <c r="CW157" s="397"/>
      <c r="CX157" s="397"/>
      <c r="CY157" s="397"/>
      <c r="CZ157" s="39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</row>
    <row r="158" spans="1:124" s="300" customFormat="1" ht="12.75" customHeight="1">
      <c r="A158" s="122"/>
      <c r="F158" s="122"/>
      <c r="L158" s="123"/>
      <c r="M158" s="123"/>
      <c r="N158" s="123"/>
      <c r="O158" s="123"/>
      <c r="P158" s="397"/>
      <c r="Q158" s="397"/>
      <c r="R158" s="397"/>
      <c r="S158" s="397"/>
      <c r="T158" s="397"/>
      <c r="U158" s="397"/>
      <c r="V158" s="123"/>
      <c r="W158" s="123"/>
      <c r="X158" s="123"/>
      <c r="BE158" s="257"/>
      <c r="BF158" s="257"/>
      <c r="BG158" s="257"/>
      <c r="BH158" s="257"/>
      <c r="CQ158" s="397"/>
      <c r="CR158" s="397"/>
      <c r="CS158" s="397"/>
      <c r="CT158" s="397"/>
      <c r="CU158" s="397"/>
      <c r="CV158" s="397"/>
      <c r="CW158" s="397"/>
      <c r="CX158" s="397"/>
      <c r="CY158" s="397"/>
      <c r="CZ158" s="397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</row>
    <row r="159" spans="1:124" s="300" customFormat="1" ht="12.75" customHeight="1">
      <c r="A159" s="122"/>
      <c r="F159" s="124"/>
      <c r="L159" s="123"/>
      <c r="M159" s="123"/>
      <c r="N159" s="123"/>
      <c r="O159" s="123"/>
      <c r="P159" s="397"/>
      <c r="Q159" s="397"/>
      <c r="R159" s="397"/>
      <c r="S159" s="397"/>
      <c r="T159" s="397"/>
      <c r="U159" s="397"/>
      <c r="V159" s="123"/>
      <c r="W159" s="123"/>
      <c r="X159" s="123"/>
      <c r="BE159" s="257"/>
      <c r="BF159" s="257"/>
      <c r="BG159" s="257"/>
      <c r="BH159" s="257"/>
      <c r="CQ159" s="397"/>
      <c r="CR159" s="397"/>
      <c r="CS159" s="397"/>
      <c r="CT159" s="397"/>
      <c r="CU159" s="397"/>
      <c r="CV159" s="397"/>
      <c r="CW159" s="397"/>
      <c r="CX159" s="397"/>
      <c r="CY159" s="397"/>
      <c r="CZ159" s="397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</row>
    <row r="160" spans="1:124" s="300" customFormat="1" ht="12.75" customHeight="1">
      <c r="A160" s="124"/>
      <c r="F160" s="124"/>
      <c r="L160" s="123"/>
      <c r="M160" s="123"/>
      <c r="N160" s="123"/>
      <c r="O160" s="123"/>
      <c r="P160" s="397"/>
      <c r="Q160" s="397"/>
      <c r="R160" s="397"/>
      <c r="S160" s="397"/>
      <c r="T160" s="397"/>
      <c r="U160" s="397"/>
      <c r="V160" s="123"/>
      <c r="W160" s="123"/>
      <c r="X160" s="123"/>
      <c r="BE160" s="257"/>
      <c r="BF160" s="257"/>
      <c r="BG160" s="257"/>
      <c r="BH160" s="257"/>
      <c r="CQ160" s="397"/>
      <c r="CR160" s="397"/>
      <c r="CS160" s="397"/>
      <c r="CT160" s="397"/>
      <c r="CU160" s="397"/>
      <c r="CV160" s="397"/>
      <c r="CW160" s="397"/>
      <c r="CX160" s="397"/>
      <c r="CY160" s="397"/>
      <c r="CZ160" s="397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</row>
    <row r="161" spans="1:124" s="300" customFormat="1" ht="12.75" customHeight="1">
      <c r="A161" s="124"/>
      <c r="F161" s="122"/>
      <c r="J161" s="112"/>
      <c r="K161" s="112"/>
      <c r="L161" s="123"/>
      <c r="M161" s="123"/>
      <c r="N161" s="123"/>
      <c r="O161" s="123"/>
      <c r="P161" s="397"/>
      <c r="Q161" s="397"/>
      <c r="R161" s="397"/>
      <c r="S161" s="397"/>
      <c r="T161" s="397"/>
      <c r="U161" s="397"/>
      <c r="V161" s="123"/>
      <c r="W161" s="123"/>
      <c r="X161" s="123"/>
      <c r="BE161" s="257"/>
      <c r="BF161" s="257"/>
      <c r="BG161" s="257"/>
      <c r="BH161" s="257"/>
      <c r="CQ161" s="397"/>
      <c r="CR161" s="397"/>
      <c r="CS161" s="397"/>
      <c r="CT161" s="397"/>
      <c r="CU161" s="397"/>
      <c r="CV161" s="397"/>
      <c r="CW161" s="397"/>
      <c r="CX161" s="397"/>
      <c r="CY161" s="397"/>
      <c r="CZ161" s="397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</row>
    <row r="162" spans="1:124" s="300" customFormat="1" ht="12.75" customHeight="1">
      <c r="A162" s="124"/>
      <c r="F162" s="122"/>
      <c r="J162" s="112"/>
      <c r="K162" s="112"/>
      <c r="L162" s="123"/>
      <c r="M162" s="123"/>
      <c r="N162" s="123"/>
      <c r="O162" s="123"/>
      <c r="P162" s="397"/>
      <c r="Q162" s="397"/>
      <c r="R162" s="397"/>
      <c r="S162" s="397"/>
      <c r="T162" s="397"/>
      <c r="U162" s="397"/>
      <c r="V162" s="123"/>
      <c r="W162" s="123"/>
      <c r="X162" s="123"/>
      <c r="BE162" s="257"/>
      <c r="BF162" s="257"/>
      <c r="BG162" s="257"/>
      <c r="BH162" s="257"/>
      <c r="CQ162" s="397"/>
      <c r="CR162" s="397"/>
      <c r="CS162" s="397"/>
      <c r="CT162" s="397"/>
      <c r="CU162" s="397"/>
      <c r="CV162" s="397"/>
      <c r="CW162" s="397"/>
      <c r="CX162" s="397"/>
      <c r="CY162" s="397"/>
      <c r="CZ162" s="397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</row>
    <row r="163" spans="1:124" s="300" customFormat="1" ht="12.75" customHeight="1">
      <c r="A163" s="124"/>
      <c r="B163" s="112"/>
      <c r="C163" s="112"/>
      <c r="D163" s="112"/>
      <c r="E163" s="112"/>
      <c r="F163" s="124"/>
      <c r="J163" s="112"/>
      <c r="K163" s="112"/>
      <c r="L163" s="123"/>
      <c r="M163" s="123"/>
      <c r="N163" s="123"/>
      <c r="O163" s="123"/>
      <c r="P163" s="397"/>
      <c r="Q163" s="397"/>
      <c r="R163" s="397"/>
      <c r="S163" s="397"/>
      <c r="T163" s="397"/>
      <c r="U163" s="397"/>
      <c r="V163" s="123"/>
      <c r="W163" s="123"/>
      <c r="X163" s="123"/>
      <c r="BE163" s="257"/>
      <c r="BF163" s="257"/>
      <c r="BG163" s="257"/>
      <c r="BH163" s="257"/>
      <c r="CQ163" s="397"/>
      <c r="CR163" s="397"/>
      <c r="CS163" s="397"/>
      <c r="CT163" s="397"/>
      <c r="CU163" s="397"/>
      <c r="CV163" s="397"/>
      <c r="CW163" s="397"/>
      <c r="CX163" s="397"/>
      <c r="CY163" s="397"/>
      <c r="CZ163" s="397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</row>
    <row r="164" spans="1:124" s="300" customFormat="1" ht="12.75" customHeight="1">
      <c r="A164" s="124"/>
      <c r="B164" s="112"/>
      <c r="C164" s="112"/>
      <c r="D164" s="112"/>
      <c r="E164" s="112"/>
      <c r="F164" s="124"/>
      <c r="J164" s="112"/>
      <c r="K164" s="112"/>
      <c r="L164" s="123"/>
      <c r="M164" s="123"/>
      <c r="N164" s="123"/>
      <c r="O164" s="123"/>
      <c r="P164" s="397"/>
      <c r="Q164" s="397"/>
      <c r="R164" s="397"/>
      <c r="S164" s="397"/>
      <c r="T164" s="397"/>
      <c r="U164" s="397"/>
      <c r="V164" s="123"/>
      <c r="W164" s="123"/>
      <c r="X164" s="123"/>
      <c r="BE164" s="257"/>
      <c r="BF164" s="257"/>
      <c r="BG164" s="257"/>
      <c r="BH164" s="257"/>
      <c r="CQ164" s="397"/>
      <c r="CR164" s="397"/>
      <c r="CS164" s="397"/>
      <c r="CT164" s="397"/>
      <c r="CU164" s="397"/>
      <c r="CV164" s="397"/>
      <c r="CW164" s="397"/>
      <c r="CX164" s="397"/>
      <c r="CY164" s="397"/>
      <c r="CZ164" s="397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</row>
    <row r="165" spans="1:124" s="300" customFormat="1" ht="12.75" customHeight="1">
      <c r="A165" s="124"/>
      <c r="B165" s="112"/>
      <c r="C165" s="112"/>
      <c r="D165" s="112"/>
      <c r="E165" s="112"/>
      <c r="F165" s="124"/>
      <c r="G165" s="112"/>
      <c r="H165" s="112"/>
      <c r="I165" s="112"/>
      <c r="J165" s="112"/>
      <c r="L165" s="123"/>
      <c r="M165" s="123"/>
      <c r="N165" s="123"/>
      <c r="O165" s="123"/>
      <c r="P165" s="397"/>
      <c r="Q165" s="397"/>
      <c r="R165" s="397"/>
      <c r="S165" s="397"/>
      <c r="T165" s="397"/>
      <c r="U165" s="397"/>
      <c r="V165" s="123"/>
      <c r="W165" s="123"/>
      <c r="X165" s="123"/>
      <c r="BE165" s="257"/>
      <c r="BF165" s="257"/>
      <c r="BG165" s="257"/>
      <c r="BH165" s="257"/>
      <c r="CQ165" s="397"/>
      <c r="CR165" s="397"/>
      <c r="CS165" s="397"/>
      <c r="CT165" s="397"/>
      <c r="CU165" s="397"/>
      <c r="CV165" s="397"/>
      <c r="CW165" s="397"/>
      <c r="CX165" s="397"/>
      <c r="CY165" s="397"/>
      <c r="CZ165" s="397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</row>
    <row r="166" spans="1:124" s="300" customFormat="1" ht="12.75" customHeight="1">
      <c r="A166" s="124"/>
      <c r="B166" s="112"/>
      <c r="C166" s="112"/>
      <c r="D166" s="112"/>
      <c r="E166" s="112"/>
      <c r="F166" s="124"/>
      <c r="G166" s="410"/>
      <c r="H166" s="410"/>
      <c r="I166" s="410"/>
      <c r="J166" s="410"/>
      <c r="L166" s="123"/>
      <c r="M166" s="123"/>
      <c r="N166" s="123"/>
      <c r="O166" s="123"/>
      <c r="P166" s="397"/>
      <c r="Q166" s="397"/>
      <c r="R166" s="397"/>
      <c r="S166" s="397"/>
      <c r="T166" s="397"/>
      <c r="U166" s="397"/>
      <c r="V166" s="123"/>
      <c r="W166" s="123"/>
      <c r="X166" s="123"/>
      <c r="BE166" s="257"/>
      <c r="BF166" s="257"/>
      <c r="BG166" s="257"/>
      <c r="BH166" s="257"/>
      <c r="CQ166" s="397"/>
      <c r="CR166" s="397"/>
      <c r="CS166" s="397"/>
      <c r="CT166" s="397"/>
      <c r="CU166" s="397"/>
      <c r="CV166" s="397"/>
      <c r="CW166" s="397"/>
      <c r="CX166" s="397"/>
      <c r="CY166" s="397"/>
      <c r="CZ166" s="397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</row>
    <row r="167" spans="1:124" s="300" customFormat="1" ht="12.75" customHeight="1">
      <c r="A167" s="124"/>
      <c r="F167" s="124"/>
      <c r="G167" s="411"/>
      <c r="H167" s="411"/>
      <c r="I167" s="411"/>
      <c r="J167" s="411"/>
      <c r="K167" s="123"/>
      <c r="L167" s="123"/>
      <c r="M167" s="123"/>
      <c r="N167" s="123"/>
      <c r="O167" s="123"/>
      <c r="P167" s="397"/>
      <c r="Q167" s="397"/>
      <c r="R167" s="397"/>
      <c r="S167" s="397"/>
      <c r="T167" s="397"/>
      <c r="U167" s="397"/>
      <c r="V167" s="123"/>
      <c r="W167" s="123"/>
      <c r="X167" s="123"/>
      <c r="BE167" s="257"/>
      <c r="BF167" s="257"/>
      <c r="BG167" s="257"/>
      <c r="BH167" s="257"/>
      <c r="CQ167" s="397"/>
      <c r="CR167" s="397"/>
      <c r="CS167" s="397"/>
      <c r="CT167" s="397"/>
      <c r="CU167" s="397"/>
      <c r="CV167" s="397"/>
      <c r="CW167" s="397"/>
      <c r="CX167" s="397"/>
      <c r="CY167" s="397"/>
      <c r="CZ167" s="39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</row>
    <row r="168" spans="1:124" s="300" customFormat="1" ht="12.75" customHeight="1">
      <c r="A168" s="124"/>
      <c r="F168" s="124"/>
      <c r="G168" s="123"/>
      <c r="H168" s="123"/>
      <c r="I168" s="123"/>
      <c r="J168" s="123"/>
      <c r="K168" s="316"/>
      <c r="L168" s="123"/>
      <c r="M168" s="123"/>
      <c r="N168" s="123"/>
      <c r="O168" s="123"/>
      <c r="P168" s="397"/>
      <c r="Q168" s="397"/>
      <c r="R168" s="397"/>
      <c r="S168" s="397"/>
      <c r="T168" s="397"/>
      <c r="U168" s="397"/>
      <c r="V168" s="123"/>
      <c r="W168" s="123"/>
      <c r="X168" s="123"/>
      <c r="BE168" s="257"/>
      <c r="BF168" s="257"/>
      <c r="BG168" s="257"/>
      <c r="BH168" s="257"/>
      <c r="CQ168" s="397"/>
      <c r="CR168" s="397"/>
      <c r="CS168" s="397"/>
      <c r="CT168" s="397"/>
      <c r="CU168" s="397"/>
      <c r="CV168" s="397"/>
      <c r="CW168" s="397"/>
      <c r="CX168" s="397"/>
      <c r="CY168" s="397"/>
      <c r="CZ168" s="397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</row>
    <row r="169" spans="1:124" s="300" customFormat="1" ht="12.75" customHeight="1">
      <c r="A169" s="124"/>
      <c r="B169" s="123"/>
      <c r="C169" s="123"/>
      <c r="D169" s="123"/>
      <c r="E169" s="123"/>
      <c r="F169" s="124"/>
      <c r="G169" s="123"/>
      <c r="H169" s="123"/>
      <c r="I169" s="123"/>
      <c r="J169" s="123"/>
      <c r="K169" s="123"/>
      <c r="L169" s="123"/>
      <c r="M169" s="123"/>
      <c r="N169" s="123"/>
      <c r="O169" s="123"/>
      <c r="P169" s="397"/>
      <c r="Q169" s="397"/>
      <c r="R169" s="397"/>
      <c r="S169" s="397"/>
      <c r="T169" s="397"/>
      <c r="U169" s="397"/>
      <c r="V169" s="123"/>
      <c r="W169" s="123"/>
      <c r="X169" s="123"/>
      <c r="BE169" s="257"/>
      <c r="BF169" s="257"/>
      <c r="BG169" s="257"/>
      <c r="BH169" s="257"/>
      <c r="CQ169" s="397"/>
      <c r="CR169" s="397"/>
      <c r="CS169" s="397"/>
      <c r="CT169" s="397"/>
      <c r="CU169" s="397"/>
      <c r="CV169" s="397"/>
      <c r="CW169" s="397"/>
      <c r="CX169" s="397"/>
      <c r="CY169" s="397"/>
      <c r="CZ169" s="397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</row>
    <row r="170" spans="1:124" s="300" customFormat="1" ht="12.75" customHeight="1">
      <c r="A170" s="124"/>
      <c r="B170" s="316"/>
      <c r="C170" s="316"/>
      <c r="D170" s="316"/>
      <c r="E170" s="316"/>
      <c r="F170" s="124"/>
      <c r="G170" s="123"/>
      <c r="H170" s="123"/>
      <c r="I170" s="123"/>
      <c r="J170" s="123"/>
      <c r="K170" s="225"/>
      <c r="L170" s="123"/>
      <c r="M170" s="123"/>
      <c r="N170" s="123"/>
      <c r="O170" s="123"/>
      <c r="P170" s="397"/>
      <c r="Q170" s="397"/>
      <c r="R170" s="397"/>
      <c r="S170" s="397"/>
      <c r="T170" s="397"/>
      <c r="U170" s="397"/>
      <c r="V170" s="123"/>
      <c r="W170" s="123"/>
      <c r="X170" s="123"/>
      <c r="BE170" s="257"/>
      <c r="BF170" s="257"/>
      <c r="BG170" s="257"/>
      <c r="BH170" s="257"/>
      <c r="CQ170" s="397"/>
      <c r="CR170" s="397"/>
      <c r="CS170" s="397"/>
      <c r="CT170" s="397"/>
      <c r="CU170" s="397"/>
      <c r="CV170" s="397"/>
      <c r="CW170" s="397"/>
      <c r="CX170" s="397"/>
      <c r="CY170" s="397"/>
      <c r="CZ170" s="397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</row>
    <row r="171" spans="1:124" s="300" customFormat="1" ht="12.75" customHeight="1">
      <c r="A171" s="124"/>
      <c r="B171" s="123"/>
      <c r="C171" s="123"/>
      <c r="D171" s="123"/>
      <c r="E171" s="123"/>
      <c r="F171" s="124"/>
      <c r="G171" s="123"/>
      <c r="H171" s="123"/>
      <c r="I171" s="123"/>
      <c r="J171" s="123"/>
      <c r="K171" s="123"/>
      <c r="L171" s="123"/>
      <c r="M171" s="123"/>
      <c r="N171" s="123"/>
      <c r="O171" s="123"/>
      <c r="P171" s="397"/>
      <c r="Q171" s="397"/>
      <c r="R171" s="397"/>
      <c r="S171" s="397"/>
      <c r="T171" s="397"/>
      <c r="U171" s="397"/>
      <c r="V171" s="123"/>
      <c r="W171" s="123"/>
      <c r="X171" s="123"/>
      <c r="BE171" s="257"/>
      <c r="BF171" s="257"/>
      <c r="BG171" s="257"/>
      <c r="BH171" s="257"/>
      <c r="CQ171" s="397"/>
      <c r="CR171" s="397"/>
      <c r="CS171" s="397"/>
      <c r="CT171" s="397"/>
      <c r="CU171" s="397"/>
      <c r="CV171" s="397"/>
      <c r="CW171" s="397"/>
      <c r="CX171" s="397"/>
      <c r="CY171" s="397"/>
      <c r="CZ171" s="397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</row>
    <row r="172" spans="1:124" s="300" customFormat="1" ht="12.75" customHeight="1">
      <c r="A172" s="124"/>
      <c r="B172" s="225"/>
      <c r="C172" s="225"/>
      <c r="D172" s="225"/>
      <c r="E172" s="225"/>
      <c r="F172" s="124"/>
      <c r="G172" s="123"/>
      <c r="H172" s="123"/>
      <c r="I172" s="123"/>
      <c r="J172" s="123"/>
      <c r="K172" s="115"/>
      <c r="L172" s="123"/>
      <c r="M172" s="123"/>
      <c r="N172" s="123"/>
      <c r="O172" s="123"/>
      <c r="P172" s="397"/>
      <c r="Q172" s="397"/>
      <c r="R172" s="397"/>
      <c r="S172" s="397"/>
      <c r="T172" s="397"/>
      <c r="U172" s="397"/>
      <c r="V172" s="123"/>
      <c r="W172" s="123"/>
      <c r="X172" s="123"/>
      <c r="BE172" s="257"/>
      <c r="BF172" s="257"/>
      <c r="BG172" s="257"/>
      <c r="BH172" s="257"/>
      <c r="CQ172" s="397"/>
      <c r="CR172" s="397"/>
      <c r="CS172" s="397"/>
      <c r="CT172" s="397"/>
      <c r="CU172" s="397"/>
      <c r="CV172" s="397"/>
      <c r="CW172" s="397"/>
      <c r="CX172" s="397"/>
      <c r="CY172" s="397"/>
      <c r="CZ172" s="397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</row>
    <row r="173" spans="1:124" s="300" customFormat="1" ht="12.75" customHeight="1">
      <c r="A173" s="124"/>
      <c r="B173" s="123"/>
      <c r="C173" s="123"/>
      <c r="D173" s="123"/>
      <c r="E173" s="123"/>
      <c r="F173" s="124"/>
      <c r="G173" s="123"/>
      <c r="H173" s="123"/>
      <c r="I173" s="123"/>
      <c r="J173" s="123"/>
      <c r="K173" s="123"/>
      <c r="L173" s="123"/>
      <c r="M173" s="123"/>
      <c r="N173" s="123"/>
      <c r="O173" s="123"/>
      <c r="P173" s="397"/>
      <c r="Q173" s="397"/>
      <c r="R173" s="397"/>
      <c r="S173" s="397"/>
      <c r="T173" s="397"/>
      <c r="U173" s="397"/>
      <c r="V173" s="123"/>
      <c r="W173" s="123"/>
      <c r="X173" s="123"/>
      <c r="BE173" s="257"/>
      <c r="BF173" s="257"/>
      <c r="BG173" s="257"/>
      <c r="BH173" s="257"/>
      <c r="CQ173" s="397"/>
      <c r="CR173" s="397"/>
      <c r="CS173" s="397"/>
      <c r="CT173" s="397"/>
      <c r="CU173" s="397"/>
      <c r="CV173" s="397"/>
      <c r="CW173" s="397"/>
      <c r="CX173" s="397"/>
      <c r="CY173" s="397"/>
      <c r="CZ173" s="397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</row>
    <row r="174" spans="1:124" s="300" customFormat="1" ht="12.75" customHeight="1">
      <c r="A174" s="124"/>
      <c r="B174" s="115"/>
      <c r="C174" s="115"/>
      <c r="D174" s="115"/>
      <c r="E174" s="115"/>
      <c r="F174" s="124"/>
      <c r="G174" s="123"/>
      <c r="H174" s="123"/>
      <c r="I174" s="123"/>
      <c r="J174" s="123"/>
      <c r="K174" s="116"/>
      <c r="L174" s="123"/>
      <c r="M174" s="123"/>
      <c r="N174" s="123"/>
      <c r="O174" s="123"/>
      <c r="P174" s="397"/>
      <c r="Q174" s="397"/>
      <c r="R174" s="397"/>
      <c r="S174" s="397"/>
      <c r="T174" s="397"/>
      <c r="U174" s="397"/>
      <c r="V174" s="123"/>
      <c r="W174" s="123"/>
      <c r="X174" s="123"/>
      <c r="BE174" s="257"/>
      <c r="BF174" s="257"/>
      <c r="BG174" s="257"/>
      <c r="BH174" s="257"/>
      <c r="CQ174" s="397"/>
      <c r="CR174" s="397"/>
      <c r="CS174" s="397"/>
      <c r="CT174" s="397"/>
      <c r="CU174" s="397"/>
      <c r="CV174" s="397"/>
      <c r="CW174" s="397"/>
      <c r="CX174" s="397"/>
      <c r="CY174" s="397"/>
      <c r="CZ174" s="397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</row>
    <row r="175" spans="1:124" s="300" customFormat="1" ht="12.75" customHeight="1">
      <c r="A175" s="124"/>
      <c r="B175" s="123"/>
      <c r="C175" s="123"/>
      <c r="D175" s="123"/>
      <c r="E175" s="123"/>
      <c r="F175" s="124"/>
      <c r="G175" s="123"/>
      <c r="H175" s="123"/>
      <c r="I175" s="123"/>
      <c r="J175" s="123"/>
      <c r="K175" s="123"/>
      <c r="L175" s="123"/>
      <c r="M175" s="123"/>
      <c r="N175" s="123"/>
      <c r="O175" s="123"/>
      <c r="P175" s="397"/>
      <c r="Q175" s="397"/>
      <c r="R175" s="397"/>
      <c r="S175" s="397"/>
      <c r="T175" s="397"/>
      <c r="U175" s="397"/>
      <c r="V175" s="123"/>
      <c r="W175" s="123"/>
      <c r="X175" s="123"/>
      <c r="BE175" s="257"/>
      <c r="BF175" s="257"/>
      <c r="BG175" s="257"/>
      <c r="BH175" s="257"/>
      <c r="CQ175" s="397"/>
      <c r="CR175" s="397"/>
      <c r="CS175" s="397"/>
      <c r="CT175" s="397"/>
      <c r="CU175" s="397"/>
      <c r="CV175" s="397"/>
      <c r="CW175" s="397"/>
      <c r="CX175" s="397"/>
      <c r="CY175" s="397"/>
      <c r="CZ175" s="397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</row>
    <row r="176" spans="1:124" s="300" customFormat="1" ht="12.75" customHeight="1">
      <c r="A176" s="124"/>
      <c r="B176" s="116"/>
      <c r="C176" s="116"/>
      <c r="D176" s="116"/>
      <c r="E176" s="116"/>
      <c r="F176" s="124"/>
      <c r="G176" s="123"/>
      <c r="H176" s="123"/>
      <c r="I176" s="123"/>
      <c r="J176" s="123"/>
      <c r="K176" s="123"/>
      <c r="L176" s="123"/>
      <c r="M176" s="123"/>
      <c r="N176" s="123"/>
      <c r="O176" s="123"/>
      <c r="P176" s="397"/>
      <c r="Q176" s="397"/>
      <c r="R176" s="397"/>
      <c r="S176" s="397"/>
      <c r="T176" s="397"/>
      <c r="U176" s="397"/>
      <c r="V176" s="123"/>
      <c r="W176" s="123"/>
      <c r="X176" s="123"/>
      <c r="BE176" s="257"/>
      <c r="BF176" s="257"/>
      <c r="BG176" s="257"/>
      <c r="BH176" s="257"/>
      <c r="CQ176" s="397"/>
      <c r="CR176" s="397"/>
      <c r="CS176" s="397"/>
      <c r="CT176" s="397"/>
      <c r="CU176" s="397"/>
      <c r="CV176" s="397"/>
      <c r="CW176" s="397"/>
      <c r="CX176" s="397"/>
      <c r="CY176" s="397"/>
      <c r="CZ176" s="397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</row>
    <row r="177" spans="1:124" s="300" customFormat="1" ht="12.75" customHeight="1">
      <c r="A177" s="122"/>
      <c r="B177" s="123"/>
      <c r="C177" s="123"/>
      <c r="D177" s="123"/>
      <c r="E177" s="123"/>
      <c r="F177" s="124"/>
      <c r="G177" s="123"/>
      <c r="H177" s="123"/>
      <c r="I177" s="123"/>
      <c r="J177" s="123"/>
      <c r="K177" s="225"/>
      <c r="L177" s="123"/>
      <c r="M177" s="123"/>
      <c r="N177" s="123"/>
      <c r="O177" s="123"/>
      <c r="P177" s="397"/>
      <c r="Q177" s="397"/>
      <c r="R177" s="397"/>
      <c r="S177" s="397"/>
      <c r="T177" s="397"/>
      <c r="U177" s="397"/>
      <c r="V177" s="123"/>
      <c r="W177" s="123"/>
      <c r="X177" s="123"/>
      <c r="BE177" s="257"/>
      <c r="BF177" s="257"/>
      <c r="BG177" s="257"/>
      <c r="BH177" s="257"/>
      <c r="CQ177" s="397"/>
      <c r="CR177" s="397"/>
      <c r="CS177" s="397"/>
      <c r="CT177" s="397"/>
      <c r="CU177" s="397"/>
      <c r="CV177" s="397"/>
      <c r="CW177" s="397"/>
      <c r="CX177" s="397"/>
      <c r="CY177" s="397"/>
      <c r="CZ177" s="39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</row>
    <row r="178" spans="1:124" s="300" customFormat="1" ht="12.75" customHeight="1">
      <c r="A178" s="122"/>
      <c r="B178" s="123"/>
      <c r="C178" s="123"/>
      <c r="D178" s="123"/>
      <c r="E178" s="123"/>
      <c r="F178" s="124"/>
      <c r="G178" s="120"/>
      <c r="H178" s="120"/>
      <c r="I178" s="120"/>
      <c r="J178" s="120"/>
      <c r="K178" s="120"/>
      <c r="L178" s="123"/>
      <c r="M178" s="123"/>
      <c r="N178" s="123"/>
      <c r="O178" s="123"/>
      <c r="P178" s="397"/>
      <c r="Q178" s="397"/>
      <c r="R178" s="397"/>
      <c r="S178" s="397"/>
      <c r="T178" s="397"/>
      <c r="U178" s="397"/>
      <c r="V178" s="123"/>
      <c r="W178" s="123"/>
      <c r="X178" s="123"/>
      <c r="BE178" s="257"/>
      <c r="BF178" s="257"/>
      <c r="BG178" s="257"/>
      <c r="BH178" s="257"/>
      <c r="CQ178" s="397"/>
      <c r="CR178" s="397"/>
      <c r="CS178" s="397"/>
      <c r="CT178" s="397"/>
      <c r="CU178" s="397"/>
      <c r="CV178" s="397"/>
      <c r="CW178" s="397"/>
      <c r="CX178" s="397"/>
      <c r="CY178" s="397"/>
      <c r="CZ178" s="397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</row>
    <row r="179" spans="1:124" s="300" customFormat="1" ht="12.75" customHeight="1">
      <c r="A179" s="123"/>
      <c r="B179" s="225"/>
      <c r="C179" s="225"/>
      <c r="D179" s="225"/>
      <c r="E179" s="225"/>
      <c r="F179" s="124"/>
      <c r="G179" s="120"/>
      <c r="H179" s="120"/>
      <c r="I179" s="120"/>
      <c r="J179" s="120"/>
      <c r="K179" s="117"/>
      <c r="L179" s="123"/>
      <c r="M179" s="123"/>
      <c r="N179" s="123"/>
      <c r="O179" s="123"/>
      <c r="P179" s="397"/>
      <c r="Q179" s="397"/>
      <c r="R179" s="397"/>
      <c r="S179" s="397"/>
      <c r="T179" s="397"/>
      <c r="U179" s="397"/>
      <c r="V179" s="123"/>
      <c r="W179" s="123"/>
      <c r="X179" s="123"/>
      <c r="BE179" s="257"/>
      <c r="BF179" s="257"/>
      <c r="BG179" s="257"/>
      <c r="BH179" s="257"/>
      <c r="CQ179" s="397"/>
      <c r="CR179" s="397"/>
      <c r="CS179" s="397"/>
      <c r="CT179" s="397"/>
      <c r="CU179" s="397"/>
      <c r="CV179" s="397"/>
      <c r="CW179" s="397"/>
      <c r="CX179" s="397"/>
      <c r="CY179" s="397"/>
      <c r="CZ179" s="397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</row>
    <row r="180" spans="1:124" s="300" customFormat="1" ht="12.75" customHeight="1">
      <c r="A180" s="123"/>
      <c r="B180" s="120"/>
      <c r="C180" s="120"/>
      <c r="D180" s="120"/>
      <c r="E180" s="120"/>
      <c r="F180" s="122"/>
      <c r="G180" s="120"/>
      <c r="H180" s="120"/>
      <c r="I180" s="120"/>
      <c r="J180" s="120"/>
      <c r="K180" s="120"/>
      <c r="L180" s="123"/>
      <c r="M180" s="123"/>
      <c r="N180" s="123"/>
      <c r="O180" s="123"/>
      <c r="P180" s="397"/>
      <c r="Q180" s="397"/>
      <c r="R180" s="397"/>
      <c r="S180" s="397"/>
      <c r="T180" s="397"/>
      <c r="U180" s="397"/>
      <c r="V180" s="123"/>
      <c r="W180" s="123"/>
      <c r="X180" s="123"/>
      <c r="BE180" s="257"/>
      <c r="BF180" s="257"/>
      <c r="BG180" s="257"/>
      <c r="BH180" s="257"/>
      <c r="CQ180" s="397"/>
      <c r="CR180" s="397"/>
      <c r="CS180" s="397"/>
      <c r="CT180" s="397"/>
      <c r="CU180" s="397"/>
      <c r="CV180" s="397"/>
      <c r="CW180" s="397"/>
      <c r="CX180" s="397"/>
      <c r="CY180" s="397"/>
      <c r="CZ180" s="397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</row>
    <row r="181" spans="1:124" s="300" customFormat="1" ht="12.75" customHeight="1">
      <c r="A181" s="123"/>
      <c r="B181" s="117"/>
      <c r="C181" s="117"/>
      <c r="D181" s="117"/>
      <c r="E181" s="117"/>
      <c r="F181" s="122"/>
      <c r="G181" s="120"/>
      <c r="H181" s="120"/>
      <c r="I181" s="120"/>
      <c r="J181" s="120"/>
      <c r="K181" s="120"/>
      <c r="L181" s="123"/>
      <c r="M181" s="123"/>
      <c r="N181" s="123"/>
      <c r="O181" s="123"/>
      <c r="P181" s="397"/>
      <c r="Q181" s="397"/>
      <c r="R181" s="397"/>
      <c r="S181" s="397"/>
      <c r="T181" s="397"/>
      <c r="U181" s="397"/>
      <c r="V181" s="123"/>
      <c r="W181" s="123"/>
      <c r="X181" s="123"/>
      <c r="BE181" s="257"/>
      <c r="BF181" s="257"/>
      <c r="BG181" s="257"/>
      <c r="BH181" s="257"/>
      <c r="CQ181" s="397"/>
      <c r="CR181" s="397"/>
      <c r="CS181" s="397"/>
      <c r="CT181" s="397"/>
      <c r="CU181" s="397"/>
      <c r="CV181" s="397"/>
      <c r="CW181" s="397"/>
      <c r="CX181" s="397"/>
      <c r="CY181" s="397"/>
      <c r="CZ181" s="397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</row>
    <row r="182" spans="1:124" s="300" customFormat="1" ht="12.75" customHeight="1">
      <c r="A182" s="123"/>
      <c r="B182" s="120"/>
      <c r="C182" s="120"/>
      <c r="D182" s="120"/>
      <c r="E182" s="120"/>
      <c r="F182" s="123"/>
      <c r="G182" s="120"/>
      <c r="H182" s="120"/>
      <c r="I182" s="120"/>
      <c r="J182" s="120"/>
      <c r="K182" s="118"/>
      <c r="L182" s="123"/>
      <c r="M182" s="123"/>
      <c r="N182" s="123"/>
      <c r="O182" s="123"/>
      <c r="P182" s="397"/>
      <c r="Q182" s="397"/>
      <c r="R182" s="397"/>
      <c r="S182" s="397"/>
      <c r="T182" s="397"/>
      <c r="U182" s="397"/>
      <c r="V182" s="123"/>
      <c r="W182" s="123"/>
      <c r="X182" s="123"/>
      <c r="BE182" s="257"/>
      <c r="BF182" s="257"/>
      <c r="BG182" s="257"/>
      <c r="BH182" s="257"/>
      <c r="CQ182" s="397"/>
      <c r="CR182" s="397"/>
      <c r="CS182" s="397"/>
      <c r="CT182" s="397"/>
      <c r="CU182" s="397"/>
      <c r="CV182" s="397"/>
      <c r="CW182" s="397"/>
      <c r="CX182" s="397"/>
      <c r="CY182" s="397"/>
      <c r="CZ182" s="397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</row>
    <row r="183" spans="1:124" s="300" customFormat="1" ht="12.75" customHeight="1">
      <c r="A183" s="123"/>
      <c r="B183" s="120"/>
      <c r="C183" s="120"/>
      <c r="D183" s="120"/>
      <c r="E183" s="120"/>
      <c r="F183" s="123"/>
      <c r="G183" s="123"/>
      <c r="H183" s="123"/>
      <c r="I183" s="123"/>
      <c r="J183" s="123"/>
      <c r="K183" s="126"/>
      <c r="L183" s="123"/>
      <c r="M183" s="123"/>
      <c r="N183" s="123"/>
      <c r="O183" s="123"/>
      <c r="P183" s="397"/>
      <c r="Q183" s="397"/>
      <c r="R183" s="397"/>
      <c r="S183" s="397"/>
      <c r="T183" s="397"/>
      <c r="U183" s="397"/>
      <c r="V183" s="123"/>
      <c r="W183" s="123"/>
      <c r="X183" s="123"/>
      <c r="BE183" s="257"/>
      <c r="BF183" s="257"/>
      <c r="BG183" s="257"/>
      <c r="BH183" s="257"/>
      <c r="CQ183" s="397"/>
      <c r="CR183" s="397"/>
      <c r="CS183" s="397"/>
      <c r="CT183" s="397"/>
      <c r="CU183" s="397"/>
      <c r="CV183" s="397"/>
      <c r="CW183" s="397"/>
      <c r="CX183" s="397"/>
      <c r="CY183" s="397"/>
      <c r="CZ183" s="397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</row>
    <row r="184" spans="1:124" s="300" customFormat="1" ht="12.75" customHeight="1">
      <c r="A184" s="123"/>
      <c r="B184" s="118"/>
      <c r="C184" s="118"/>
      <c r="D184" s="118"/>
      <c r="E184" s="118"/>
      <c r="F184" s="123"/>
      <c r="G184" s="411"/>
      <c r="H184" s="411"/>
      <c r="I184" s="411"/>
      <c r="J184" s="411"/>
      <c r="K184" s="123"/>
      <c r="L184" s="123"/>
      <c r="M184" s="123"/>
      <c r="N184" s="123"/>
      <c r="O184" s="123"/>
      <c r="P184" s="397"/>
      <c r="Q184" s="397"/>
      <c r="R184" s="397"/>
      <c r="S184" s="397"/>
      <c r="T184" s="397"/>
      <c r="U184" s="397"/>
      <c r="V184" s="123"/>
      <c r="W184" s="123"/>
      <c r="X184" s="123"/>
      <c r="BE184" s="257"/>
      <c r="BF184" s="257"/>
      <c r="BG184" s="257"/>
      <c r="BH184" s="257"/>
      <c r="CQ184" s="397"/>
      <c r="CR184" s="397"/>
      <c r="CS184" s="397"/>
      <c r="CT184" s="397"/>
      <c r="CU184" s="397"/>
      <c r="CV184" s="397"/>
      <c r="CW184" s="397"/>
      <c r="CX184" s="397"/>
      <c r="CY184" s="397"/>
      <c r="CZ184" s="397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</row>
    <row r="185" spans="1:124" s="300" customFormat="1" ht="12.75" customHeight="1">
      <c r="A185" s="120"/>
      <c r="B185" s="126"/>
      <c r="C185" s="126"/>
      <c r="D185" s="126"/>
      <c r="E185" s="126"/>
      <c r="F185" s="123"/>
      <c r="G185" s="411"/>
      <c r="H185" s="411"/>
      <c r="I185" s="411"/>
      <c r="J185" s="411"/>
      <c r="K185" s="123"/>
      <c r="L185" s="123"/>
      <c r="M185" s="123"/>
      <c r="N185" s="123"/>
      <c r="O185" s="123"/>
      <c r="P185" s="397"/>
      <c r="Q185" s="397"/>
      <c r="R185" s="397"/>
      <c r="S185" s="397"/>
      <c r="T185" s="397"/>
      <c r="U185" s="397"/>
      <c r="V185" s="123"/>
      <c r="W185" s="123"/>
      <c r="X185" s="123"/>
      <c r="BE185" s="257"/>
      <c r="BF185" s="257"/>
      <c r="BG185" s="257"/>
      <c r="BH185" s="257"/>
      <c r="CQ185" s="397"/>
      <c r="CR185" s="397"/>
      <c r="CS185" s="397"/>
      <c r="CT185" s="397"/>
      <c r="CU185" s="397"/>
      <c r="CV185" s="397"/>
      <c r="CW185" s="397"/>
      <c r="CX185" s="397"/>
      <c r="CY185" s="397"/>
      <c r="CZ185" s="397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</row>
    <row r="186" spans="1:124" s="300" customFormat="1" ht="12.75" customHeight="1">
      <c r="A186" s="120"/>
      <c r="B186" s="123"/>
      <c r="C186" s="123"/>
      <c r="D186" s="123"/>
      <c r="E186" s="123"/>
      <c r="F186" s="123"/>
      <c r="G186" s="123"/>
      <c r="H186" s="123"/>
      <c r="I186" s="123"/>
      <c r="J186" s="123"/>
      <c r="K186" s="316"/>
      <c r="L186" s="123"/>
      <c r="M186" s="123"/>
      <c r="N186" s="123"/>
      <c r="O186" s="123"/>
      <c r="P186" s="397"/>
      <c r="Q186" s="397"/>
      <c r="R186" s="397"/>
      <c r="S186" s="397"/>
      <c r="T186" s="397"/>
      <c r="U186" s="397"/>
      <c r="V186" s="123"/>
      <c r="W186" s="123"/>
      <c r="X186" s="123"/>
      <c r="BE186" s="257"/>
      <c r="BF186" s="257"/>
      <c r="BG186" s="257"/>
      <c r="BH186" s="257"/>
      <c r="CQ186" s="397"/>
      <c r="CR186" s="397"/>
      <c r="CS186" s="397"/>
      <c r="CT186" s="397"/>
      <c r="CU186" s="397"/>
      <c r="CV186" s="397"/>
      <c r="CW186" s="397"/>
      <c r="CX186" s="397"/>
      <c r="CY186" s="397"/>
      <c r="CZ186" s="397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</row>
    <row r="187" spans="1:124" s="300" customFormat="1" ht="12.75" customHeight="1">
      <c r="A187" s="120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397"/>
      <c r="Q187" s="397"/>
      <c r="R187" s="397"/>
      <c r="S187" s="397"/>
      <c r="T187" s="397"/>
      <c r="U187" s="397"/>
      <c r="V187" s="123"/>
      <c r="W187" s="123"/>
      <c r="X187" s="123"/>
      <c r="BE187" s="257"/>
      <c r="BF187" s="257"/>
      <c r="BG187" s="257"/>
      <c r="BH187" s="257"/>
      <c r="CQ187" s="397"/>
      <c r="CR187" s="397"/>
      <c r="CS187" s="397"/>
      <c r="CT187" s="397"/>
      <c r="CU187" s="397"/>
      <c r="CV187" s="397"/>
      <c r="CW187" s="397"/>
      <c r="CX187" s="397"/>
      <c r="CY187" s="397"/>
      <c r="CZ187" s="39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</row>
    <row r="188" spans="1:124" s="300" customFormat="1" ht="12.75" customHeight="1">
      <c r="A188" s="120"/>
      <c r="B188" s="316"/>
      <c r="C188" s="316"/>
      <c r="D188" s="316"/>
      <c r="E188" s="316"/>
      <c r="F188" s="120"/>
      <c r="G188" s="123"/>
      <c r="H188" s="123"/>
      <c r="I188" s="123"/>
      <c r="J188" s="123"/>
      <c r="K188" s="225"/>
      <c r="L188" s="123"/>
      <c r="M188" s="123"/>
      <c r="N188" s="123"/>
      <c r="O188" s="123"/>
      <c r="P188" s="397"/>
      <c r="Q188" s="397"/>
      <c r="R188" s="397"/>
      <c r="S188" s="397"/>
      <c r="T188" s="397"/>
      <c r="U188" s="397"/>
      <c r="V188" s="123"/>
      <c r="W188" s="123"/>
      <c r="X188" s="123"/>
      <c r="BE188" s="257"/>
      <c r="BF188" s="257"/>
      <c r="BG188" s="257"/>
      <c r="BH188" s="257"/>
      <c r="CQ188" s="397"/>
      <c r="CR188" s="397"/>
      <c r="CS188" s="397"/>
      <c r="CT188" s="397"/>
      <c r="CU188" s="397"/>
      <c r="CV188" s="397"/>
      <c r="CW188" s="397"/>
      <c r="CX188" s="397"/>
      <c r="CY188" s="397"/>
      <c r="CZ188" s="397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</row>
    <row r="189" spans="1:124" s="300" customFormat="1" ht="12.75" customHeight="1">
      <c r="A189" s="122"/>
      <c r="B189" s="123"/>
      <c r="C189" s="123"/>
      <c r="D189" s="123"/>
      <c r="E189" s="123"/>
      <c r="F189" s="120"/>
      <c r="G189" s="123"/>
      <c r="H189" s="123"/>
      <c r="I189" s="123"/>
      <c r="J189" s="123"/>
      <c r="K189" s="123"/>
      <c r="L189" s="123"/>
      <c r="M189" s="123"/>
      <c r="N189" s="123"/>
      <c r="O189" s="123"/>
      <c r="P189" s="397"/>
      <c r="Q189" s="397"/>
      <c r="R189" s="397"/>
      <c r="S189" s="397"/>
      <c r="T189" s="397"/>
      <c r="U189" s="397"/>
      <c r="V189" s="123"/>
      <c r="W189" s="123"/>
      <c r="X189" s="123"/>
      <c r="BE189" s="257"/>
      <c r="BF189" s="257"/>
      <c r="BG189" s="257"/>
      <c r="BH189" s="257"/>
      <c r="CQ189" s="397"/>
      <c r="CR189" s="397"/>
      <c r="CS189" s="397"/>
      <c r="CT189" s="397"/>
      <c r="CU189" s="397"/>
      <c r="CV189" s="397"/>
      <c r="CW189" s="397"/>
      <c r="CX189" s="397"/>
      <c r="CY189" s="397"/>
      <c r="CZ189" s="397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</row>
    <row r="190" spans="1:124" s="300" customFormat="1" ht="12.75" customHeight="1">
      <c r="A190" s="122"/>
      <c r="B190" s="225"/>
      <c r="C190" s="225"/>
      <c r="D190" s="225"/>
      <c r="E190" s="225"/>
      <c r="F190" s="120"/>
      <c r="G190" s="123"/>
      <c r="H190" s="123"/>
      <c r="I190" s="123"/>
      <c r="J190" s="123"/>
      <c r="K190" s="115"/>
      <c r="L190" s="123"/>
      <c r="M190" s="123"/>
      <c r="N190" s="123"/>
      <c r="O190" s="123"/>
      <c r="P190" s="397"/>
      <c r="Q190" s="397"/>
      <c r="R190" s="397"/>
      <c r="S190" s="397"/>
      <c r="T190" s="397"/>
      <c r="U190" s="397"/>
      <c r="V190" s="123"/>
      <c r="W190" s="123"/>
      <c r="X190" s="123"/>
      <c r="BE190" s="257"/>
      <c r="BF190" s="257"/>
      <c r="BG190" s="257"/>
      <c r="BH190" s="257"/>
      <c r="CQ190" s="397"/>
      <c r="CR190" s="397"/>
      <c r="CS190" s="397"/>
      <c r="CT190" s="397"/>
      <c r="CU190" s="397"/>
      <c r="CV190" s="397"/>
      <c r="CW190" s="397"/>
      <c r="CX190" s="397"/>
      <c r="CY190" s="397"/>
      <c r="CZ190" s="397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</row>
    <row r="191" spans="1:124" s="300" customFormat="1" ht="12.75" customHeight="1">
      <c r="A191" s="122"/>
      <c r="B191" s="123"/>
      <c r="C191" s="123"/>
      <c r="D191" s="123"/>
      <c r="E191" s="123"/>
      <c r="F191" s="120"/>
      <c r="G191" s="123"/>
      <c r="H191" s="123"/>
      <c r="I191" s="123"/>
      <c r="J191" s="123"/>
      <c r="K191" s="123"/>
      <c r="L191" s="123"/>
      <c r="M191" s="123"/>
      <c r="N191" s="123"/>
      <c r="O191" s="123"/>
      <c r="P191" s="397"/>
      <c r="Q191" s="397"/>
      <c r="R191" s="397"/>
      <c r="S191" s="397"/>
      <c r="T191" s="397"/>
      <c r="U191" s="397"/>
      <c r="V191" s="123"/>
      <c r="W191" s="123"/>
      <c r="X191" s="123"/>
      <c r="BE191" s="257"/>
      <c r="BF191" s="257"/>
      <c r="BG191" s="257"/>
      <c r="BH191" s="257"/>
      <c r="CQ191" s="397"/>
      <c r="CR191" s="397"/>
      <c r="CS191" s="397"/>
      <c r="CT191" s="397"/>
      <c r="CU191" s="397"/>
      <c r="CV191" s="397"/>
      <c r="CW191" s="397"/>
      <c r="CX191" s="397"/>
      <c r="CY191" s="397"/>
      <c r="CZ191" s="397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</row>
    <row r="192" spans="1:124" s="300" customFormat="1" ht="12.75" customHeight="1">
      <c r="A192" s="124"/>
      <c r="B192" s="115"/>
      <c r="C192" s="115"/>
      <c r="D192" s="115"/>
      <c r="E192" s="115"/>
      <c r="F192" s="122"/>
      <c r="G192" s="123"/>
      <c r="H192" s="123"/>
      <c r="I192" s="123"/>
      <c r="J192" s="123"/>
      <c r="K192" s="116"/>
      <c r="L192" s="123"/>
      <c r="M192" s="123"/>
      <c r="N192" s="123"/>
      <c r="O192" s="123"/>
      <c r="P192" s="397"/>
      <c r="Q192" s="397"/>
      <c r="R192" s="397"/>
      <c r="S192" s="397"/>
      <c r="T192" s="397"/>
      <c r="U192" s="397"/>
      <c r="V192" s="123"/>
      <c r="W192" s="123"/>
      <c r="X192" s="123"/>
      <c r="BE192" s="257"/>
      <c r="BF192" s="257"/>
      <c r="BG192" s="257"/>
      <c r="BH192" s="257"/>
      <c r="CQ192" s="397"/>
      <c r="CR192" s="397"/>
      <c r="CS192" s="397"/>
      <c r="CT192" s="397"/>
      <c r="CU192" s="397"/>
      <c r="CV192" s="397"/>
      <c r="CW192" s="397"/>
      <c r="CX192" s="397"/>
      <c r="CY192" s="397"/>
      <c r="CZ192" s="397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</row>
    <row r="193" spans="1:124" s="300" customFormat="1" ht="12.75" customHeight="1">
      <c r="A193" s="124"/>
      <c r="B193" s="123"/>
      <c r="C193" s="123"/>
      <c r="D193" s="123"/>
      <c r="E193" s="123"/>
      <c r="F193" s="122"/>
      <c r="G193" s="123"/>
      <c r="H193" s="123"/>
      <c r="I193" s="123"/>
      <c r="J193" s="123"/>
      <c r="K193" s="123"/>
      <c r="L193" s="123"/>
      <c r="M193" s="123"/>
      <c r="N193" s="123"/>
      <c r="O193" s="123"/>
      <c r="P193" s="397"/>
      <c r="Q193" s="397"/>
      <c r="R193" s="397"/>
      <c r="S193" s="397"/>
      <c r="T193" s="397"/>
      <c r="U193" s="397"/>
      <c r="V193" s="123"/>
      <c r="W193" s="123"/>
      <c r="X193" s="123"/>
      <c r="BE193" s="257"/>
      <c r="BF193" s="257"/>
      <c r="BG193" s="257"/>
      <c r="BH193" s="257"/>
      <c r="CQ193" s="397"/>
      <c r="CR193" s="397"/>
      <c r="CS193" s="397"/>
      <c r="CT193" s="397"/>
      <c r="CU193" s="397"/>
      <c r="CV193" s="397"/>
      <c r="CW193" s="397"/>
      <c r="CX193" s="397"/>
      <c r="CY193" s="397"/>
      <c r="CZ193" s="397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</row>
    <row r="194" spans="1:124" s="300" customFormat="1" ht="12.75" customHeight="1">
      <c r="A194" s="124"/>
      <c r="B194" s="116"/>
      <c r="C194" s="116"/>
      <c r="D194" s="116"/>
      <c r="E194" s="116"/>
      <c r="F194" s="122"/>
      <c r="G194" s="123"/>
      <c r="H194" s="123"/>
      <c r="I194" s="123"/>
      <c r="J194" s="123"/>
      <c r="K194" s="123"/>
      <c r="L194" s="123"/>
      <c r="M194" s="123"/>
      <c r="N194" s="123"/>
      <c r="O194" s="123"/>
      <c r="P194" s="397"/>
      <c r="Q194" s="397"/>
      <c r="R194" s="397"/>
      <c r="S194" s="397"/>
      <c r="T194" s="397"/>
      <c r="U194" s="397"/>
      <c r="V194" s="123"/>
      <c r="W194" s="123"/>
      <c r="X194" s="123"/>
      <c r="BE194" s="257"/>
      <c r="BF194" s="257"/>
      <c r="BG194" s="257"/>
      <c r="BH194" s="257"/>
      <c r="CQ194" s="397"/>
      <c r="CR194" s="397"/>
      <c r="CS194" s="397"/>
      <c r="CT194" s="397"/>
      <c r="CU194" s="397"/>
      <c r="CV194" s="397"/>
      <c r="CW194" s="397"/>
      <c r="CX194" s="397"/>
      <c r="CY194" s="397"/>
      <c r="CZ194" s="397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</row>
    <row r="195" spans="1:124" s="300" customFormat="1" ht="12.75" customHeight="1">
      <c r="A195" s="123"/>
      <c r="B195" s="123"/>
      <c r="C195" s="123"/>
      <c r="D195" s="123"/>
      <c r="E195" s="123"/>
      <c r="F195" s="124"/>
      <c r="G195" s="123"/>
      <c r="H195" s="123"/>
      <c r="I195" s="123"/>
      <c r="J195" s="123"/>
      <c r="K195" s="225"/>
      <c r="L195" s="123"/>
      <c r="M195" s="123"/>
      <c r="N195" s="123"/>
      <c r="O195" s="123"/>
      <c r="P195" s="397"/>
      <c r="Q195" s="397"/>
      <c r="R195" s="397"/>
      <c r="S195" s="397"/>
      <c r="T195" s="397"/>
      <c r="U195" s="397"/>
      <c r="V195" s="123"/>
      <c r="W195" s="123"/>
      <c r="X195" s="123"/>
      <c r="BE195" s="257"/>
      <c r="BF195" s="257"/>
      <c r="BG195" s="257"/>
      <c r="BH195" s="257"/>
      <c r="CQ195" s="397"/>
      <c r="CR195" s="397"/>
      <c r="CS195" s="397"/>
      <c r="CT195" s="397"/>
      <c r="CU195" s="397"/>
      <c r="CV195" s="397"/>
      <c r="CW195" s="397"/>
      <c r="CX195" s="397"/>
      <c r="CY195" s="397"/>
      <c r="CZ195" s="397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</row>
    <row r="196" spans="1:124" s="300" customFormat="1" ht="12.75" customHeight="1">
      <c r="A196" s="124"/>
      <c r="B196" s="123"/>
      <c r="C196" s="123"/>
      <c r="D196" s="123"/>
      <c r="E196" s="123"/>
      <c r="F196" s="124"/>
      <c r="G196" s="123"/>
      <c r="H196" s="123"/>
      <c r="I196" s="123"/>
      <c r="J196" s="123"/>
      <c r="K196" s="123"/>
      <c r="L196" s="123"/>
      <c r="M196" s="123"/>
      <c r="N196" s="123"/>
      <c r="O196" s="123"/>
      <c r="P196" s="397"/>
      <c r="Q196" s="397"/>
      <c r="R196" s="397"/>
      <c r="S196" s="397"/>
      <c r="T196" s="397"/>
      <c r="U196" s="397"/>
      <c r="V196" s="123"/>
      <c r="W196" s="123"/>
      <c r="X196" s="123"/>
      <c r="BE196" s="257"/>
      <c r="BF196" s="257"/>
      <c r="BG196" s="257"/>
      <c r="BH196" s="257"/>
      <c r="CQ196" s="397"/>
      <c r="CR196" s="397"/>
      <c r="CS196" s="397"/>
      <c r="CT196" s="397"/>
      <c r="CU196" s="397"/>
      <c r="CV196" s="397"/>
      <c r="CW196" s="397"/>
      <c r="CX196" s="397"/>
      <c r="CY196" s="397"/>
      <c r="CZ196" s="397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</row>
    <row r="197" spans="1:124" s="300" customFormat="1" ht="12.75" customHeight="1">
      <c r="A197" s="124"/>
      <c r="B197" s="225"/>
      <c r="C197" s="225"/>
      <c r="D197" s="225"/>
      <c r="E197" s="225"/>
      <c r="F197" s="124"/>
      <c r="G197" s="123"/>
      <c r="H197" s="123"/>
      <c r="I197" s="123"/>
      <c r="J197" s="123"/>
      <c r="K197" s="316"/>
      <c r="L197" s="123"/>
      <c r="M197" s="123"/>
      <c r="N197" s="123"/>
      <c r="O197" s="123"/>
      <c r="P197" s="397"/>
      <c r="Q197" s="397"/>
      <c r="R197" s="397"/>
      <c r="S197" s="397"/>
      <c r="T197" s="397"/>
      <c r="U197" s="397"/>
      <c r="V197" s="123"/>
      <c r="W197" s="123"/>
      <c r="X197" s="123"/>
      <c r="BE197" s="257"/>
      <c r="BF197" s="257"/>
      <c r="BG197" s="257"/>
      <c r="BH197" s="257"/>
      <c r="CQ197" s="397"/>
      <c r="CR197" s="397"/>
      <c r="CS197" s="397"/>
      <c r="CT197" s="397"/>
      <c r="CU197" s="397"/>
      <c r="CV197" s="397"/>
      <c r="CW197" s="397"/>
      <c r="CX197" s="397"/>
      <c r="CY197" s="397"/>
      <c r="CZ197" s="3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</row>
    <row r="198" spans="1:124" s="300" customFormat="1" ht="12.75" customHeight="1">
      <c r="A198" s="124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397"/>
      <c r="Q198" s="397"/>
      <c r="R198" s="397"/>
      <c r="S198" s="397"/>
      <c r="T198" s="397"/>
      <c r="U198" s="397"/>
      <c r="V198" s="123"/>
      <c r="W198" s="123"/>
      <c r="X198" s="123"/>
      <c r="BE198" s="257"/>
      <c r="BF198" s="257"/>
      <c r="BG198" s="257"/>
      <c r="BH198" s="257"/>
      <c r="CQ198" s="397"/>
      <c r="CR198" s="397"/>
      <c r="CS198" s="397"/>
      <c r="CT198" s="397"/>
      <c r="CU198" s="397"/>
      <c r="CV198" s="397"/>
      <c r="CW198" s="397"/>
      <c r="CX198" s="397"/>
      <c r="CY198" s="397"/>
      <c r="CZ198" s="397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</row>
    <row r="199" spans="1:124" s="300" customFormat="1" ht="12.75" customHeight="1">
      <c r="A199" s="124"/>
      <c r="B199" s="316"/>
      <c r="C199" s="316"/>
      <c r="D199" s="316"/>
      <c r="E199" s="316"/>
      <c r="F199" s="124"/>
      <c r="G199" s="123"/>
      <c r="H199" s="123"/>
      <c r="I199" s="123"/>
      <c r="J199" s="123"/>
      <c r="K199" s="123"/>
      <c r="L199" s="123"/>
      <c r="M199" s="123"/>
      <c r="N199" s="123"/>
      <c r="O199" s="123"/>
      <c r="P199" s="397"/>
      <c r="Q199" s="397"/>
      <c r="R199" s="397"/>
      <c r="S199" s="397"/>
      <c r="T199" s="397"/>
      <c r="U199" s="397"/>
      <c r="V199" s="123"/>
      <c r="W199" s="123"/>
      <c r="X199" s="123"/>
      <c r="BE199" s="257"/>
      <c r="BF199" s="257"/>
      <c r="BG199" s="257"/>
      <c r="BH199" s="257"/>
      <c r="CQ199" s="397"/>
      <c r="CR199" s="397"/>
      <c r="CS199" s="397"/>
      <c r="CT199" s="397"/>
      <c r="CU199" s="397"/>
      <c r="CV199" s="397"/>
      <c r="CW199" s="397"/>
      <c r="CX199" s="397"/>
      <c r="CY199" s="397"/>
      <c r="CZ199" s="397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</row>
    <row r="200" spans="1:124" s="300" customFormat="1" ht="12.75" customHeight="1">
      <c r="A200" s="124"/>
      <c r="B200" s="123"/>
      <c r="C200" s="123"/>
      <c r="D200" s="123"/>
      <c r="E200" s="123"/>
      <c r="F200" s="124"/>
      <c r="G200" s="123"/>
      <c r="H200" s="123"/>
      <c r="I200" s="123"/>
      <c r="J200" s="119"/>
      <c r="K200" s="126"/>
      <c r="L200" s="123"/>
      <c r="M200" s="123"/>
      <c r="N200" s="123"/>
      <c r="O200" s="123"/>
      <c r="P200" s="397"/>
      <c r="Q200" s="397"/>
      <c r="R200" s="397"/>
      <c r="S200" s="397"/>
      <c r="T200" s="397"/>
      <c r="U200" s="397"/>
      <c r="V200" s="123"/>
      <c r="W200" s="123"/>
      <c r="X200" s="123"/>
      <c r="BE200" s="257"/>
      <c r="BF200" s="257"/>
      <c r="BG200" s="257"/>
      <c r="BH200" s="257"/>
      <c r="CQ200" s="397"/>
      <c r="CR200" s="397"/>
      <c r="CS200" s="397"/>
      <c r="CT200" s="397"/>
      <c r="CU200" s="397"/>
      <c r="CV200" s="397"/>
      <c r="CW200" s="397"/>
      <c r="CX200" s="397"/>
      <c r="CY200" s="397"/>
      <c r="CZ200" s="397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</row>
    <row r="201" spans="1:124" s="300" customFormat="1" ht="12.75" customHeight="1">
      <c r="A201" s="124"/>
      <c r="B201" s="123"/>
      <c r="C201" s="123"/>
      <c r="D201" s="123"/>
      <c r="E201" s="123"/>
      <c r="F201" s="124"/>
      <c r="G201" s="123"/>
      <c r="H201" s="123"/>
      <c r="I201" s="123"/>
      <c r="J201" s="123"/>
      <c r="K201" s="123"/>
      <c r="L201" s="123"/>
      <c r="M201" s="123"/>
      <c r="N201" s="123"/>
      <c r="O201" s="123"/>
      <c r="P201" s="397"/>
      <c r="Q201" s="397"/>
      <c r="R201" s="397"/>
      <c r="S201" s="397"/>
      <c r="T201" s="397"/>
      <c r="U201" s="397"/>
      <c r="V201" s="123"/>
      <c r="W201" s="123"/>
      <c r="X201" s="123"/>
      <c r="BE201" s="257"/>
      <c r="BF201" s="257"/>
      <c r="BG201" s="257"/>
      <c r="BH201" s="257"/>
      <c r="CQ201" s="397"/>
      <c r="CR201" s="397"/>
      <c r="CS201" s="397"/>
      <c r="CT201" s="397"/>
      <c r="CU201" s="397"/>
      <c r="CV201" s="397"/>
      <c r="CW201" s="397"/>
      <c r="CX201" s="397"/>
      <c r="CY201" s="397"/>
      <c r="CZ201" s="397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</row>
    <row r="202" spans="1:124" s="300" customFormat="1" ht="12.75" customHeight="1">
      <c r="A202" s="124"/>
      <c r="B202" s="126"/>
      <c r="C202" s="126"/>
      <c r="D202" s="126"/>
      <c r="E202" s="126"/>
      <c r="F202" s="124"/>
      <c r="G202" s="123"/>
      <c r="H202" s="123"/>
      <c r="I202" s="123"/>
      <c r="J202" s="123"/>
      <c r="K202" s="126"/>
      <c r="L202" s="123"/>
      <c r="M202" s="123"/>
      <c r="N202" s="123"/>
      <c r="O202" s="123"/>
      <c r="P202" s="397"/>
      <c r="Q202" s="397"/>
      <c r="R202" s="397"/>
      <c r="S202" s="397"/>
      <c r="T202" s="397"/>
      <c r="U202" s="397"/>
      <c r="V202" s="123"/>
      <c r="W202" s="123"/>
      <c r="X202" s="123"/>
      <c r="BE202" s="257"/>
      <c r="BF202" s="257"/>
      <c r="BG202" s="257"/>
      <c r="BH202" s="257"/>
      <c r="CQ202" s="397"/>
      <c r="CR202" s="397"/>
      <c r="CS202" s="397"/>
      <c r="CT202" s="397"/>
      <c r="CU202" s="397"/>
      <c r="CV202" s="397"/>
      <c r="CW202" s="397"/>
      <c r="CX202" s="397"/>
      <c r="CY202" s="397"/>
      <c r="CZ202" s="397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</row>
    <row r="203" spans="1:124" s="300" customFormat="1" ht="12.75" customHeight="1">
      <c r="A203" s="124"/>
      <c r="B203" s="123"/>
      <c r="C203" s="123"/>
      <c r="D203" s="123"/>
      <c r="E203" s="123"/>
      <c r="F203" s="124"/>
      <c r="G203" s="123"/>
      <c r="H203" s="123"/>
      <c r="I203" s="123"/>
      <c r="J203" s="123"/>
      <c r="K203" s="123"/>
      <c r="L203" s="123"/>
      <c r="M203" s="123"/>
      <c r="N203" s="123"/>
      <c r="O203" s="123"/>
      <c r="P203" s="397"/>
      <c r="Q203" s="397"/>
      <c r="R203" s="397"/>
      <c r="S203" s="397"/>
      <c r="T203" s="397"/>
      <c r="U203" s="397"/>
      <c r="V203" s="123"/>
      <c r="W203" s="123"/>
      <c r="X203" s="123"/>
      <c r="BE203" s="257"/>
      <c r="BF203" s="257"/>
      <c r="BG203" s="257"/>
      <c r="BH203" s="257"/>
      <c r="CQ203" s="397"/>
      <c r="CR203" s="397"/>
      <c r="CS203" s="397"/>
      <c r="CT203" s="397"/>
      <c r="CU203" s="397"/>
      <c r="CV203" s="397"/>
      <c r="CW203" s="397"/>
      <c r="CX203" s="397"/>
      <c r="CY203" s="397"/>
      <c r="CZ203" s="397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</row>
    <row r="204" spans="1:124" s="300" customFormat="1" ht="12.75" customHeight="1">
      <c r="A204" s="124"/>
      <c r="B204" s="126"/>
      <c r="C204" s="126"/>
      <c r="D204" s="126"/>
      <c r="E204" s="126"/>
      <c r="F204" s="124"/>
      <c r="G204" s="123"/>
      <c r="H204" s="123"/>
      <c r="I204" s="123"/>
      <c r="J204" s="123"/>
      <c r="K204" s="123"/>
      <c r="L204" s="123"/>
      <c r="M204" s="123"/>
      <c r="N204" s="123"/>
      <c r="O204" s="123"/>
      <c r="P204" s="397"/>
      <c r="Q204" s="397"/>
      <c r="R204" s="397"/>
      <c r="S204" s="397"/>
      <c r="T204" s="397"/>
      <c r="U204" s="397"/>
      <c r="V204" s="123"/>
      <c r="W204" s="123"/>
      <c r="X204" s="123"/>
      <c r="BE204" s="257"/>
      <c r="BF204" s="257"/>
      <c r="BG204" s="257"/>
      <c r="BH204" s="257"/>
      <c r="CQ204" s="397"/>
      <c r="CR204" s="397"/>
      <c r="CS204" s="397"/>
      <c r="CT204" s="397"/>
      <c r="CU204" s="397"/>
      <c r="CV204" s="397"/>
      <c r="CW204" s="397"/>
      <c r="CX204" s="397"/>
      <c r="CY204" s="397"/>
      <c r="CZ204" s="397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</row>
    <row r="205" spans="1:124" s="300" customFormat="1" ht="12.75" customHeight="1">
      <c r="A205" s="124"/>
      <c r="B205" s="123"/>
      <c r="C205" s="123"/>
      <c r="D205" s="123"/>
      <c r="E205" s="123"/>
      <c r="F205" s="124"/>
      <c r="G205" s="123"/>
      <c r="H205" s="123"/>
      <c r="I205" s="123"/>
      <c r="J205" s="123"/>
      <c r="K205" s="123"/>
      <c r="L205" s="123"/>
      <c r="M205" s="123"/>
      <c r="N205" s="123"/>
      <c r="O205" s="123"/>
      <c r="P205" s="397"/>
      <c r="Q205" s="397"/>
      <c r="R205" s="397"/>
      <c r="S205" s="397"/>
      <c r="T205" s="397"/>
      <c r="U205" s="397"/>
      <c r="V205" s="123"/>
      <c r="W205" s="123"/>
      <c r="X205" s="123"/>
      <c r="BE205" s="257"/>
      <c r="BF205" s="257"/>
      <c r="BG205" s="257"/>
      <c r="BH205" s="257"/>
      <c r="CQ205" s="397"/>
      <c r="CR205" s="397"/>
      <c r="CS205" s="397"/>
      <c r="CT205" s="397"/>
      <c r="CU205" s="397"/>
      <c r="CV205" s="397"/>
      <c r="CW205" s="397"/>
      <c r="CX205" s="397"/>
      <c r="CY205" s="397"/>
      <c r="CZ205" s="397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</row>
    <row r="206" spans="1:124" s="300" customFormat="1" ht="12.75" customHeight="1">
      <c r="A206" s="124"/>
      <c r="B206" s="123"/>
      <c r="C206" s="123"/>
      <c r="D206" s="123"/>
      <c r="E206" s="123"/>
      <c r="F206" s="124"/>
      <c r="G206" s="123"/>
      <c r="H206" s="123"/>
      <c r="I206" s="123"/>
      <c r="J206" s="123"/>
      <c r="K206" s="123"/>
      <c r="L206" s="123"/>
      <c r="M206" s="123"/>
      <c r="N206" s="123"/>
      <c r="O206" s="123"/>
      <c r="P206" s="397"/>
      <c r="Q206" s="397"/>
      <c r="R206" s="397"/>
      <c r="S206" s="397"/>
      <c r="T206" s="397"/>
      <c r="U206" s="397"/>
      <c r="V206" s="123"/>
      <c r="W206" s="123"/>
      <c r="X206" s="123"/>
      <c r="BE206" s="257"/>
      <c r="BF206" s="257"/>
      <c r="BG206" s="257"/>
      <c r="BH206" s="257"/>
      <c r="CQ206" s="397"/>
      <c r="CR206" s="397"/>
      <c r="CS206" s="397"/>
      <c r="CT206" s="397"/>
      <c r="CU206" s="397"/>
      <c r="CV206" s="397"/>
      <c r="CW206" s="397"/>
      <c r="CX206" s="397"/>
      <c r="CY206" s="397"/>
      <c r="CZ206" s="397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</row>
    <row r="207" spans="1:124" s="300" customFormat="1" ht="12.75" customHeight="1">
      <c r="A207" s="122"/>
      <c r="B207" s="123"/>
      <c r="C207" s="123"/>
      <c r="D207" s="123"/>
      <c r="E207" s="123"/>
      <c r="F207" s="124"/>
      <c r="G207" s="123"/>
      <c r="H207" s="123"/>
      <c r="I207" s="123"/>
      <c r="J207" s="123"/>
      <c r="K207" s="123"/>
      <c r="L207" s="123"/>
      <c r="M207" s="123"/>
      <c r="N207" s="123"/>
      <c r="O207" s="123"/>
      <c r="P207" s="397"/>
      <c r="Q207" s="397"/>
      <c r="R207" s="397"/>
      <c r="S207" s="397"/>
      <c r="T207" s="397"/>
      <c r="U207" s="397"/>
      <c r="V207" s="123"/>
      <c r="W207" s="123"/>
      <c r="X207" s="123"/>
      <c r="BE207" s="257"/>
      <c r="BF207" s="257"/>
      <c r="BG207" s="257"/>
      <c r="BH207" s="257"/>
      <c r="CQ207" s="397"/>
      <c r="CR207" s="397"/>
      <c r="CS207" s="397"/>
      <c r="CT207" s="397"/>
      <c r="CU207" s="397"/>
      <c r="CV207" s="397"/>
      <c r="CW207" s="397"/>
      <c r="CX207" s="397"/>
      <c r="CY207" s="397"/>
      <c r="CZ207" s="39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</row>
    <row r="208" spans="1:124" s="300" customFormat="1" ht="12.75" customHeight="1">
      <c r="A208" s="123"/>
      <c r="B208" s="123"/>
      <c r="C208" s="123"/>
      <c r="D208" s="123"/>
      <c r="E208" s="123"/>
      <c r="F208" s="124"/>
      <c r="G208" s="123"/>
      <c r="H208" s="123"/>
      <c r="I208" s="123"/>
      <c r="J208" s="123"/>
      <c r="K208" s="123"/>
      <c r="L208" s="123"/>
      <c r="M208" s="123"/>
      <c r="N208" s="123"/>
      <c r="O208" s="123"/>
      <c r="P208" s="397"/>
      <c r="Q208" s="397"/>
      <c r="R208" s="397"/>
      <c r="S208" s="397"/>
      <c r="T208" s="397"/>
      <c r="U208" s="397"/>
      <c r="V208" s="123"/>
      <c r="W208" s="123"/>
      <c r="X208" s="123"/>
      <c r="BE208" s="257"/>
      <c r="BF208" s="257"/>
      <c r="BG208" s="257"/>
      <c r="BH208" s="257"/>
      <c r="CQ208" s="397"/>
      <c r="CR208" s="397"/>
      <c r="CS208" s="397"/>
      <c r="CT208" s="397"/>
      <c r="CU208" s="397"/>
      <c r="CV208" s="397"/>
      <c r="CW208" s="397"/>
      <c r="CX208" s="397"/>
      <c r="CY208" s="397"/>
      <c r="CZ208" s="397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</row>
    <row r="209" spans="1:124" s="300" customFormat="1" ht="12.75" customHeight="1">
      <c r="A209" s="123"/>
      <c r="B209" s="123"/>
      <c r="C209" s="123"/>
      <c r="D209" s="123"/>
      <c r="E209" s="123"/>
      <c r="F209" s="124"/>
      <c r="G209" s="123"/>
      <c r="H209" s="123"/>
      <c r="I209" s="123"/>
      <c r="J209" s="123"/>
      <c r="K209" s="123"/>
      <c r="L209" s="123"/>
      <c r="M209" s="123"/>
      <c r="N209" s="123"/>
      <c r="O209" s="123"/>
      <c r="P209" s="397"/>
      <c r="Q209" s="397"/>
      <c r="R209" s="397"/>
      <c r="S209" s="397"/>
      <c r="T209" s="397"/>
      <c r="U209" s="397"/>
      <c r="V209" s="123"/>
      <c r="W209" s="123"/>
      <c r="X209" s="123"/>
      <c r="BE209" s="257"/>
      <c r="BF209" s="257"/>
      <c r="BG209" s="257"/>
      <c r="BH209" s="257"/>
      <c r="CQ209" s="397"/>
      <c r="CR209" s="397"/>
      <c r="CS209" s="397"/>
      <c r="CT209" s="397"/>
      <c r="CU209" s="397"/>
      <c r="CV209" s="397"/>
      <c r="CW209" s="397"/>
      <c r="CX209" s="397"/>
      <c r="CY209" s="397"/>
      <c r="CZ209" s="397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</row>
    <row r="210" spans="1:124" s="300" customFormat="1" ht="12.75" customHeight="1">
      <c r="A210" s="123"/>
      <c r="B210" s="123"/>
      <c r="C210" s="123"/>
      <c r="D210" s="123"/>
      <c r="E210" s="123"/>
      <c r="F210" s="122"/>
      <c r="G210" s="123"/>
      <c r="H210" s="123"/>
      <c r="I210" s="123"/>
      <c r="J210" s="123"/>
      <c r="K210" s="123"/>
      <c r="L210" s="123"/>
      <c r="M210" s="123"/>
      <c r="N210" s="123"/>
      <c r="O210" s="123"/>
      <c r="P210" s="397"/>
      <c r="Q210" s="397"/>
      <c r="R210" s="397"/>
      <c r="S210" s="397"/>
      <c r="T210" s="397"/>
      <c r="U210" s="397"/>
      <c r="V210" s="123"/>
      <c r="W210" s="123"/>
      <c r="X210" s="123"/>
      <c r="BE210" s="257"/>
      <c r="BF210" s="257"/>
      <c r="BG210" s="257"/>
      <c r="BH210" s="257"/>
      <c r="CQ210" s="397"/>
      <c r="CR210" s="397"/>
      <c r="CS210" s="397"/>
      <c r="CT210" s="397"/>
      <c r="CU210" s="397"/>
      <c r="CV210" s="397"/>
      <c r="CW210" s="397"/>
      <c r="CX210" s="397"/>
      <c r="CY210" s="397"/>
      <c r="CZ210" s="397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</row>
    <row r="211" spans="1:124" s="300" customFormat="1" ht="12.75" customHeight="1">
      <c r="A211" s="123"/>
      <c r="B211" s="123"/>
      <c r="C211" s="123"/>
      <c r="D211" s="123"/>
      <c r="E211" s="123"/>
      <c r="F211" s="123"/>
      <c r="G211" s="120"/>
      <c r="H211" s="120"/>
      <c r="I211" s="120"/>
      <c r="J211" s="120"/>
      <c r="K211" s="120"/>
      <c r="L211" s="123"/>
      <c r="M211" s="123"/>
      <c r="N211" s="123"/>
      <c r="O211" s="123"/>
      <c r="P211" s="397"/>
      <c r="Q211" s="397"/>
      <c r="R211" s="397"/>
      <c r="S211" s="397"/>
      <c r="T211" s="397"/>
      <c r="U211" s="397"/>
      <c r="V211" s="123"/>
      <c r="W211" s="123"/>
      <c r="X211" s="123"/>
      <c r="BE211" s="257"/>
      <c r="BF211" s="257"/>
      <c r="BG211" s="257"/>
      <c r="BH211" s="257"/>
      <c r="CQ211" s="397"/>
      <c r="CR211" s="397"/>
      <c r="CS211" s="397"/>
      <c r="CT211" s="397"/>
      <c r="CU211" s="397"/>
      <c r="CV211" s="397"/>
      <c r="CW211" s="397"/>
      <c r="CX211" s="397"/>
      <c r="CY211" s="397"/>
      <c r="CZ211" s="397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</row>
    <row r="212" spans="1:124" s="300" customFormat="1" ht="12.75" customHeight="1">
      <c r="A212" s="123"/>
      <c r="B212" s="123"/>
      <c r="C212" s="123"/>
      <c r="D212" s="123"/>
      <c r="E212" s="123"/>
      <c r="F212" s="123"/>
      <c r="G212" s="120"/>
      <c r="H212" s="120"/>
      <c r="I212" s="120"/>
      <c r="J212" s="120"/>
      <c r="K212" s="120"/>
      <c r="L212" s="123"/>
      <c r="M212" s="123"/>
      <c r="N212" s="123"/>
      <c r="O212" s="123"/>
      <c r="P212" s="397"/>
      <c r="Q212" s="397"/>
      <c r="R212" s="397"/>
      <c r="S212" s="397"/>
      <c r="T212" s="397"/>
      <c r="U212" s="397"/>
      <c r="V212" s="123"/>
      <c r="W212" s="123"/>
      <c r="X212" s="123"/>
      <c r="BE212" s="257"/>
      <c r="BF212" s="257"/>
      <c r="BG212" s="257"/>
      <c r="BH212" s="257"/>
      <c r="CQ212" s="397"/>
      <c r="CR212" s="397"/>
      <c r="CS212" s="397"/>
      <c r="CT212" s="397"/>
      <c r="CU212" s="397"/>
      <c r="CV212" s="397"/>
      <c r="CW212" s="397"/>
      <c r="CX212" s="397"/>
      <c r="CY212" s="397"/>
      <c r="CZ212" s="397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</row>
    <row r="213" spans="1:124" s="300" customFormat="1" ht="12.75" customHeight="1">
      <c r="A213" s="123"/>
      <c r="B213" s="120"/>
      <c r="C213" s="120"/>
      <c r="D213" s="120"/>
      <c r="E213" s="120"/>
      <c r="F213" s="123"/>
      <c r="G213" s="120"/>
      <c r="H213" s="120"/>
      <c r="I213" s="120"/>
      <c r="J213" s="120"/>
      <c r="K213" s="120"/>
      <c r="L213" s="123"/>
      <c r="M213" s="123"/>
      <c r="N213" s="123"/>
      <c r="O213" s="123"/>
      <c r="P213" s="397"/>
      <c r="Q213" s="397"/>
      <c r="R213" s="397"/>
      <c r="S213" s="397"/>
      <c r="T213" s="397"/>
      <c r="U213" s="397"/>
      <c r="V213" s="123"/>
      <c r="W213" s="123"/>
      <c r="X213" s="123"/>
      <c r="BE213" s="257"/>
      <c r="BF213" s="257"/>
      <c r="BG213" s="257"/>
      <c r="BH213" s="257"/>
      <c r="CQ213" s="397"/>
      <c r="CR213" s="397"/>
      <c r="CS213" s="397"/>
      <c r="CT213" s="397"/>
      <c r="CU213" s="397"/>
      <c r="CV213" s="397"/>
      <c r="CW213" s="397"/>
      <c r="CX213" s="397"/>
      <c r="CY213" s="397"/>
      <c r="CZ213" s="397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</row>
    <row r="214" spans="1:124" s="300" customFormat="1" ht="12.75" customHeight="1">
      <c r="A214" s="123"/>
      <c r="B214" s="120"/>
      <c r="C214" s="120"/>
      <c r="D214" s="120"/>
      <c r="E214" s="120"/>
      <c r="F214" s="123"/>
      <c r="G214" s="120"/>
      <c r="H214" s="120"/>
      <c r="I214" s="120"/>
      <c r="J214" s="120"/>
      <c r="K214" s="120"/>
      <c r="L214" s="123"/>
      <c r="M214" s="123"/>
      <c r="N214" s="123"/>
      <c r="O214" s="123"/>
      <c r="P214" s="397"/>
      <c r="Q214" s="397"/>
      <c r="R214" s="397"/>
      <c r="S214" s="397"/>
      <c r="T214" s="397"/>
      <c r="U214" s="397"/>
      <c r="V214" s="123"/>
      <c r="W214" s="123"/>
      <c r="X214" s="123"/>
      <c r="BE214" s="257"/>
      <c r="BF214" s="257"/>
      <c r="BG214" s="257"/>
      <c r="BH214" s="257"/>
      <c r="CQ214" s="397"/>
      <c r="CR214" s="397"/>
      <c r="CS214" s="397"/>
      <c r="CT214" s="397"/>
      <c r="CU214" s="397"/>
      <c r="CV214" s="397"/>
      <c r="CW214" s="397"/>
      <c r="CX214" s="397"/>
      <c r="CY214" s="397"/>
      <c r="CZ214" s="397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</row>
    <row r="215" spans="1:124" s="300" customFormat="1" ht="12.75" customHeight="1">
      <c r="A215" s="123"/>
      <c r="B215" s="120"/>
      <c r="C215" s="120"/>
      <c r="D215" s="120"/>
      <c r="E215" s="120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397"/>
      <c r="Q215" s="397"/>
      <c r="R215" s="397"/>
      <c r="S215" s="397"/>
      <c r="T215" s="397"/>
      <c r="U215" s="397"/>
      <c r="V215" s="123"/>
      <c r="W215" s="123"/>
      <c r="X215" s="123"/>
      <c r="BE215" s="257"/>
      <c r="BF215" s="257"/>
      <c r="BG215" s="257"/>
      <c r="BH215" s="257"/>
      <c r="CQ215" s="397"/>
      <c r="CR215" s="397"/>
      <c r="CS215" s="397"/>
      <c r="CT215" s="397"/>
      <c r="CU215" s="397"/>
      <c r="CV215" s="397"/>
      <c r="CW215" s="397"/>
      <c r="CX215" s="397"/>
      <c r="CY215" s="397"/>
      <c r="CZ215" s="397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</row>
    <row r="216" spans="1:124" s="300" customFormat="1" ht="12.75" customHeight="1">
      <c r="A216" s="123"/>
      <c r="B216" s="120"/>
      <c r="C216" s="120"/>
      <c r="D216" s="120"/>
      <c r="E216" s="120"/>
      <c r="F216" s="123"/>
      <c r="G216" s="411"/>
      <c r="H216" s="411"/>
      <c r="I216" s="411"/>
      <c r="J216" s="123"/>
      <c r="K216" s="123"/>
      <c r="L216" s="123"/>
      <c r="M216" s="123"/>
      <c r="N216" s="123"/>
      <c r="O216" s="123"/>
      <c r="P216" s="397"/>
      <c r="Q216" s="397"/>
      <c r="R216" s="397"/>
      <c r="S216" s="397"/>
      <c r="T216" s="397"/>
      <c r="U216" s="397"/>
      <c r="V216" s="123"/>
      <c r="W216" s="123"/>
      <c r="X216" s="123"/>
      <c r="BE216" s="257"/>
      <c r="BF216" s="257"/>
      <c r="BG216" s="257"/>
      <c r="BH216" s="257"/>
      <c r="CQ216" s="397"/>
      <c r="CR216" s="397"/>
      <c r="CS216" s="397"/>
      <c r="CT216" s="397"/>
      <c r="CU216" s="397"/>
      <c r="CV216" s="397"/>
      <c r="CW216" s="397"/>
      <c r="CX216" s="397"/>
      <c r="CY216" s="397"/>
      <c r="CZ216" s="397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</row>
    <row r="217" spans="1:124" s="300" customFormat="1" ht="12.75" customHeight="1">
      <c r="A217" s="123"/>
      <c r="B217" s="123"/>
      <c r="C217" s="123"/>
      <c r="D217" s="123"/>
      <c r="E217" s="123"/>
      <c r="F217" s="123"/>
      <c r="G217" s="411"/>
      <c r="H217" s="411"/>
      <c r="I217" s="411"/>
      <c r="J217" s="411"/>
      <c r="K217" s="123"/>
      <c r="L217" s="123"/>
      <c r="M217" s="123"/>
      <c r="N217" s="123"/>
      <c r="O217" s="123"/>
      <c r="P217" s="397"/>
      <c r="Q217" s="397"/>
      <c r="R217" s="397"/>
      <c r="S217" s="397"/>
      <c r="T217" s="397"/>
      <c r="U217" s="397"/>
      <c r="V217" s="123"/>
      <c r="W217" s="123"/>
      <c r="X217" s="123"/>
      <c r="BE217" s="257"/>
      <c r="BF217" s="257"/>
      <c r="BG217" s="257"/>
      <c r="BH217" s="257"/>
      <c r="CQ217" s="397"/>
      <c r="CR217" s="397"/>
      <c r="CS217" s="397"/>
      <c r="CT217" s="397"/>
      <c r="CU217" s="397"/>
      <c r="CV217" s="397"/>
      <c r="CW217" s="397"/>
      <c r="CX217" s="397"/>
      <c r="CY217" s="397"/>
      <c r="CZ217" s="39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</row>
    <row r="218" spans="1:124" s="300" customFormat="1" ht="12.75" customHeight="1">
      <c r="A218" s="123"/>
      <c r="B218" s="123"/>
      <c r="C218" s="123"/>
      <c r="D218" s="123"/>
      <c r="E218" s="123"/>
      <c r="F218" s="123"/>
      <c r="G218" s="123"/>
      <c r="H218" s="123"/>
      <c r="I218" s="123"/>
      <c r="J218" s="316"/>
      <c r="K218" s="123"/>
      <c r="L218" s="123"/>
      <c r="M218" s="123"/>
      <c r="N218" s="123"/>
      <c r="O218" s="123"/>
      <c r="P218" s="397"/>
      <c r="Q218" s="397"/>
      <c r="R218" s="397"/>
      <c r="S218" s="397"/>
      <c r="T218" s="397"/>
      <c r="U218" s="397"/>
      <c r="V218" s="123"/>
      <c r="W218" s="123"/>
      <c r="X218" s="123"/>
      <c r="BE218" s="257"/>
      <c r="BF218" s="257"/>
      <c r="BG218" s="257"/>
      <c r="BH218" s="257"/>
      <c r="CQ218" s="397"/>
      <c r="CR218" s="397"/>
      <c r="CS218" s="397"/>
      <c r="CT218" s="397"/>
      <c r="CU218" s="397"/>
      <c r="CV218" s="397"/>
      <c r="CW218" s="397"/>
      <c r="CX218" s="397"/>
      <c r="CY218" s="397"/>
      <c r="CZ218" s="397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</row>
    <row r="219" spans="1:124" s="300" customFormat="1" ht="12.75" customHeight="1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397"/>
      <c r="Q219" s="397"/>
      <c r="R219" s="397"/>
      <c r="S219" s="397"/>
      <c r="T219" s="397"/>
      <c r="U219" s="397"/>
      <c r="V219" s="123"/>
      <c r="W219" s="123"/>
      <c r="X219" s="123"/>
      <c r="BE219" s="257"/>
      <c r="BF219" s="257"/>
      <c r="BG219" s="257"/>
      <c r="BH219" s="257"/>
      <c r="CQ219" s="397"/>
      <c r="CR219" s="397"/>
      <c r="CS219" s="397"/>
      <c r="CT219" s="397"/>
      <c r="CU219" s="397"/>
      <c r="CV219" s="397"/>
      <c r="CW219" s="397"/>
      <c r="CX219" s="397"/>
      <c r="CY219" s="397"/>
      <c r="CZ219" s="397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</row>
    <row r="220" spans="1:124" s="300" customFormat="1" ht="12.75" customHeight="1">
      <c r="A220" s="123"/>
      <c r="B220" s="123"/>
      <c r="C220" s="123"/>
      <c r="D220" s="123"/>
      <c r="E220" s="123"/>
      <c r="F220" s="123"/>
      <c r="G220" s="123"/>
      <c r="H220" s="123"/>
      <c r="I220" s="123"/>
      <c r="J220" s="225"/>
      <c r="K220" s="123"/>
      <c r="L220" s="123"/>
      <c r="M220" s="123"/>
      <c r="N220" s="123"/>
      <c r="O220" s="123"/>
      <c r="P220" s="397"/>
      <c r="Q220" s="397"/>
      <c r="R220" s="397"/>
      <c r="S220" s="397"/>
      <c r="T220" s="397"/>
      <c r="U220" s="397"/>
      <c r="V220" s="123"/>
      <c r="W220" s="123"/>
      <c r="X220" s="123"/>
      <c r="BE220" s="257"/>
      <c r="BF220" s="257"/>
      <c r="BG220" s="257"/>
      <c r="BH220" s="257"/>
      <c r="CQ220" s="397"/>
      <c r="CR220" s="397"/>
      <c r="CS220" s="397"/>
      <c r="CT220" s="397"/>
      <c r="CU220" s="397"/>
      <c r="CV220" s="397"/>
      <c r="CW220" s="397"/>
      <c r="CX220" s="397"/>
      <c r="CY220" s="397"/>
      <c r="CZ220" s="397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</row>
    <row r="221" spans="1:124" s="300" customFormat="1" ht="12.75" customHeight="1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397"/>
      <c r="Q221" s="397"/>
      <c r="R221" s="397"/>
      <c r="S221" s="397"/>
      <c r="T221" s="397"/>
      <c r="U221" s="397"/>
      <c r="V221" s="123"/>
      <c r="W221" s="123"/>
      <c r="X221" s="123"/>
      <c r="BE221" s="257"/>
      <c r="BF221" s="257"/>
      <c r="BG221" s="257"/>
      <c r="BH221" s="257"/>
      <c r="CQ221" s="397"/>
      <c r="CR221" s="397"/>
      <c r="CS221" s="397"/>
      <c r="CT221" s="397"/>
      <c r="CU221" s="397"/>
      <c r="CV221" s="397"/>
      <c r="CW221" s="397"/>
      <c r="CX221" s="397"/>
      <c r="CY221" s="397"/>
      <c r="CZ221" s="397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</row>
    <row r="222" spans="1:124" s="300" customFormat="1" ht="12.75" customHeight="1">
      <c r="A222" s="123"/>
      <c r="B222" s="123"/>
      <c r="C222" s="123"/>
      <c r="D222" s="123"/>
      <c r="E222" s="123"/>
      <c r="F222" s="123"/>
      <c r="G222" s="123"/>
      <c r="H222" s="123"/>
      <c r="I222" s="123"/>
      <c r="J222" s="225"/>
      <c r="K222" s="123"/>
      <c r="L222" s="123"/>
      <c r="M222" s="123"/>
      <c r="N222" s="123"/>
      <c r="O222" s="123"/>
      <c r="P222" s="397"/>
      <c r="Q222" s="397"/>
      <c r="R222" s="397"/>
      <c r="S222" s="397"/>
      <c r="T222" s="397"/>
      <c r="U222" s="397"/>
      <c r="V222" s="123"/>
      <c r="W222" s="123"/>
      <c r="X222" s="123"/>
      <c r="BE222" s="257"/>
      <c r="BF222" s="257"/>
      <c r="BG222" s="257"/>
      <c r="BH222" s="257"/>
      <c r="CQ222" s="397"/>
      <c r="CR222" s="397"/>
      <c r="CS222" s="397"/>
      <c r="CT222" s="397"/>
      <c r="CU222" s="397"/>
      <c r="CV222" s="397"/>
      <c r="CW222" s="397"/>
      <c r="CX222" s="397"/>
      <c r="CY222" s="397"/>
      <c r="CZ222" s="397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</row>
    <row r="223" spans="1:124" s="300" customFormat="1" ht="12.75" customHeight="1">
      <c r="A223" s="123"/>
      <c r="B223" s="123"/>
      <c r="C223" s="123"/>
      <c r="D223" s="123"/>
      <c r="E223" s="123"/>
      <c r="F223" s="123"/>
      <c r="G223" s="123"/>
      <c r="H223" s="123"/>
      <c r="I223" s="123"/>
      <c r="J223" s="225"/>
      <c r="K223" s="123"/>
      <c r="L223" s="123"/>
      <c r="M223" s="123"/>
      <c r="N223" s="123"/>
      <c r="O223" s="123"/>
      <c r="P223" s="397"/>
      <c r="Q223" s="397"/>
      <c r="R223" s="397"/>
      <c r="S223" s="397"/>
      <c r="T223" s="397"/>
      <c r="U223" s="397"/>
      <c r="V223" s="123"/>
      <c r="W223" s="123"/>
      <c r="X223" s="123"/>
      <c r="BE223" s="257"/>
      <c r="BF223" s="257"/>
      <c r="BG223" s="257"/>
      <c r="BH223" s="257"/>
      <c r="CQ223" s="397"/>
      <c r="CR223" s="397"/>
      <c r="CS223" s="397"/>
      <c r="CT223" s="397"/>
      <c r="CU223" s="397"/>
      <c r="CV223" s="397"/>
      <c r="CW223" s="397"/>
      <c r="CX223" s="397"/>
      <c r="CY223" s="397"/>
      <c r="CZ223" s="397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</row>
    <row r="224" spans="1:124" s="300" customFormat="1" ht="12.75" customHeight="1">
      <c r="A224" s="123"/>
      <c r="B224" s="123"/>
      <c r="C224" s="123"/>
      <c r="D224" s="123"/>
      <c r="E224" s="123"/>
      <c r="F224" s="123"/>
      <c r="G224" s="123"/>
      <c r="H224" s="123"/>
      <c r="I224" s="123"/>
      <c r="J224" s="225"/>
      <c r="K224" s="123"/>
      <c r="L224" s="123"/>
      <c r="M224" s="123"/>
      <c r="N224" s="123"/>
      <c r="O224" s="123"/>
      <c r="P224" s="397"/>
      <c r="Q224" s="397"/>
      <c r="R224" s="397"/>
      <c r="S224" s="397"/>
      <c r="T224" s="397"/>
      <c r="U224" s="397"/>
      <c r="V224" s="123"/>
      <c r="W224" s="123"/>
      <c r="X224" s="123"/>
      <c r="BE224" s="257"/>
      <c r="BF224" s="257"/>
      <c r="BG224" s="257"/>
      <c r="BH224" s="257"/>
      <c r="CQ224" s="397"/>
      <c r="CR224" s="397"/>
      <c r="CS224" s="397"/>
      <c r="CT224" s="397"/>
      <c r="CU224" s="397"/>
      <c r="CV224" s="397"/>
      <c r="CW224" s="397"/>
      <c r="CX224" s="397"/>
      <c r="CY224" s="397"/>
      <c r="CZ224" s="397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</row>
    <row r="225" spans="1:124" s="300" customFormat="1" ht="12.7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397"/>
      <c r="Q225" s="397"/>
      <c r="R225" s="397"/>
      <c r="S225" s="397"/>
      <c r="T225" s="397"/>
      <c r="U225" s="397"/>
      <c r="V225" s="123"/>
      <c r="W225" s="123"/>
      <c r="X225" s="123"/>
      <c r="BE225" s="257"/>
      <c r="BF225" s="257"/>
      <c r="BG225" s="257"/>
      <c r="BH225" s="257"/>
      <c r="CQ225" s="397"/>
      <c r="CR225" s="397"/>
      <c r="CS225" s="397"/>
      <c r="CT225" s="397"/>
      <c r="CU225" s="397"/>
      <c r="CV225" s="397"/>
      <c r="CW225" s="397"/>
      <c r="CX225" s="397"/>
      <c r="CY225" s="397"/>
      <c r="CZ225" s="397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</row>
    <row r="226" spans="1:124" s="300" customFormat="1" ht="12.75" customHeight="1">
      <c r="A226" s="123"/>
      <c r="B226" s="123"/>
      <c r="C226" s="123"/>
      <c r="D226" s="123"/>
      <c r="E226" s="123"/>
      <c r="F226" s="123"/>
      <c r="G226" s="123"/>
      <c r="H226" s="123"/>
      <c r="I226" s="123"/>
      <c r="J226" s="316"/>
      <c r="K226" s="123"/>
      <c r="L226" s="123"/>
      <c r="M226" s="123"/>
      <c r="N226" s="123"/>
      <c r="O226" s="123"/>
      <c r="P226" s="397"/>
      <c r="Q226" s="397"/>
      <c r="R226" s="397"/>
      <c r="S226" s="397"/>
      <c r="T226" s="397"/>
      <c r="U226" s="397"/>
      <c r="V226" s="123"/>
      <c r="W226" s="123"/>
      <c r="X226" s="123"/>
      <c r="BE226" s="257"/>
      <c r="BF226" s="257"/>
      <c r="BG226" s="257"/>
      <c r="BH226" s="257"/>
      <c r="CQ226" s="397"/>
      <c r="CR226" s="397"/>
      <c r="CS226" s="397"/>
      <c r="CT226" s="397"/>
      <c r="CU226" s="397"/>
      <c r="CV226" s="397"/>
      <c r="CW226" s="397"/>
      <c r="CX226" s="397"/>
      <c r="CY226" s="397"/>
      <c r="CZ226" s="397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</row>
    <row r="227" spans="1:124" s="300" customFormat="1" ht="12.75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397"/>
      <c r="Q227" s="397"/>
      <c r="R227" s="397"/>
      <c r="S227" s="397"/>
      <c r="T227" s="397"/>
      <c r="U227" s="397"/>
      <c r="V227" s="123"/>
      <c r="W227" s="123"/>
      <c r="X227" s="123"/>
      <c r="BE227" s="257"/>
      <c r="BF227" s="257"/>
      <c r="BG227" s="257"/>
      <c r="BH227" s="257"/>
      <c r="CQ227" s="397"/>
      <c r="CR227" s="397"/>
      <c r="CS227" s="397"/>
      <c r="CT227" s="397"/>
      <c r="CU227" s="397"/>
      <c r="CV227" s="397"/>
      <c r="CW227" s="397"/>
      <c r="CX227" s="397"/>
      <c r="CY227" s="397"/>
      <c r="CZ227" s="39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</row>
    <row r="228" spans="1:124" s="300" customFormat="1" ht="12.75" customHeight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5"/>
      <c r="K228" s="123"/>
      <c r="L228" s="123"/>
      <c r="M228" s="123"/>
      <c r="N228" s="123"/>
      <c r="O228" s="123"/>
      <c r="P228" s="397"/>
      <c r="Q228" s="397"/>
      <c r="R228" s="397"/>
      <c r="S228" s="397"/>
      <c r="T228" s="397"/>
      <c r="U228" s="397"/>
      <c r="V228" s="123"/>
      <c r="W228" s="123"/>
      <c r="X228" s="123"/>
      <c r="BE228" s="257"/>
      <c r="BF228" s="257"/>
      <c r="BG228" s="257"/>
      <c r="BH228" s="257"/>
      <c r="CQ228" s="397"/>
      <c r="CR228" s="397"/>
      <c r="CS228" s="397"/>
      <c r="CT228" s="397"/>
      <c r="CU228" s="397"/>
      <c r="CV228" s="397"/>
      <c r="CW228" s="397"/>
      <c r="CX228" s="397"/>
      <c r="CY228" s="397"/>
      <c r="CZ228" s="397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</row>
    <row r="229" spans="1:124" s="300" customFormat="1" ht="12.75" customHeight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397"/>
      <c r="Q229" s="397"/>
      <c r="R229" s="397"/>
      <c r="S229" s="397"/>
      <c r="T229" s="397"/>
      <c r="U229" s="397"/>
      <c r="V229" s="123"/>
      <c r="W229" s="123"/>
      <c r="X229" s="123"/>
      <c r="BE229" s="257"/>
      <c r="BF229" s="257"/>
      <c r="BG229" s="257"/>
      <c r="BH229" s="257"/>
      <c r="CQ229" s="397"/>
      <c r="CR229" s="397"/>
      <c r="CS229" s="397"/>
      <c r="CT229" s="397"/>
      <c r="CU229" s="397"/>
      <c r="CV229" s="397"/>
      <c r="CW229" s="397"/>
      <c r="CX229" s="397"/>
      <c r="CY229" s="397"/>
      <c r="CZ229" s="397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</row>
    <row r="230" spans="1:124" s="300" customFormat="1" ht="12.75" customHeight="1">
      <c r="A230" s="123"/>
      <c r="B230" s="123"/>
      <c r="C230" s="123"/>
      <c r="D230" s="123"/>
      <c r="E230" s="123"/>
      <c r="F230" s="123"/>
      <c r="G230" s="123"/>
      <c r="H230" s="123"/>
      <c r="I230" s="123"/>
      <c r="J230" s="316"/>
      <c r="K230" s="123"/>
      <c r="L230" s="123"/>
      <c r="M230" s="123"/>
      <c r="N230" s="123"/>
      <c r="O230" s="123"/>
      <c r="P230" s="397"/>
      <c r="Q230" s="397"/>
      <c r="R230" s="397"/>
      <c r="S230" s="397"/>
      <c r="T230" s="397"/>
      <c r="U230" s="397"/>
      <c r="V230" s="123"/>
      <c r="W230" s="123"/>
      <c r="X230" s="123"/>
      <c r="BE230" s="257"/>
      <c r="BF230" s="257"/>
      <c r="BG230" s="257"/>
      <c r="BH230" s="257"/>
      <c r="CQ230" s="397"/>
      <c r="CR230" s="397"/>
      <c r="CS230" s="397"/>
      <c r="CT230" s="397"/>
      <c r="CU230" s="397"/>
      <c r="CV230" s="397"/>
      <c r="CW230" s="397"/>
      <c r="CX230" s="397"/>
      <c r="CY230" s="397"/>
      <c r="CZ230" s="397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</row>
    <row r="231" spans="1:124" s="300" customFormat="1" ht="12.75" customHeight="1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397"/>
      <c r="Q231" s="397"/>
      <c r="R231" s="397"/>
      <c r="S231" s="397"/>
      <c r="T231" s="397"/>
      <c r="U231" s="397"/>
      <c r="V231" s="123"/>
      <c r="W231" s="123"/>
      <c r="X231" s="123"/>
      <c r="BE231" s="257"/>
      <c r="BF231" s="257"/>
      <c r="BG231" s="257"/>
      <c r="BH231" s="257"/>
      <c r="CQ231" s="397"/>
      <c r="CR231" s="397"/>
      <c r="CS231" s="397"/>
      <c r="CT231" s="397"/>
      <c r="CU231" s="397"/>
      <c r="CV231" s="397"/>
      <c r="CW231" s="397"/>
      <c r="CX231" s="397"/>
      <c r="CY231" s="397"/>
      <c r="CZ231" s="397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</row>
    <row r="232" spans="1:124" s="300" customFormat="1" ht="12.75" customHeight="1">
      <c r="A232" s="123"/>
      <c r="B232" s="123"/>
      <c r="C232" s="123"/>
      <c r="D232" s="123"/>
      <c r="E232" s="123"/>
      <c r="F232" s="123"/>
      <c r="G232" s="123"/>
      <c r="H232" s="123"/>
      <c r="I232" s="123"/>
      <c r="J232" s="126"/>
      <c r="K232" s="123"/>
      <c r="L232" s="123"/>
      <c r="M232" s="123"/>
      <c r="N232" s="123"/>
      <c r="O232" s="123"/>
      <c r="P232" s="397"/>
      <c r="Q232" s="397"/>
      <c r="R232" s="397"/>
      <c r="S232" s="397"/>
      <c r="T232" s="397"/>
      <c r="U232" s="397"/>
      <c r="V232" s="123"/>
      <c r="W232" s="123"/>
      <c r="X232" s="123"/>
      <c r="BE232" s="257"/>
      <c r="BF232" s="257"/>
      <c r="BG232" s="257"/>
      <c r="BH232" s="257"/>
      <c r="CQ232" s="397"/>
      <c r="CR232" s="397"/>
      <c r="CS232" s="397"/>
      <c r="CT232" s="397"/>
      <c r="CU232" s="397"/>
      <c r="CV232" s="397"/>
      <c r="CW232" s="397"/>
      <c r="CX232" s="397"/>
      <c r="CY232" s="397"/>
      <c r="CZ232" s="397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</row>
    <row r="233" spans="1:124" s="300" customFormat="1" ht="12.75" customHeigh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397"/>
      <c r="Q233" s="397"/>
      <c r="R233" s="397"/>
      <c r="S233" s="397"/>
      <c r="T233" s="397"/>
      <c r="U233" s="397"/>
      <c r="V233" s="123"/>
      <c r="W233" s="123"/>
      <c r="X233" s="123"/>
      <c r="BE233" s="257"/>
      <c r="BF233" s="257"/>
      <c r="BG233" s="257"/>
      <c r="BH233" s="257"/>
      <c r="CQ233" s="397"/>
      <c r="CR233" s="397"/>
      <c r="CS233" s="397"/>
      <c r="CT233" s="397"/>
      <c r="CU233" s="397"/>
      <c r="CV233" s="397"/>
      <c r="CW233" s="397"/>
      <c r="CX233" s="397"/>
      <c r="CY233" s="397"/>
      <c r="CZ233" s="397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</row>
    <row r="234" spans="1:124" s="300" customFormat="1" ht="12.75" customHeight="1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397"/>
      <c r="Q234" s="397"/>
      <c r="R234" s="397"/>
      <c r="S234" s="397"/>
      <c r="T234" s="397"/>
      <c r="U234" s="397"/>
      <c r="V234" s="123"/>
      <c r="W234" s="123"/>
      <c r="X234" s="123"/>
      <c r="BE234" s="257"/>
      <c r="BF234" s="257"/>
      <c r="BG234" s="257"/>
      <c r="BH234" s="257"/>
      <c r="CQ234" s="397"/>
      <c r="CR234" s="397"/>
      <c r="CS234" s="397"/>
      <c r="CT234" s="397"/>
      <c r="CU234" s="397"/>
      <c r="CV234" s="397"/>
      <c r="CW234" s="397"/>
      <c r="CX234" s="397"/>
      <c r="CY234" s="397"/>
      <c r="CZ234" s="397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</row>
    <row r="235" spans="1:124" s="300" customFormat="1" ht="12.75" customHeight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397"/>
      <c r="Q235" s="397"/>
      <c r="R235" s="397"/>
      <c r="S235" s="397"/>
      <c r="T235" s="397"/>
      <c r="U235" s="397"/>
      <c r="V235" s="123"/>
      <c r="W235" s="123"/>
      <c r="X235" s="123"/>
      <c r="BE235" s="257"/>
      <c r="BF235" s="257"/>
      <c r="BG235" s="257"/>
      <c r="BH235" s="257"/>
      <c r="CQ235" s="397"/>
      <c r="CR235" s="397"/>
      <c r="CS235" s="397"/>
      <c r="CT235" s="397"/>
      <c r="CU235" s="397"/>
      <c r="CV235" s="397"/>
      <c r="CW235" s="397"/>
      <c r="CX235" s="397"/>
      <c r="CY235" s="397"/>
      <c r="CZ235" s="397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</row>
    <row r="236" spans="1:124" s="300" customFormat="1" ht="12.75" customHeight="1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397"/>
      <c r="Q236" s="397"/>
      <c r="R236" s="397"/>
      <c r="S236" s="397"/>
      <c r="T236" s="397"/>
      <c r="U236" s="397"/>
      <c r="V236" s="123"/>
      <c r="W236" s="123"/>
      <c r="X236" s="123"/>
      <c r="BE236" s="257"/>
      <c r="BF236" s="257"/>
      <c r="BG236" s="257"/>
      <c r="BH236" s="257"/>
      <c r="CQ236" s="397"/>
      <c r="CR236" s="397"/>
      <c r="CS236" s="397"/>
      <c r="CT236" s="397"/>
      <c r="CU236" s="397"/>
      <c r="CV236" s="397"/>
      <c r="CW236" s="397"/>
      <c r="CX236" s="397"/>
      <c r="CY236" s="397"/>
      <c r="CZ236" s="397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</row>
    <row r="237" spans="1:124" s="300" customFormat="1" ht="12.75" customHeight="1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397"/>
      <c r="Q237" s="397"/>
      <c r="R237" s="397"/>
      <c r="S237" s="397"/>
      <c r="T237" s="397"/>
      <c r="U237" s="397"/>
      <c r="V237" s="123"/>
      <c r="W237" s="123"/>
      <c r="X237" s="123"/>
      <c r="BE237" s="257"/>
      <c r="BF237" s="257"/>
      <c r="BG237" s="257"/>
      <c r="BH237" s="257"/>
      <c r="CQ237" s="397"/>
      <c r="CR237" s="397"/>
      <c r="CS237" s="397"/>
      <c r="CT237" s="397"/>
      <c r="CU237" s="397"/>
      <c r="CV237" s="397"/>
      <c r="CW237" s="397"/>
      <c r="CX237" s="397"/>
      <c r="CY237" s="397"/>
      <c r="CZ237" s="39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</row>
    <row r="238" spans="1:124" s="300" customFormat="1" ht="12.75" customHeight="1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397"/>
      <c r="Q238" s="397"/>
      <c r="R238" s="397"/>
      <c r="S238" s="397"/>
      <c r="T238" s="397"/>
      <c r="U238" s="397"/>
      <c r="V238" s="123"/>
      <c r="W238" s="123"/>
      <c r="X238" s="123"/>
      <c r="BE238" s="257"/>
      <c r="BF238" s="257"/>
      <c r="BG238" s="257"/>
      <c r="BH238" s="257"/>
      <c r="CQ238" s="397"/>
      <c r="CR238" s="397"/>
      <c r="CS238" s="397"/>
      <c r="CT238" s="397"/>
      <c r="CU238" s="397"/>
      <c r="CV238" s="397"/>
      <c r="CW238" s="397"/>
      <c r="CX238" s="397"/>
      <c r="CY238" s="397"/>
      <c r="CZ238" s="397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</row>
    <row r="239" spans="1:124" s="300" customFormat="1" ht="12.75" customHeight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397"/>
      <c r="Q239" s="397"/>
      <c r="R239" s="397"/>
      <c r="S239" s="397"/>
      <c r="T239" s="397"/>
      <c r="U239" s="397"/>
      <c r="V239" s="123"/>
      <c r="W239" s="123"/>
      <c r="X239" s="123"/>
      <c r="BE239" s="257"/>
      <c r="BF239" s="257"/>
      <c r="BG239" s="257"/>
      <c r="BH239" s="257"/>
      <c r="CQ239" s="397"/>
      <c r="CR239" s="397"/>
      <c r="CS239" s="397"/>
      <c r="CT239" s="397"/>
      <c r="CU239" s="397"/>
      <c r="CV239" s="397"/>
      <c r="CW239" s="397"/>
      <c r="CX239" s="397"/>
      <c r="CY239" s="397"/>
      <c r="CZ239" s="397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</row>
    <row r="240" spans="1:124" s="300" customFormat="1" ht="12.75" customHeight="1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397"/>
      <c r="Q240" s="397"/>
      <c r="R240" s="397"/>
      <c r="S240" s="397"/>
      <c r="T240" s="397"/>
      <c r="U240" s="397"/>
      <c r="V240" s="123"/>
      <c r="W240" s="123"/>
      <c r="X240" s="123"/>
      <c r="BE240" s="257"/>
      <c r="BF240" s="257"/>
      <c r="BG240" s="257"/>
      <c r="BH240" s="257"/>
      <c r="CQ240" s="397"/>
      <c r="CR240" s="397"/>
      <c r="CS240" s="397"/>
      <c r="CT240" s="397"/>
      <c r="CU240" s="397"/>
      <c r="CV240" s="397"/>
      <c r="CW240" s="397"/>
      <c r="CX240" s="397"/>
      <c r="CY240" s="397"/>
      <c r="CZ240" s="397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</row>
    <row r="241" spans="1:124" s="300" customFormat="1" ht="12.75" customHeigh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397"/>
      <c r="Q241" s="397"/>
      <c r="R241" s="397"/>
      <c r="S241" s="397"/>
      <c r="T241" s="397"/>
      <c r="U241" s="397"/>
      <c r="V241" s="123"/>
      <c r="W241" s="123"/>
      <c r="X241" s="123"/>
      <c r="BE241" s="257"/>
      <c r="BF241" s="257"/>
      <c r="BG241" s="257"/>
      <c r="BH241" s="257"/>
      <c r="CQ241" s="397"/>
      <c r="CR241" s="397"/>
      <c r="CS241" s="397"/>
      <c r="CT241" s="397"/>
      <c r="CU241" s="397"/>
      <c r="CV241" s="397"/>
      <c r="CW241" s="397"/>
      <c r="CX241" s="397"/>
      <c r="CY241" s="397"/>
      <c r="CZ241" s="397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</row>
    <row r="242" spans="1:124" s="300" customFormat="1" ht="12.75" customHeight="1"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397"/>
      <c r="Q242" s="397"/>
      <c r="R242" s="397"/>
      <c r="S242" s="397"/>
      <c r="T242" s="397"/>
      <c r="U242" s="397"/>
      <c r="V242" s="123"/>
      <c r="W242" s="123"/>
      <c r="X242" s="123"/>
      <c r="BE242" s="257"/>
      <c r="BF242" s="257"/>
      <c r="BG242" s="257"/>
      <c r="BH242" s="257"/>
      <c r="CQ242" s="397"/>
      <c r="CR242" s="397"/>
      <c r="CS242" s="397"/>
      <c r="CT242" s="397"/>
      <c r="CU242" s="397"/>
      <c r="CV242" s="397"/>
      <c r="CW242" s="397"/>
      <c r="CX242" s="397"/>
      <c r="CY242" s="397"/>
      <c r="CZ242" s="397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</row>
    <row r="243" spans="1:124" s="300" customFormat="1" ht="12.75" customHeight="1"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397"/>
      <c r="Q243" s="397"/>
      <c r="R243" s="397"/>
      <c r="S243" s="397"/>
      <c r="T243" s="397"/>
      <c r="U243" s="397"/>
      <c r="V243" s="123"/>
      <c r="W243" s="123"/>
      <c r="X243" s="123"/>
      <c r="BE243" s="257"/>
      <c r="BF243" s="257"/>
      <c r="BG243" s="257"/>
      <c r="BH243" s="257"/>
      <c r="CQ243" s="397"/>
      <c r="CR243" s="397"/>
      <c r="CS243" s="397"/>
      <c r="CT243" s="397"/>
      <c r="CU243" s="397"/>
      <c r="CV243" s="397"/>
      <c r="CW243" s="397"/>
      <c r="CX243" s="397"/>
      <c r="CY243" s="397"/>
      <c r="CZ243" s="397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</row>
    <row r="244" spans="1:124" s="300" customFormat="1" ht="12.75" customHeight="1"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397"/>
      <c r="Q244" s="397"/>
      <c r="R244" s="397"/>
      <c r="S244" s="397"/>
      <c r="T244" s="397"/>
      <c r="U244" s="397"/>
      <c r="V244" s="123"/>
      <c r="W244" s="123"/>
      <c r="X244" s="123"/>
      <c r="BE244" s="257"/>
      <c r="BF244" s="257"/>
      <c r="BG244" s="257"/>
      <c r="BH244" s="257"/>
      <c r="CQ244" s="397"/>
      <c r="CR244" s="397"/>
      <c r="CS244" s="397"/>
      <c r="CT244" s="397"/>
      <c r="CU244" s="397"/>
      <c r="CV244" s="397"/>
      <c r="CW244" s="397"/>
      <c r="CX244" s="397"/>
      <c r="CY244" s="397"/>
      <c r="CZ244" s="397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</row>
    <row r="245" spans="1:124" s="300" customFormat="1" ht="12.75" customHeight="1">
      <c r="B245" s="123"/>
      <c r="C245" s="123"/>
      <c r="D245" s="123"/>
      <c r="E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397"/>
      <c r="Q245" s="397"/>
      <c r="R245" s="397"/>
      <c r="S245" s="397"/>
      <c r="T245" s="397"/>
      <c r="U245" s="397"/>
      <c r="V245" s="123"/>
      <c r="W245" s="123"/>
      <c r="X245" s="123"/>
      <c r="BE245" s="257"/>
      <c r="BF245" s="257"/>
      <c r="BG245" s="257"/>
      <c r="BH245" s="257"/>
      <c r="CQ245" s="397"/>
      <c r="CR245" s="397"/>
      <c r="CS245" s="397"/>
      <c r="CT245" s="397"/>
      <c r="CU245" s="397"/>
      <c r="CV245" s="397"/>
      <c r="CW245" s="397"/>
      <c r="CX245" s="397"/>
      <c r="CY245" s="397"/>
      <c r="CZ245" s="397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</row>
    <row r="246" spans="1:124" s="300" customFormat="1" ht="12.75" customHeight="1">
      <c r="B246" s="123"/>
      <c r="C246" s="123"/>
      <c r="D246" s="123"/>
      <c r="E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397"/>
      <c r="Q246" s="397"/>
      <c r="R246" s="397"/>
      <c r="S246" s="397"/>
      <c r="T246" s="397"/>
      <c r="U246" s="397"/>
      <c r="V246" s="123"/>
      <c r="W246" s="123"/>
      <c r="X246" s="123"/>
      <c r="BE246" s="257"/>
      <c r="BF246" s="257"/>
      <c r="BG246" s="257"/>
      <c r="BH246" s="257"/>
      <c r="CQ246" s="397"/>
      <c r="CR246" s="397"/>
      <c r="CS246" s="397"/>
      <c r="CT246" s="397"/>
      <c r="CU246" s="397"/>
      <c r="CV246" s="397"/>
      <c r="CW246" s="397"/>
      <c r="CX246" s="397"/>
      <c r="CY246" s="397"/>
      <c r="CZ246" s="397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</row>
    <row r="247" spans="1:124" s="300" customFormat="1" ht="12.75" customHeight="1">
      <c r="B247" s="123"/>
      <c r="C247" s="123"/>
      <c r="D247" s="123"/>
      <c r="E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397"/>
      <c r="Q247" s="397"/>
      <c r="R247" s="397"/>
      <c r="S247" s="397"/>
      <c r="T247" s="397"/>
      <c r="U247" s="397"/>
      <c r="V247" s="123"/>
      <c r="W247" s="123"/>
      <c r="X247" s="123"/>
      <c r="BE247" s="257"/>
      <c r="BF247" s="257"/>
      <c r="BG247" s="257"/>
      <c r="BH247" s="257"/>
      <c r="CQ247" s="397"/>
      <c r="CR247" s="397"/>
      <c r="CS247" s="397"/>
      <c r="CT247" s="397"/>
      <c r="CU247" s="397"/>
      <c r="CV247" s="397"/>
      <c r="CW247" s="397"/>
      <c r="CX247" s="397"/>
      <c r="CY247" s="397"/>
      <c r="CZ247" s="39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</row>
    <row r="248" spans="1:124" s="300" customFormat="1" ht="12.75" customHeight="1">
      <c r="B248" s="123"/>
      <c r="C248" s="123"/>
      <c r="D248" s="123"/>
      <c r="E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397"/>
      <c r="Q248" s="397"/>
      <c r="R248" s="397"/>
      <c r="S248" s="397"/>
      <c r="T248" s="397"/>
      <c r="U248" s="397"/>
      <c r="V248" s="123"/>
      <c r="W248" s="123"/>
      <c r="X248" s="123"/>
      <c r="BE248" s="257"/>
      <c r="BF248" s="257"/>
      <c r="BG248" s="257"/>
      <c r="BH248" s="257"/>
      <c r="CQ248" s="397"/>
      <c r="CR248" s="397"/>
      <c r="CS248" s="397"/>
      <c r="CT248" s="397"/>
      <c r="CU248" s="397"/>
      <c r="CV248" s="397"/>
      <c r="CW248" s="397"/>
      <c r="CX248" s="397"/>
      <c r="CY248" s="397"/>
      <c r="CZ248" s="397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</row>
    <row r="249" spans="1:124" s="300" customFormat="1" ht="12.75" customHeight="1">
      <c r="B249" s="123"/>
      <c r="C249" s="123"/>
      <c r="D249" s="123"/>
      <c r="E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397"/>
      <c r="Q249" s="397"/>
      <c r="R249" s="397"/>
      <c r="S249" s="397"/>
      <c r="T249" s="397"/>
      <c r="U249" s="397"/>
      <c r="V249" s="123"/>
      <c r="W249" s="123"/>
      <c r="X249" s="123"/>
      <c r="BE249" s="257"/>
      <c r="BF249" s="257"/>
      <c r="BG249" s="257"/>
      <c r="BH249" s="257"/>
      <c r="CQ249" s="397"/>
      <c r="CR249" s="397"/>
      <c r="CS249" s="397"/>
      <c r="CT249" s="397"/>
      <c r="CU249" s="397"/>
      <c r="CV249" s="397"/>
      <c r="CW249" s="397"/>
      <c r="CX249" s="397"/>
      <c r="CY249" s="397"/>
      <c r="CZ249" s="397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</row>
    <row r="250" spans="1:124" s="300" customFormat="1" ht="12.75" customHeight="1">
      <c r="B250" s="123"/>
      <c r="C250" s="123"/>
      <c r="D250" s="123"/>
      <c r="E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397"/>
      <c r="Q250" s="397"/>
      <c r="R250" s="397"/>
      <c r="S250" s="397"/>
      <c r="T250" s="397"/>
      <c r="U250" s="397"/>
      <c r="V250" s="123"/>
      <c r="W250" s="123"/>
      <c r="X250" s="123"/>
      <c r="BE250" s="257"/>
      <c r="BF250" s="257"/>
      <c r="BG250" s="257"/>
      <c r="BH250" s="257"/>
      <c r="CQ250" s="397"/>
      <c r="CR250" s="397"/>
      <c r="CS250" s="397"/>
      <c r="CT250" s="397"/>
      <c r="CU250" s="397"/>
      <c r="CV250" s="397"/>
      <c r="CW250" s="397"/>
      <c r="CX250" s="397"/>
      <c r="CY250" s="397"/>
      <c r="CZ250" s="397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</row>
    <row r="251" spans="1:124" s="300" customFormat="1" ht="12.75" customHeight="1">
      <c r="B251" s="123"/>
      <c r="C251" s="123"/>
      <c r="D251" s="123"/>
      <c r="E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397"/>
      <c r="Q251" s="397"/>
      <c r="R251" s="397"/>
      <c r="S251" s="397"/>
      <c r="T251" s="397"/>
      <c r="U251" s="397"/>
      <c r="V251" s="123"/>
      <c r="W251" s="123"/>
      <c r="X251" s="123"/>
      <c r="BE251" s="257"/>
      <c r="BF251" s="257"/>
      <c r="BG251" s="257"/>
      <c r="BH251" s="257"/>
      <c r="CQ251" s="397"/>
      <c r="CR251" s="397"/>
      <c r="CS251" s="397"/>
      <c r="CT251" s="397"/>
      <c r="CU251" s="397"/>
      <c r="CV251" s="397"/>
      <c r="CW251" s="397"/>
      <c r="CX251" s="397"/>
      <c r="CY251" s="397"/>
      <c r="CZ251" s="397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</row>
    <row r="252" spans="1:124" s="300" customFormat="1" ht="12.75" customHeight="1">
      <c r="B252" s="123"/>
      <c r="C252" s="123"/>
      <c r="D252" s="123"/>
      <c r="E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397"/>
      <c r="Q252" s="397"/>
      <c r="R252" s="397"/>
      <c r="S252" s="397"/>
      <c r="T252" s="397"/>
      <c r="U252" s="397"/>
      <c r="V252" s="123"/>
      <c r="W252" s="123"/>
      <c r="X252" s="123"/>
      <c r="BE252" s="257"/>
      <c r="BF252" s="257"/>
      <c r="BG252" s="257"/>
      <c r="BH252" s="257"/>
      <c r="CQ252" s="397"/>
      <c r="CR252" s="397"/>
      <c r="CS252" s="397"/>
      <c r="CT252" s="397"/>
      <c r="CU252" s="397"/>
      <c r="CV252" s="397"/>
      <c r="CW252" s="397"/>
      <c r="CX252" s="397"/>
      <c r="CY252" s="397"/>
      <c r="CZ252" s="397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</row>
    <row r="253" spans="1:124" s="300" customFormat="1" ht="12.75" customHeight="1">
      <c r="B253" s="123"/>
      <c r="C253" s="123"/>
      <c r="D253" s="123"/>
      <c r="E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397"/>
      <c r="Q253" s="397"/>
      <c r="R253" s="397"/>
      <c r="S253" s="397"/>
      <c r="T253" s="397"/>
      <c r="U253" s="397"/>
      <c r="V253" s="123"/>
      <c r="W253" s="123"/>
      <c r="X253" s="123"/>
      <c r="BE253" s="257"/>
      <c r="BF253" s="257"/>
      <c r="BG253" s="257"/>
      <c r="BH253" s="257"/>
      <c r="CQ253" s="397"/>
      <c r="CR253" s="397"/>
      <c r="CS253" s="397"/>
      <c r="CT253" s="397"/>
      <c r="CU253" s="397"/>
      <c r="CV253" s="397"/>
      <c r="CW253" s="397"/>
      <c r="CX253" s="397"/>
      <c r="CY253" s="397"/>
      <c r="CZ253" s="397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</row>
    <row r="254" spans="1:124" s="300" customFormat="1" ht="12.75" customHeight="1">
      <c r="B254" s="123"/>
      <c r="C254" s="123"/>
      <c r="D254" s="123"/>
      <c r="E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397"/>
      <c r="Q254" s="397"/>
      <c r="R254" s="397"/>
      <c r="S254" s="397"/>
      <c r="T254" s="397"/>
      <c r="U254" s="397"/>
      <c r="V254" s="123"/>
      <c r="W254" s="123"/>
      <c r="X254" s="123"/>
      <c r="BE254" s="257"/>
      <c r="BF254" s="257"/>
      <c r="BG254" s="257"/>
      <c r="BH254" s="257"/>
      <c r="CQ254" s="397"/>
      <c r="CR254" s="397"/>
      <c r="CS254" s="397"/>
      <c r="CT254" s="397"/>
      <c r="CU254" s="397"/>
      <c r="CV254" s="397"/>
      <c r="CW254" s="397"/>
      <c r="CX254" s="397"/>
      <c r="CY254" s="397"/>
      <c r="CZ254" s="397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</row>
    <row r="255" spans="1:124" s="300" customFormat="1" ht="12.75" customHeight="1">
      <c r="B255" s="123"/>
      <c r="C255" s="123"/>
      <c r="D255" s="123"/>
      <c r="E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397"/>
      <c r="Q255" s="397"/>
      <c r="R255" s="397"/>
      <c r="S255" s="397"/>
      <c r="T255" s="397"/>
      <c r="U255" s="397"/>
      <c r="V255" s="123"/>
      <c r="W255" s="123"/>
      <c r="X255" s="123"/>
      <c r="BE255" s="257"/>
      <c r="BF255" s="257"/>
      <c r="BG255" s="257"/>
      <c r="BH255" s="257"/>
      <c r="CQ255" s="397"/>
      <c r="CR255" s="397"/>
      <c r="CS255" s="397"/>
      <c r="CT255" s="397"/>
      <c r="CU255" s="397"/>
      <c r="CV255" s="397"/>
      <c r="CW255" s="397"/>
      <c r="CX255" s="397"/>
      <c r="CY255" s="397"/>
      <c r="CZ255" s="397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</row>
    <row r="256" spans="1:124" s="300" customFormat="1" ht="12.75" customHeight="1">
      <c r="B256" s="123"/>
      <c r="C256" s="123"/>
      <c r="D256" s="123"/>
      <c r="E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397"/>
      <c r="Q256" s="397"/>
      <c r="R256" s="397"/>
      <c r="S256" s="397"/>
      <c r="T256" s="397"/>
      <c r="U256" s="397"/>
      <c r="V256" s="123"/>
      <c r="W256" s="123"/>
      <c r="X256" s="123"/>
      <c r="BE256" s="257"/>
      <c r="BF256" s="257"/>
      <c r="BG256" s="257"/>
      <c r="BH256" s="257"/>
      <c r="CQ256" s="397"/>
      <c r="CR256" s="397"/>
      <c r="CS256" s="397"/>
      <c r="CT256" s="397"/>
      <c r="CU256" s="397"/>
      <c r="CV256" s="397"/>
      <c r="CW256" s="397"/>
      <c r="CX256" s="397"/>
      <c r="CY256" s="397"/>
      <c r="CZ256" s="397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</row>
    <row r="257" spans="1:124" s="300" customFormat="1" ht="12.75" customHeight="1">
      <c r="B257" s="123"/>
      <c r="C257" s="123"/>
      <c r="D257" s="123"/>
      <c r="E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397"/>
      <c r="Q257" s="397"/>
      <c r="R257" s="397"/>
      <c r="S257" s="397"/>
      <c r="T257" s="397"/>
      <c r="U257" s="397"/>
      <c r="V257" s="123"/>
      <c r="W257" s="123"/>
      <c r="X257" s="123"/>
      <c r="BE257" s="257"/>
      <c r="BF257" s="257"/>
      <c r="BG257" s="257"/>
      <c r="BH257" s="257"/>
      <c r="CQ257" s="397"/>
      <c r="CR257" s="397"/>
      <c r="CS257" s="397"/>
      <c r="CT257" s="397"/>
      <c r="CU257" s="397"/>
      <c r="CV257" s="397"/>
      <c r="CW257" s="397"/>
      <c r="CX257" s="397"/>
      <c r="CY257" s="397"/>
      <c r="CZ257" s="39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</row>
    <row r="258" spans="1:124" s="300" customFormat="1" ht="12.75" customHeight="1">
      <c r="B258" s="123"/>
      <c r="C258" s="123"/>
      <c r="D258" s="123"/>
      <c r="E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397"/>
      <c r="Q258" s="397"/>
      <c r="R258" s="397"/>
      <c r="S258" s="397"/>
      <c r="T258" s="397"/>
      <c r="U258" s="397"/>
      <c r="V258" s="123"/>
      <c r="W258" s="123"/>
      <c r="X258" s="123"/>
      <c r="BE258" s="257"/>
      <c r="BF258" s="257"/>
      <c r="BG258" s="257"/>
      <c r="BH258" s="257"/>
      <c r="CQ258" s="397"/>
      <c r="CR258" s="397"/>
      <c r="CS258" s="397"/>
      <c r="CT258" s="397"/>
      <c r="CU258" s="397"/>
      <c r="CV258" s="397"/>
      <c r="CW258" s="397"/>
      <c r="CX258" s="397"/>
      <c r="CY258" s="397"/>
      <c r="CZ258" s="397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</row>
    <row r="259" spans="1:124" s="300" customFormat="1" ht="12.75" customHeight="1">
      <c r="B259" s="123"/>
      <c r="C259" s="123"/>
      <c r="D259" s="123"/>
      <c r="E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397"/>
      <c r="Q259" s="397"/>
      <c r="R259" s="397"/>
      <c r="S259" s="397"/>
      <c r="T259" s="397"/>
      <c r="U259" s="397"/>
      <c r="V259" s="123"/>
      <c r="W259" s="123"/>
      <c r="X259" s="123"/>
      <c r="BE259" s="257"/>
      <c r="BF259" s="257"/>
      <c r="BG259" s="257"/>
      <c r="BH259" s="257"/>
      <c r="CQ259" s="397"/>
      <c r="CR259" s="397"/>
      <c r="CS259" s="397"/>
      <c r="CT259" s="397"/>
      <c r="CU259" s="397"/>
      <c r="CV259" s="397"/>
      <c r="CW259" s="397"/>
      <c r="CX259" s="397"/>
      <c r="CY259" s="397"/>
      <c r="CZ259" s="397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</row>
    <row r="260" spans="1:124" s="300" customFormat="1" ht="12.75" customHeight="1">
      <c r="B260" s="123"/>
      <c r="C260" s="123"/>
      <c r="D260" s="123"/>
      <c r="E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397"/>
      <c r="Q260" s="397"/>
      <c r="R260" s="397"/>
      <c r="S260" s="397"/>
      <c r="T260" s="397"/>
      <c r="U260" s="397"/>
      <c r="V260" s="123"/>
      <c r="W260" s="123"/>
      <c r="X260" s="123"/>
      <c r="BE260" s="257"/>
      <c r="BF260" s="257"/>
      <c r="BG260" s="257"/>
      <c r="BH260" s="257"/>
      <c r="CQ260" s="397"/>
      <c r="CR260" s="397"/>
      <c r="CS260" s="397"/>
      <c r="CT260" s="397"/>
      <c r="CU260" s="397"/>
      <c r="CV260" s="397"/>
      <c r="CW260" s="397"/>
      <c r="CX260" s="397"/>
      <c r="CY260" s="397"/>
      <c r="CZ260" s="397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</row>
    <row r="261" spans="1:124" s="300" customFormat="1" ht="12.75" customHeight="1">
      <c r="B261" s="123"/>
      <c r="C261" s="123"/>
      <c r="D261" s="123"/>
      <c r="E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397"/>
      <c r="Q261" s="397"/>
      <c r="R261" s="397"/>
      <c r="S261" s="397"/>
      <c r="T261" s="397"/>
      <c r="U261" s="397"/>
      <c r="V261" s="123"/>
      <c r="W261" s="123"/>
      <c r="X261" s="123"/>
      <c r="BE261" s="257"/>
      <c r="BF261" s="257"/>
      <c r="BG261" s="257"/>
      <c r="BH261" s="257"/>
      <c r="CQ261" s="397"/>
      <c r="CR261" s="397"/>
      <c r="CS261" s="397"/>
      <c r="CT261" s="397"/>
      <c r="CU261" s="397"/>
      <c r="CV261" s="397"/>
      <c r="CW261" s="397"/>
      <c r="CX261" s="397"/>
      <c r="CY261" s="397"/>
      <c r="CZ261" s="397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</row>
    <row r="262" spans="1:124" s="300" customFormat="1" ht="12.75" customHeight="1">
      <c r="B262" s="123"/>
      <c r="C262" s="123"/>
      <c r="D262" s="123"/>
      <c r="E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397"/>
      <c r="Q262" s="397"/>
      <c r="R262" s="397"/>
      <c r="S262" s="397"/>
      <c r="T262" s="397"/>
      <c r="U262" s="397"/>
      <c r="V262" s="123"/>
      <c r="W262" s="123"/>
      <c r="X262" s="123"/>
      <c r="BE262" s="257"/>
      <c r="BF262" s="257"/>
      <c r="BG262" s="257"/>
      <c r="BH262" s="257"/>
      <c r="CQ262" s="397"/>
      <c r="CR262" s="397"/>
      <c r="CS262" s="397"/>
      <c r="CT262" s="397"/>
      <c r="CU262" s="397"/>
      <c r="CV262" s="397"/>
      <c r="CW262" s="397"/>
      <c r="CX262" s="397"/>
      <c r="CY262" s="397"/>
      <c r="CZ262" s="397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</row>
    <row r="263" spans="1:124" s="300" customFormat="1" ht="12.75" customHeight="1">
      <c r="B263" s="123"/>
      <c r="C263" s="123"/>
      <c r="D263" s="123"/>
      <c r="E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397"/>
      <c r="Q263" s="397"/>
      <c r="R263" s="397"/>
      <c r="S263" s="397"/>
      <c r="T263" s="397"/>
      <c r="U263" s="397"/>
      <c r="V263" s="123"/>
      <c r="W263" s="123"/>
      <c r="X263" s="123"/>
      <c r="BE263" s="257"/>
      <c r="BF263" s="257"/>
      <c r="BG263" s="257"/>
      <c r="BH263" s="257"/>
      <c r="CQ263" s="397"/>
      <c r="CR263" s="397"/>
      <c r="CS263" s="397"/>
      <c r="CT263" s="397"/>
      <c r="CU263" s="397"/>
      <c r="CV263" s="397"/>
      <c r="CW263" s="397"/>
      <c r="CX263" s="397"/>
      <c r="CY263" s="397"/>
      <c r="CZ263" s="397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</row>
    <row r="264" spans="1:124" s="300" customFormat="1" ht="12.75" customHeight="1">
      <c r="B264" s="123"/>
      <c r="C264" s="123"/>
      <c r="D264" s="123"/>
      <c r="E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397"/>
      <c r="Q264" s="397"/>
      <c r="R264" s="397"/>
      <c r="S264" s="397"/>
      <c r="T264" s="397"/>
      <c r="U264" s="397"/>
      <c r="V264" s="123"/>
      <c r="W264" s="123"/>
      <c r="X264" s="123"/>
      <c r="BE264" s="257"/>
      <c r="BF264" s="257"/>
      <c r="BG264" s="257"/>
      <c r="BH264" s="257"/>
      <c r="CQ264" s="397"/>
      <c r="CR264" s="397"/>
      <c r="CS264" s="397"/>
      <c r="CT264" s="397"/>
      <c r="CU264" s="397"/>
      <c r="CV264" s="397"/>
      <c r="CW264" s="397"/>
      <c r="CX264" s="397"/>
      <c r="CY264" s="397"/>
      <c r="CZ264" s="397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</row>
    <row r="265" spans="1:124" s="300" customFormat="1" ht="12.75" customHeight="1">
      <c r="B265" s="123"/>
      <c r="C265" s="123"/>
      <c r="D265" s="123"/>
      <c r="E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397"/>
      <c r="Q265" s="397"/>
      <c r="R265" s="397"/>
      <c r="S265" s="397"/>
      <c r="T265" s="397"/>
      <c r="U265" s="397"/>
      <c r="V265" s="123"/>
      <c r="W265" s="123"/>
      <c r="X265" s="123"/>
      <c r="BE265" s="257"/>
      <c r="BF265" s="257"/>
      <c r="BG265" s="257"/>
      <c r="BH265" s="257"/>
      <c r="CQ265" s="397"/>
      <c r="CR265" s="397"/>
      <c r="CS265" s="397"/>
      <c r="CT265" s="397"/>
      <c r="CU265" s="397"/>
      <c r="CV265" s="397"/>
      <c r="CW265" s="397"/>
      <c r="CX265" s="397"/>
      <c r="CY265" s="397"/>
      <c r="CZ265" s="397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</row>
    <row r="266" spans="1:124" s="300" customFormat="1" ht="12.75" customHeight="1">
      <c r="B266" s="123"/>
      <c r="C266" s="123"/>
      <c r="D266" s="123"/>
      <c r="E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397"/>
      <c r="Q266" s="397"/>
      <c r="R266" s="397"/>
      <c r="S266" s="397"/>
      <c r="T266" s="397"/>
      <c r="U266" s="397"/>
      <c r="V266" s="123"/>
      <c r="W266" s="123"/>
      <c r="X266" s="123"/>
      <c r="BE266" s="257"/>
      <c r="BF266" s="257"/>
      <c r="BG266" s="257"/>
      <c r="BH266" s="257"/>
      <c r="CQ266" s="397"/>
      <c r="CR266" s="397"/>
      <c r="CS266" s="397"/>
      <c r="CT266" s="397"/>
      <c r="CU266" s="397"/>
      <c r="CV266" s="397"/>
      <c r="CW266" s="397"/>
      <c r="CX266" s="397"/>
      <c r="CY266" s="397"/>
      <c r="CZ266" s="397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</row>
    <row r="267" spans="1:124" s="300" customFormat="1" ht="12.75" customHeight="1">
      <c r="B267" s="123"/>
      <c r="C267" s="123"/>
      <c r="D267" s="123"/>
      <c r="E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397"/>
      <c r="Q267" s="397"/>
      <c r="R267" s="397"/>
      <c r="S267" s="397"/>
      <c r="T267" s="397"/>
      <c r="U267" s="397"/>
      <c r="V267" s="123"/>
      <c r="W267" s="123"/>
      <c r="X267" s="123"/>
      <c r="BE267" s="257"/>
      <c r="BF267" s="257"/>
      <c r="BG267" s="257"/>
      <c r="BH267" s="257"/>
      <c r="CQ267" s="397"/>
      <c r="CR267" s="397"/>
      <c r="CS267" s="397"/>
      <c r="CT267" s="397"/>
      <c r="CU267" s="397"/>
      <c r="CV267" s="397"/>
      <c r="CW267" s="397"/>
      <c r="CX267" s="397"/>
      <c r="CY267" s="397"/>
      <c r="CZ267" s="39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</row>
    <row r="268" spans="1:124" s="300" customFormat="1" ht="12.75" customHeight="1">
      <c r="B268" s="123"/>
      <c r="C268" s="123"/>
      <c r="D268" s="123"/>
      <c r="E268" s="123"/>
      <c r="L268" s="123"/>
      <c r="M268" s="123"/>
      <c r="N268" s="123"/>
      <c r="O268" s="123"/>
      <c r="P268" s="397"/>
      <c r="Q268" s="397"/>
      <c r="R268" s="397"/>
      <c r="S268" s="397"/>
      <c r="T268" s="397"/>
      <c r="U268" s="397"/>
      <c r="V268" s="123"/>
      <c r="W268" s="123"/>
      <c r="X268" s="123"/>
      <c r="AD268" s="3"/>
      <c r="AE268" s="3"/>
      <c r="AF268" s="3"/>
      <c r="AG268" s="3"/>
      <c r="AH268" s="3"/>
      <c r="BE268" s="257"/>
      <c r="BF268" s="257"/>
      <c r="BG268" s="257"/>
      <c r="BH268" s="257"/>
      <c r="CQ268" s="397"/>
      <c r="CR268" s="397"/>
      <c r="CS268" s="397"/>
      <c r="CT268" s="397"/>
      <c r="CU268" s="397"/>
      <c r="CV268" s="397"/>
      <c r="CW268" s="397"/>
      <c r="CX268" s="397"/>
      <c r="CY268" s="397"/>
      <c r="CZ268" s="397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</row>
    <row r="269" spans="1:124" s="300" customFormat="1" ht="12.75" customHeight="1">
      <c r="B269" s="123"/>
      <c r="C269" s="123"/>
      <c r="D269" s="123"/>
      <c r="E269" s="123"/>
      <c r="L269" s="123"/>
      <c r="M269" s="123"/>
      <c r="N269" s="123"/>
      <c r="O269" s="123"/>
      <c r="P269" s="397"/>
      <c r="Q269" s="397"/>
      <c r="R269" s="397"/>
      <c r="S269" s="397"/>
      <c r="T269" s="397"/>
      <c r="U269" s="397"/>
      <c r="V269" s="123"/>
      <c r="W269" s="123"/>
      <c r="X269" s="123"/>
      <c r="AD269" s="3"/>
      <c r="AE269" s="3"/>
      <c r="AF269" s="3"/>
      <c r="AG269" s="3"/>
      <c r="AH269" s="3"/>
      <c r="BE269" s="257"/>
      <c r="BF269" s="257"/>
      <c r="BG269" s="257"/>
      <c r="BH269" s="257"/>
      <c r="CQ269" s="397"/>
      <c r="CR269" s="397"/>
      <c r="CS269" s="397"/>
      <c r="CT269" s="397"/>
      <c r="CU269" s="397"/>
      <c r="CV269" s="397"/>
      <c r="CW269" s="397"/>
      <c r="CX269" s="397"/>
      <c r="CY269" s="397"/>
      <c r="CZ269" s="397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</row>
    <row r="270" spans="1:124" s="300" customFormat="1" ht="12.75" customHeight="1">
      <c r="L270" s="123"/>
      <c r="M270" s="123"/>
      <c r="N270" s="123"/>
      <c r="O270" s="123"/>
      <c r="P270" s="397"/>
      <c r="Q270" s="397"/>
      <c r="R270" s="397"/>
      <c r="S270" s="397"/>
      <c r="T270" s="397"/>
      <c r="U270" s="397"/>
      <c r="V270" s="123"/>
      <c r="W270" s="123"/>
      <c r="X270" s="123"/>
      <c r="AD270" s="3"/>
      <c r="AE270" s="3"/>
      <c r="AF270" s="3"/>
      <c r="AG270" s="3"/>
      <c r="AH270" s="3"/>
      <c r="BE270" s="257"/>
      <c r="BF270" s="257"/>
      <c r="BG270" s="257"/>
      <c r="BH270" s="257"/>
      <c r="CQ270" s="397"/>
      <c r="CR270" s="397"/>
      <c r="CS270" s="397"/>
      <c r="CT270" s="397"/>
      <c r="CU270" s="397"/>
      <c r="CV270" s="397"/>
      <c r="CW270" s="397"/>
      <c r="CX270" s="397"/>
      <c r="CY270" s="397"/>
      <c r="CZ270" s="397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</row>
    <row r="271" spans="1:124" s="300" customFormat="1" ht="12.75" customHeight="1">
      <c r="L271" s="123"/>
      <c r="M271" s="123"/>
      <c r="N271" s="123"/>
      <c r="O271" s="123"/>
      <c r="P271" s="397"/>
      <c r="Q271" s="397"/>
      <c r="R271" s="397"/>
      <c r="S271" s="397"/>
      <c r="T271" s="397"/>
      <c r="U271" s="397"/>
      <c r="V271" s="123"/>
      <c r="W271" s="123"/>
      <c r="X271" s="123"/>
      <c r="AD271" s="3"/>
      <c r="AE271" s="3"/>
      <c r="AF271" s="3"/>
      <c r="AG271" s="3"/>
      <c r="AH271" s="3"/>
      <c r="BE271" s="257"/>
      <c r="BF271" s="257"/>
      <c r="BG271" s="257"/>
      <c r="BH271" s="257"/>
      <c r="CQ271" s="397"/>
      <c r="CR271" s="397"/>
      <c r="CS271" s="397"/>
      <c r="CT271" s="397"/>
      <c r="CU271" s="397"/>
      <c r="CV271" s="397"/>
      <c r="CW271" s="397"/>
      <c r="CX271" s="397"/>
      <c r="CY271" s="397"/>
      <c r="CZ271" s="397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</row>
    <row r="272" spans="1:124" s="300" customFormat="1" ht="12.75" customHeight="1">
      <c r="A272" s="3"/>
      <c r="L272" s="123"/>
      <c r="M272" s="123"/>
      <c r="N272" s="123"/>
      <c r="O272" s="123"/>
      <c r="P272" s="397"/>
      <c r="Q272" s="397"/>
      <c r="R272" s="397"/>
      <c r="S272" s="397"/>
      <c r="T272" s="397"/>
      <c r="U272" s="397"/>
      <c r="V272" s="123"/>
      <c r="W272" s="123"/>
      <c r="X272" s="123"/>
      <c r="AD272" s="3"/>
      <c r="AE272" s="3"/>
      <c r="AF272" s="3"/>
      <c r="AG272" s="3"/>
      <c r="AH272" s="3"/>
      <c r="BE272" s="257"/>
      <c r="BF272" s="257"/>
      <c r="BG272" s="257"/>
      <c r="BH272" s="257"/>
      <c r="CQ272" s="397"/>
      <c r="CR272" s="397"/>
      <c r="CS272" s="397"/>
      <c r="CT272" s="397"/>
      <c r="CU272" s="397"/>
      <c r="CV272" s="397"/>
      <c r="CW272" s="397"/>
      <c r="CX272" s="397"/>
      <c r="CY272" s="397"/>
      <c r="CZ272" s="397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</row>
    <row r="273" spans="1:124" s="300" customFormat="1" ht="12.75" customHeight="1">
      <c r="A273" s="3"/>
      <c r="B273" s="3"/>
      <c r="C273" s="3"/>
      <c r="D273" s="3"/>
      <c r="E273" s="3"/>
      <c r="L273" s="123"/>
      <c r="M273" s="123"/>
      <c r="N273" s="123"/>
      <c r="O273" s="123"/>
      <c r="P273" s="397"/>
      <c r="Q273" s="397"/>
      <c r="R273" s="397"/>
      <c r="S273" s="397"/>
      <c r="T273" s="397"/>
      <c r="U273" s="397"/>
      <c r="V273" s="123"/>
      <c r="W273" s="123"/>
      <c r="X273" s="123"/>
      <c r="AD273" s="3"/>
      <c r="AE273" s="3"/>
      <c r="AF273" s="3"/>
      <c r="AG273" s="3"/>
      <c r="AH273" s="3"/>
      <c r="BE273" s="257"/>
      <c r="BF273" s="257"/>
      <c r="BG273" s="257"/>
      <c r="BH273" s="257"/>
      <c r="BR273" s="3"/>
      <c r="BS273" s="3"/>
      <c r="BT273" s="3"/>
      <c r="BU273" s="3"/>
      <c r="BV273" s="3"/>
      <c r="CQ273" s="397"/>
      <c r="CR273" s="397"/>
      <c r="CS273" s="397"/>
      <c r="CT273" s="397"/>
      <c r="CU273" s="397"/>
      <c r="CV273" s="397"/>
      <c r="CW273" s="397"/>
      <c r="CX273" s="397"/>
      <c r="CY273" s="397"/>
      <c r="CZ273" s="397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</row>
    <row r="274" spans="1:124" s="300" customFormat="1" ht="12.75" customHeight="1">
      <c r="A274" s="3"/>
      <c r="B274" s="3"/>
      <c r="C274" s="3"/>
      <c r="D274" s="3"/>
      <c r="E274" s="3"/>
      <c r="L274" s="123"/>
      <c r="M274" s="123"/>
      <c r="N274" s="123"/>
      <c r="O274" s="123"/>
      <c r="P274" s="397"/>
      <c r="Q274" s="397"/>
      <c r="R274" s="397"/>
      <c r="S274" s="397"/>
      <c r="T274" s="397"/>
      <c r="U274" s="397"/>
      <c r="V274" s="123"/>
      <c r="W274" s="123"/>
      <c r="X274" s="12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BE274" s="257"/>
      <c r="BF274" s="257"/>
      <c r="BG274" s="257"/>
      <c r="BH274" s="257"/>
      <c r="BR274" s="3"/>
      <c r="BS274" s="3"/>
      <c r="BT274" s="3"/>
      <c r="BU274" s="3"/>
      <c r="BV274" s="3"/>
      <c r="CQ274" s="397"/>
      <c r="CR274" s="397"/>
      <c r="CS274" s="397"/>
      <c r="CT274" s="397"/>
      <c r="CU274" s="397"/>
      <c r="CV274"/>
      <c r="CW274" s="397"/>
      <c r="CX274" s="397"/>
      <c r="CY274" s="397"/>
      <c r="CZ274" s="397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</row>
    <row r="275" spans="1:124" ht="12.75" customHeight="1">
      <c r="L275" s="2"/>
      <c r="M275" s="2"/>
      <c r="N275" s="2"/>
      <c r="O275" s="2"/>
      <c r="U275" s="2"/>
      <c r="V275" s="2"/>
      <c r="W275" s="2"/>
      <c r="X275" s="2"/>
      <c r="CQ275" s="397"/>
      <c r="CR275" s="397"/>
      <c r="CS275" s="397"/>
      <c r="CT275" s="397"/>
      <c r="CU275" s="397"/>
      <c r="CW275" s="397"/>
      <c r="CX275" s="397"/>
      <c r="CY275" s="397"/>
      <c r="CZ275" s="397"/>
    </row>
    <row r="276" spans="1:124" ht="12.75" customHeight="1">
      <c r="L276" s="2"/>
      <c r="M276" s="2"/>
      <c r="N276" s="2"/>
      <c r="O276" s="2"/>
      <c r="U276" s="2"/>
      <c r="V276" s="2"/>
      <c r="W276" s="2"/>
      <c r="X276" s="2"/>
      <c r="CW276" s="397"/>
      <c r="CX276" s="397"/>
      <c r="CY276" s="397"/>
      <c r="CZ276" s="397"/>
    </row>
    <row r="277" spans="1:124" ht="12.75" customHeight="1">
      <c r="L277" s="2"/>
      <c r="M277" s="2"/>
      <c r="N277" s="2"/>
      <c r="O277" s="2"/>
      <c r="U277" s="2"/>
      <c r="V277" s="2"/>
      <c r="W277" s="2"/>
      <c r="X277" s="2"/>
      <c r="CW277" s="397"/>
      <c r="CX277" s="397"/>
      <c r="CY277" s="397"/>
      <c r="CZ277" s="397"/>
    </row>
    <row r="278" spans="1:124" ht="12.75" customHeight="1">
      <c r="L278" s="2"/>
      <c r="M278" s="2"/>
      <c r="N278" s="2"/>
      <c r="O278" s="2"/>
      <c r="U278" s="2"/>
      <c r="V278" s="2"/>
      <c r="W278" s="2"/>
      <c r="X278" s="2"/>
      <c r="CW278" s="397"/>
      <c r="CX278" s="397"/>
      <c r="CY278" s="397"/>
      <c r="CZ278" s="397"/>
    </row>
    <row r="279" spans="1:124" ht="12.75" customHeight="1">
      <c r="L279" s="2"/>
      <c r="M279" s="2"/>
      <c r="N279" s="2"/>
      <c r="O279" s="2"/>
      <c r="U279" s="2"/>
      <c r="V279" s="2"/>
      <c r="W279" s="2"/>
      <c r="X279" s="2"/>
    </row>
    <row r="280" spans="1:124" ht="12.75" customHeight="1">
      <c r="L280" s="2"/>
      <c r="M280" s="2"/>
      <c r="N280" s="2"/>
      <c r="O280" s="2"/>
      <c r="U280" s="2"/>
      <c r="V280" s="2"/>
      <c r="W280" s="2"/>
      <c r="X280" s="2"/>
    </row>
    <row r="281" spans="1:124" ht="12.75" customHeight="1">
      <c r="L281" s="2"/>
      <c r="M281" s="2"/>
      <c r="N281" s="2"/>
      <c r="O281" s="2"/>
      <c r="U281" s="2"/>
      <c r="V281" s="2"/>
      <c r="W281" s="2"/>
      <c r="X281" s="2"/>
    </row>
    <row r="282" spans="1:124" ht="12.75" customHeight="1">
      <c r="L282" s="2"/>
      <c r="M282" s="2"/>
      <c r="N282" s="2"/>
      <c r="O282" s="2"/>
      <c r="U282" s="2"/>
      <c r="V282" s="2"/>
      <c r="W282" s="2"/>
      <c r="X282" s="2"/>
    </row>
    <row r="283" spans="1:124" ht="12.75" customHeight="1">
      <c r="L283" s="2"/>
      <c r="M283" s="2"/>
      <c r="N283" s="2"/>
      <c r="O283" s="2"/>
      <c r="U283" s="2"/>
      <c r="V283" s="2"/>
      <c r="W283" s="2"/>
      <c r="X283" s="2"/>
    </row>
    <row r="284" spans="1:124" ht="12.75" customHeight="1">
      <c r="L284" s="2"/>
      <c r="M284" s="2"/>
      <c r="N284" s="2"/>
      <c r="O284" s="2"/>
      <c r="U284" s="2"/>
      <c r="V284" s="2"/>
      <c r="W284" s="2"/>
      <c r="X284" s="2"/>
    </row>
    <row r="285" spans="1:124" ht="12.75" customHeight="1">
      <c r="L285" s="2"/>
      <c r="M285" s="2"/>
      <c r="N285" s="2"/>
      <c r="O285" s="2"/>
      <c r="U285" s="2"/>
      <c r="V285" s="2"/>
      <c r="W285" s="2"/>
      <c r="X285" s="2"/>
    </row>
    <row r="286" spans="1:124" ht="12.75" customHeight="1">
      <c r="L286" s="2"/>
      <c r="M286" s="2"/>
      <c r="N286" s="2"/>
      <c r="O286" s="2"/>
      <c r="U286" s="2"/>
      <c r="V286" s="2"/>
      <c r="W286" s="2"/>
      <c r="X286" s="2"/>
    </row>
    <row r="287" spans="1:124" ht="12.75" customHeight="1">
      <c r="L287" s="2"/>
      <c r="M287" s="2"/>
      <c r="N287" s="2"/>
      <c r="O287" s="2"/>
      <c r="U287" s="2"/>
      <c r="V287" s="2"/>
      <c r="W287" s="2"/>
      <c r="X287" s="2"/>
    </row>
    <row r="288" spans="1:124" ht="12.75" customHeight="1">
      <c r="L288" s="2"/>
      <c r="M288" s="2"/>
      <c r="N288" s="2"/>
      <c r="O288" s="2"/>
      <c r="U288" s="2"/>
      <c r="V288" s="2"/>
      <c r="W288" s="2"/>
      <c r="X288" s="2"/>
    </row>
    <row r="289" spans="12:24" ht="12.75" customHeight="1">
      <c r="L289" s="2"/>
      <c r="M289" s="2"/>
      <c r="N289" s="2"/>
      <c r="O289" s="2"/>
      <c r="U289" s="2"/>
      <c r="V289" s="2"/>
      <c r="W289" s="2"/>
      <c r="X289" s="2"/>
    </row>
    <row r="290" spans="12:24" ht="12.75" customHeight="1">
      <c r="L290" s="2"/>
      <c r="M290" s="2"/>
      <c r="N290" s="2"/>
      <c r="O290" s="2"/>
      <c r="U290" s="2"/>
      <c r="V290" s="2"/>
      <c r="W290" s="2"/>
      <c r="X290" s="2"/>
    </row>
    <row r="291" spans="12:24" ht="12.75" customHeight="1">
      <c r="L291" s="2"/>
      <c r="M291" s="2"/>
      <c r="N291" s="2"/>
      <c r="O291" s="2"/>
      <c r="U291" s="2"/>
      <c r="V291" s="2"/>
      <c r="W291" s="2"/>
      <c r="X291" s="2"/>
    </row>
    <row r="292" spans="12:24" ht="12.75" customHeight="1">
      <c r="L292" s="2"/>
      <c r="M292" s="2"/>
      <c r="N292" s="2"/>
      <c r="O292" s="2"/>
      <c r="U292" s="2"/>
      <c r="V292" s="2"/>
      <c r="W292" s="2"/>
      <c r="X292" s="2"/>
    </row>
    <row r="293" spans="12:24" ht="12.75" customHeight="1">
      <c r="L293" s="2"/>
      <c r="M293" s="2"/>
      <c r="N293" s="2"/>
      <c r="O293" s="2"/>
      <c r="U293" s="2"/>
      <c r="V293" s="2"/>
      <c r="W293" s="2"/>
      <c r="X293" s="2"/>
    </row>
    <row r="294" spans="12:24" ht="12.75" customHeight="1">
      <c r="L294" s="2"/>
      <c r="M294" s="2"/>
      <c r="N294" s="2"/>
      <c r="O294" s="2"/>
      <c r="U294" s="2"/>
      <c r="V294" s="2"/>
      <c r="W294" s="2"/>
      <c r="X294" s="2"/>
    </row>
    <row r="295" spans="12:24" ht="12.75" customHeight="1">
      <c r="L295" s="2"/>
      <c r="M295" s="2"/>
      <c r="N295" s="2"/>
      <c r="O295" s="2"/>
      <c r="U295" s="2"/>
      <c r="V295" s="2"/>
      <c r="W295" s="2"/>
      <c r="X295" s="2"/>
    </row>
    <row r="296" spans="12:24" ht="12.75" customHeight="1">
      <c r="L296" s="2"/>
      <c r="M296" s="2"/>
      <c r="N296" s="2"/>
      <c r="O296" s="2"/>
      <c r="U296" s="2"/>
      <c r="V296" s="2"/>
      <c r="W296" s="2"/>
      <c r="X296" s="2"/>
    </row>
    <row r="297" spans="12:24" ht="12.75" customHeight="1">
      <c r="L297" s="2"/>
      <c r="M297" s="2"/>
      <c r="N297" s="2"/>
      <c r="O297" s="2"/>
      <c r="U297" s="2"/>
      <c r="V297" s="2"/>
      <c r="W297" s="2"/>
      <c r="X297" s="2"/>
    </row>
    <row r="298" spans="12:24" ht="12.75" customHeight="1">
      <c r="L298" s="2"/>
      <c r="M298" s="2"/>
      <c r="N298" s="2"/>
      <c r="O298" s="2"/>
      <c r="U298" s="2"/>
      <c r="V298" s="2"/>
      <c r="W298" s="2"/>
      <c r="X298" s="2"/>
    </row>
    <row r="299" spans="12:24" ht="12.75" customHeight="1">
      <c r="L299" s="2"/>
      <c r="M299" s="2"/>
      <c r="N299" s="2"/>
      <c r="O299" s="2"/>
      <c r="U299" s="2"/>
      <c r="V299" s="2"/>
      <c r="W299" s="2"/>
      <c r="X299" s="2"/>
    </row>
    <row r="300" spans="12:24" ht="12.75" customHeight="1">
      <c r="L300" s="2"/>
      <c r="M300" s="2"/>
      <c r="N300" s="2"/>
      <c r="O300" s="2"/>
      <c r="U300" s="2"/>
      <c r="V300" s="2"/>
      <c r="W300" s="2"/>
      <c r="X300" s="2"/>
    </row>
    <row r="301" spans="12:24" ht="12.75" customHeight="1">
      <c r="L301" s="2"/>
      <c r="M301" s="2"/>
      <c r="N301" s="2"/>
      <c r="O301" s="2"/>
      <c r="U301" s="2"/>
      <c r="V301" s="2"/>
      <c r="W301" s="2"/>
      <c r="X301" s="2"/>
    </row>
    <row r="302" spans="12:24" ht="12.75" customHeight="1">
      <c r="L302" s="2"/>
      <c r="M302" s="2"/>
      <c r="N302" s="2"/>
      <c r="O302" s="2"/>
      <c r="U302" s="2"/>
      <c r="V302" s="2"/>
      <c r="W302" s="2"/>
      <c r="X302" s="2"/>
    </row>
    <row r="303" spans="12:24" ht="12.75" customHeight="1">
      <c r="L303" s="2"/>
      <c r="M303" s="2"/>
      <c r="N303" s="2"/>
      <c r="O303" s="2"/>
      <c r="U303" s="2"/>
      <c r="V303" s="2"/>
      <c r="W303" s="2"/>
      <c r="X303" s="2"/>
    </row>
    <row r="304" spans="12:24" ht="12.75" customHeight="1">
      <c r="L304" s="2"/>
      <c r="M304" s="2"/>
      <c r="N304" s="2"/>
      <c r="O304" s="2"/>
      <c r="U304" s="2"/>
      <c r="V304" s="2"/>
      <c r="W304" s="2"/>
      <c r="X304" s="2"/>
    </row>
    <row r="305" spans="12:24" ht="12.75" customHeight="1">
      <c r="L305" s="2"/>
      <c r="M305" s="2"/>
      <c r="N305" s="2"/>
      <c r="O305" s="2"/>
      <c r="U305" s="2"/>
      <c r="V305" s="2"/>
      <c r="W305" s="2"/>
      <c r="X305" s="2"/>
    </row>
    <row r="306" spans="12:24" ht="12.75" customHeight="1">
      <c r="L306" s="2"/>
      <c r="M306" s="2"/>
      <c r="N306" s="2"/>
      <c r="O306" s="2"/>
      <c r="U306" s="2"/>
      <c r="V306" s="2"/>
      <c r="W306" s="2"/>
      <c r="X306" s="2"/>
    </row>
    <row r="307" spans="12:24" ht="12.75" customHeight="1">
      <c r="L307" s="2"/>
      <c r="M307" s="2"/>
      <c r="N307" s="2"/>
      <c r="O307" s="2"/>
      <c r="U307" s="2"/>
      <c r="V307" s="2"/>
      <c r="W307" s="2"/>
      <c r="X307" s="2"/>
    </row>
    <row r="308" spans="12:24" ht="12.75" customHeight="1">
      <c r="L308" s="2"/>
      <c r="M308" s="2"/>
      <c r="N308" s="2"/>
      <c r="O308" s="2"/>
      <c r="U308" s="2"/>
      <c r="V308" s="2"/>
      <c r="W308" s="2"/>
      <c r="X308" s="2"/>
    </row>
    <row r="309" spans="12:24" ht="12.75" customHeight="1">
      <c r="L309" s="2"/>
      <c r="M309" s="2"/>
      <c r="N309" s="2"/>
      <c r="O309" s="2"/>
      <c r="U309" s="2"/>
      <c r="V309" s="2"/>
      <c r="W309" s="2"/>
      <c r="X309" s="2"/>
    </row>
    <row r="310" spans="12:24" ht="12.75" customHeight="1">
      <c r="L310" s="2"/>
      <c r="M310" s="2"/>
      <c r="N310" s="2"/>
      <c r="O310" s="2"/>
      <c r="U310" s="2"/>
      <c r="V310" s="2"/>
      <c r="W310" s="2"/>
      <c r="X310" s="2"/>
    </row>
    <row r="311" spans="12:24" ht="12.75" customHeight="1">
      <c r="L311" s="2"/>
      <c r="M311" s="2"/>
      <c r="N311" s="2"/>
      <c r="O311" s="2"/>
      <c r="U311" s="2"/>
      <c r="V311" s="2"/>
      <c r="W311" s="2"/>
      <c r="X311" s="2"/>
    </row>
    <row r="312" spans="12:24" ht="12.75" customHeight="1">
      <c r="L312" s="2"/>
      <c r="M312" s="2"/>
      <c r="N312" s="2"/>
      <c r="O312" s="2"/>
      <c r="U312" s="2"/>
      <c r="V312" s="2"/>
      <c r="W312" s="2"/>
      <c r="X312" s="2"/>
    </row>
    <row r="313" spans="12:24" ht="12.75" customHeight="1">
      <c r="L313" s="2"/>
      <c r="M313" s="2"/>
      <c r="N313" s="2"/>
      <c r="O313" s="2"/>
      <c r="U313" s="2"/>
      <c r="V313" s="2"/>
      <c r="W313" s="2"/>
      <c r="X313" s="2"/>
    </row>
    <row r="314" spans="12:24" ht="12.75" customHeight="1">
      <c r="L314" s="2"/>
      <c r="M314" s="2"/>
      <c r="N314" s="2"/>
      <c r="O314" s="2"/>
      <c r="U314" s="2"/>
      <c r="V314" s="2"/>
      <c r="W314" s="2"/>
      <c r="X314" s="2"/>
    </row>
    <row r="315" spans="12:24" ht="12.75" customHeight="1">
      <c r="L315" s="2"/>
      <c r="M315" s="2"/>
      <c r="N315" s="2"/>
      <c r="O315" s="2"/>
      <c r="U315" s="2"/>
      <c r="V315" s="2"/>
      <c r="W315" s="2"/>
      <c r="X315" s="2"/>
    </row>
    <row r="316" spans="12:24" ht="12.75" customHeight="1">
      <c r="L316" s="2"/>
      <c r="M316" s="2"/>
      <c r="N316" s="2"/>
      <c r="O316" s="2"/>
      <c r="U316" s="2"/>
      <c r="V316" s="2"/>
      <c r="W316" s="2"/>
      <c r="X316" s="2"/>
    </row>
    <row r="317" spans="12:24" ht="12.75" customHeight="1">
      <c r="L317" s="2"/>
      <c r="M317" s="2"/>
      <c r="N317" s="2"/>
      <c r="O317" s="2"/>
      <c r="U317" s="2"/>
      <c r="V317" s="2"/>
      <c r="W317" s="2"/>
      <c r="X317" s="2"/>
    </row>
    <row r="318" spans="12:24" ht="12.75" customHeight="1">
      <c r="L318" s="2"/>
      <c r="M318" s="2"/>
      <c r="N318" s="2"/>
      <c r="O318" s="2"/>
      <c r="U318" s="2"/>
      <c r="V318" s="2"/>
      <c r="W318" s="2"/>
      <c r="X318" s="2"/>
    </row>
    <row r="319" spans="12:24" ht="12.75" customHeight="1">
      <c r="L319" s="2"/>
      <c r="M319" s="2"/>
      <c r="N319" s="2"/>
      <c r="O319" s="2"/>
      <c r="U319" s="2"/>
      <c r="V319" s="2"/>
      <c r="W319" s="2"/>
      <c r="X319" s="2"/>
    </row>
    <row r="320" spans="12:24" ht="12.75" customHeight="1">
      <c r="L320" s="2"/>
      <c r="M320" s="2"/>
      <c r="N320" s="2"/>
      <c r="O320" s="2"/>
    </row>
    <row r="321" spans="12:15" ht="12.75" customHeight="1">
      <c r="L321" s="2"/>
      <c r="M321" s="2"/>
      <c r="N321" s="2"/>
      <c r="O321" s="2"/>
    </row>
    <row r="322" spans="12:15" ht="12.75" customHeight="1">
      <c r="L322" s="2"/>
      <c r="M322" s="2"/>
      <c r="N322" s="2"/>
      <c r="O322" s="2"/>
    </row>
    <row r="323" spans="12:15" ht="12.75" customHeight="1">
      <c r="L323" s="2"/>
      <c r="M323" s="2"/>
      <c r="N323" s="2"/>
      <c r="O323" s="2"/>
    </row>
    <row r="324" spans="12:15" ht="12.75" customHeight="1">
      <c r="L324" s="2"/>
      <c r="M324" s="2"/>
      <c r="N324" s="2"/>
      <c r="O324" s="2"/>
    </row>
    <row r="325" spans="12:15" ht="12.75" customHeight="1">
      <c r="L325" s="2"/>
      <c r="M325" s="2"/>
      <c r="N325" s="2"/>
      <c r="O325" s="2"/>
    </row>
    <row r="326" spans="12:15" ht="12.75" customHeight="1">
      <c r="L326" s="2"/>
      <c r="M326" s="2"/>
      <c r="N326" s="2"/>
      <c r="O326" s="2"/>
    </row>
    <row r="327" spans="12:15" ht="12.75" customHeight="1">
      <c r="L327" s="2"/>
      <c r="M327" s="2"/>
      <c r="N327" s="2"/>
      <c r="O327" s="2"/>
    </row>
    <row r="328" spans="12:15" ht="12.75" customHeight="1">
      <c r="L328" s="2"/>
      <c r="M328" s="2"/>
      <c r="N328" s="2"/>
      <c r="O328" s="2"/>
    </row>
    <row r="329" spans="12:15" ht="12.75" customHeight="1">
      <c r="L329" s="2"/>
      <c r="M329" s="2"/>
      <c r="N329" s="2"/>
      <c r="O329" s="2"/>
    </row>
    <row r="330" spans="12:15" ht="12.75" customHeight="1">
      <c r="L330" s="2"/>
      <c r="M330" s="2"/>
      <c r="N330" s="2"/>
      <c r="O330" s="2"/>
    </row>
    <row r="331" spans="12:15" ht="12.75" customHeight="1">
      <c r="L331" s="2"/>
      <c r="M331" s="2"/>
      <c r="N331" s="2"/>
      <c r="O331" s="2"/>
    </row>
    <row r="332" spans="12:15" ht="12.75" customHeight="1">
      <c r="L332" s="2"/>
      <c r="M332" s="2"/>
      <c r="N332" s="2"/>
      <c r="O332" s="2"/>
    </row>
    <row r="333" spans="12:15" ht="12.75" customHeight="1">
      <c r="L333" s="2"/>
      <c r="M333" s="2"/>
      <c r="N333" s="2"/>
      <c r="O333" s="2"/>
    </row>
    <row r="334" spans="12:15" ht="12.75" customHeight="1">
      <c r="L334" s="2"/>
      <c r="M334" s="2"/>
      <c r="N334" s="2"/>
      <c r="O334" s="2"/>
    </row>
  </sheetData>
  <customSheetViews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9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3"/>
      <headerFooter alignWithMargins="0"/>
    </customSheetView>
    <customSheetView guid="{A74B7FED-837E-46BE-A86A-510E0683DF4F}" scale="75" showRuler="0" topLeftCell="BR2">
      <selection activeCell="BT29" sqref="BT29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4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1"/>
      <headerFooter alignWithMargins="0"/>
    </customSheetView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2"/>
      <headerFooter alignWithMargins="0"/>
    </customSheetView>
  </customSheetViews>
  <mergeCells count="11">
    <mergeCell ref="CA11:CC11"/>
    <mergeCell ref="G6:K6"/>
    <mergeCell ref="G7:K7"/>
    <mergeCell ref="G8:K8"/>
    <mergeCell ref="G9:K9"/>
    <mergeCell ref="DF7:DJ7"/>
    <mergeCell ref="DF8:DJ8"/>
    <mergeCell ref="DK7:DO7"/>
    <mergeCell ref="DK8:DO8"/>
    <mergeCell ref="DP7:DT7"/>
    <mergeCell ref="DP8:DT8"/>
  </mergeCells>
  <phoneticPr fontId="0" type="noConversion"/>
  <conditionalFormatting sqref="A1:CL1">
    <cfRule type="cellIs" dxfId="11" priority="14" stopIfTrue="1" operator="notEqual">
      <formula>0</formula>
    </cfRule>
  </conditionalFormatting>
  <conditionalFormatting sqref="CM1:CP1">
    <cfRule type="cellIs" dxfId="10" priority="10" stopIfTrue="1" operator="notEqual">
      <formula>0</formula>
    </cfRule>
  </conditionalFormatting>
  <conditionalFormatting sqref="DJ1">
    <cfRule type="cellIs" dxfId="9" priority="9" stopIfTrue="1" operator="notEqual">
      <formula>0</formula>
    </cfRule>
  </conditionalFormatting>
  <conditionalFormatting sqref="DF1:DH1">
    <cfRule type="cellIs" dxfId="8" priority="8" stopIfTrue="1" operator="notEqual">
      <formula>0</formula>
    </cfRule>
  </conditionalFormatting>
  <conditionalFormatting sqref="DI1">
    <cfRule type="cellIs" dxfId="7" priority="7" stopIfTrue="1" operator="notEqual">
      <formula>0</formula>
    </cfRule>
  </conditionalFormatting>
  <conditionalFormatting sqref="DO1">
    <cfRule type="cellIs" dxfId="6" priority="6" stopIfTrue="1" operator="notEqual">
      <formula>0</formula>
    </cfRule>
  </conditionalFormatting>
  <conditionalFormatting sqref="DK1:DM1">
    <cfRule type="cellIs" dxfId="5" priority="5" stopIfTrue="1" operator="notEqual">
      <formula>0</formula>
    </cfRule>
  </conditionalFormatting>
  <conditionalFormatting sqref="DN1">
    <cfRule type="cellIs" dxfId="4" priority="4" stopIfTrue="1" operator="notEqual">
      <formula>0</formula>
    </cfRule>
  </conditionalFormatting>
  <conditionalFormatting sqref="DS1">
    <cfRule type="cellIs" dxfId="3" priority="1" stopIfTrue="1" operator="notEqual">
      <formula>0</formula>
    </cfRule>
  </conditionalFormatting>
  <conditionalFormatting sqref="DT1">
    <cfRule type="cellIs" dxfId="2" priority="3" stopIfTrue="1" operator="notEqual">
      <formula>0</formula>
    </cfRule>
  </conditionalFormatting>
  <conditionalFormatting sqref="DP1:DR1">
    <cfRule type="cellIs" dxfId="1" priority="2" stopIfTrue="1" operator="notEqual">
      <formula>0</formula>
    </cfRule>
  </conditionalFormatting>
  <printOptions horizontalCentered="1"/>
  <pageMargins left="0.5" right="0.5" top="0" bottom="0" header="0.25" footer="0.25"/>
  <pageSetup scale="80" fitToWidth="0" fitToHeight="0" orientation="portrait" horizontalDpi="1200" verticalDpi="1200" r:id="rId23"/>
  <headerFooter alignWithMargins="0"/>
  <colBreaks count="7" manualBreakCount="7">
    <brk id="24" max="1048575" man="1"/>
    <brk id="69" max="1048575" man="1"/>
    <brk id="74" max="1048575" man="1"/>
    <brk id="109" min="1" max="82" man="1"/>
    <brk id="114" max="1048575" man="1"/>
    <brk id="119" max="1048575" man="1"/>
    <brk id="135" max="2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80"/>
  <sheetViews>
    <sheetView zoomScaleNormal="100" workbookViewId="0">
      <pane xSplit="1" ySplit="12" topLeftCell="B13" activePane="bottomRight" state="frozen"/>
      <selection activeCell="N34" sqref="N34"/>
      <selection pane="topRight" activeCell="N34" sqref="N34"/>
      <selection pane="bottomLeft" activeCell="N34" sqref="N34"/>
      <selection pane="bottomRight" activeCell="G13" sqref="G13"/>
    </sheetView>
  </sheetViews>
  <sheetFormatPr defaultColWidth="9.33203125" defaultRowHeight="12.75" customHeight="1" outlineLevelRow="1"/>
  <cols>
    <col min="1" max="1" width="5.83203125" style="3" hidden="1" customWidth="1"/>
    <col min="2" max="2" width="48.6640625" style="3" hidden="1" customWidth="1"/>
    <col min="3" max="3" width="11.5" style="300" hidden="1" customWidth="1"/>
    <col min="4" max="4" width="18" style="3" hidden="1" customWidth="1"/>
    <col min="5" max="5" width="18.6640625" style="3" hidden="1" customWidth="1"/>
    <col min="6" max="6" width="17.5" style="48" hidden="1" customWidth="1"/>
    <col min="7" max="7" width="5.83203125" customWidth="1"/>
    <col min="8" max="8" width="48.6640625" customWidth="1"/>
    <col min="9" max="9" width="15.83203125" bestFit="1" customWidth="1"/>
    <col min="10" max="10" width="14.5" customWidth="1"/>
    <col min="11" max="11" width="17.5" customWidth="1"/>
    <col min="12" max="16384" width="9.33203125" style="3"/>
  </cols>
  <sheetData>
    <row r="1" spans="1:11" s="211" customFormat="1" ht="12.75" customHeight="1">
      <c r="G1"/>
      <c r="H1"/>
      <c r="I1"/>
      <c r="J1"/>
      <c r="K1"/>
    </row>
    <row r="2" spans="1:11" ht="14.25" customHeight="1">
      <c r="F2" s="250" t="s">
        <v>379</v>
      </c>
    </row>
    <row r="3" spans="1:11" ht="14.25" customHeight="1" thickBot="1">
      <c r="A3" s="33"/>
      <c r="F3" s="1" t="s">
        <v>395</v>
      </c>
    </row>
    <row r="4" spans="1:11" ht="14.25" customHeight="1" thickTop="1" thickBot="1">
      <c r="F4" s="465" t="s">
        <v>378</v>
      </c>
    </row>
    <row r="5" spans="1:11" s="33" customFormat="1" ht="9.75" customHeight="1" thickTop="1">
      <c r="A5" s="190"/>
      <c r="B5" s="53"/>
      <c r="C5" s="53"/>
      <c r="D5" s="53"/>
      <c r="E5" s="53"/>
      <c r="G5"/>
      <c r="H5"/>
      <c r="I5"/>
      <c r="J5"/>
      <c r="K5"/>
    </row>
    <row r="6" spans="1:11" s="33" customFormat="1" ht="14.25" customHeight="1">
      <c r="A6" s="32" t="str">
        <f>keep_PSE</f>
        <v xml:space="preserve">PUGET SOUND ENERGY-GAS </v>
      </c>
      <c r="B6" s="6"/>
      <c r="C6" s="113"/>
      <c r="D6" s="6"/>
      <c r="E6" s="6"/>
      <c r="F6" s="6"/>
      <c r="G6"/>
      <c r="H6"/>
      <c r="I6"/>
      <c r="J6"/>
      <c r="K6"/>
    </row>
    <row r="7" spans="1:11" s="33" customFormat="1" ht="14.25" customHeight="1">
      <c r="A7" s="6" t="s">
        <v>281</v>
      </c>
      <c r="B7" s="34"/>
      <c r="C7" s="34"/>
      <c r="D7" s="34"/>
      <c r="E7" s="34"/>
      <c r="F7" s="34"/>
      <c r="G7"/>
      <c r="H7"/>
      <c r="I7"/>
      <c r="J7"/>
      <c r="K7"/>
    </row>
    <row r="8" spans="1:11" s="33" customFormat="1" ht="14.25" customHeight="1">
      <c r="A8" s="6" t="str">
        <f>keep_TESTYEAR</f>
        <v>FOR THE TWELVE MONTHS ENDED SEPTEMBER 30, 2016</v>
      </c>
      <c r="B8" s="35"/>
      <c r="C8" s="35"/>
      <c r="D8" s="35"/>
      <c r="E8" s="35"/>
      <c r="F8" s="35"/>
      <c r="G8"/>
      <c r="H8"/>
      <c r="I8"/>
      <c r="J8"/>
      <c r="K8"/>
    </row>
    <row r="9" spans="1:11" s="33" customFormat="1" ht="14.25" customHeight="1">
      <c r="A9" s="32" t="str">
        <f>kp_DOCKET</f>
        <v>GENERAL RATE CASE</v>
      </c>
      <c r="B9" s="6"/>
      <c r="C9" s="113"/>
      <c r="D9" s="6"/>
      <c r="E9" s="6"/>
      <c r="F9" s="6"/>
      <c r="G9"/>
      <c r="H9"/>
      <c r="I9"/>
      <c r="J9"/>
      <c r="K9"/>
    </row>
    <row r="10" spans="1:11" s="33" customFormat="1" ht="12" customHeight="1">
      <c r="G10"/>
      <c r="H10"/>
      <c r="I10"/>
      <c r="J10"/>
      <c r="K10"/>
    </row>
    <row r="11" spans="1:11" s="33" customFormat="1" ht="14.25" customHeight="1">
      <c r="A11" s="45"/>
      <c r="D11" s="156"/>
      <c r="E11" s="45" t="s">
        <v>31</v>
      </c>
      <c r="F11" s="45"/>
      <c r="G11"/>
      <c r="H11"/>
      <c r="I11"/>
      <c r="J11"/>
      <c r="K11"/>
    </row>
    <row r="12" spans="1:11" s="33" customFormat="1" ht="14.25" customHeight="1">
      <c r="A12" s="21"/>
      <c r="B12" s="39"/>
      <c r="C12" s="39"/>
      <c r="D12" s="149" t="s">
        <v>33</v>
      </c>
      <c r="E12" s="157" t="s">
        <v>37</v>
      </c>
      <c r="F12" s="63" t="s">
        <v>39</v>
      </c>
      <c r="G12"/>
      <c r="H12"/>
      <c r="I12"/>
      <c r="J12"/>
      <c r="K12"/>
    </row>
    <row r="13" spans="1:11" ht="14.25" customHeight="1">
      <c r="D13" s="101"/>
      <c r="E13" s="101"/>
      <c r="F13" s="101"/>
    </row>
    <row r="14" spans="1:11" s="300" customFormat="1" ht="14.25" customHeight="1">
      <c r="A14" s="300">
        <v>1</v>
      </c>
      <c r="B14" s="66" t="s">
        <v>280</v>
      </c>
      <c r="C14" s="66"/>
      <c r="D14" s="225"/>
      <c r="E14" s="225"/>
      <c r="F14" s="225"/>
      <c r="G14"/>
      <c r="H14"/>
      <c r="I14"/>
      <c r="J14"/>
      <c r="K14"/>
    </row>
    <row r="15" spans="1:11" s="300" customFormat="1" ht="14.25" customHeight="1">
      <c r="A15" s="300">
        <f>A14+1</f>
        <v>2</v>
      </c>
      <c r="B15" s="74" t="s">
        <v>236</v>
      </c>
      <c r="C15" s="74"/>
      <c r="D15" s="330">
        <f>'[38]Lead G'!$F$10</f>
        <v>6319267.5535104107</v>
      </c>
      <c r="E15" s="330">
        <v>0</v>
      </c>
      <c r="F15" s="333">
        <f>+E15-D15</f>
        <v>-6319267.5535104107</v>
      </c>
      <c r="G15"/>
      <c r="H15"/>
      <c r="I15"/>
      <c r="J15"/>
      <c r="K15"/>
    </row>
    <row r="16" spans="1:11" s="300" customFormat="1" ht="14.25" customHeight="1">
      <c r="A16" s="300">
        <f t="shared" ref="A16:A42" si="0">A15+1</f>
        <v>3</v>
      </c>
      <c r="B16" s="74"/>
      <c r="C16" s="74"/>
      <c r="D16" s="392"/>
      <c r="E16" s="392"/>
      <c r="F16" s="393"/>
      <c r="G16"/>
      <c r="H16"/>
      <c r="I16"/>
      <c r="J16"/>
      <c r="K16"/>
    </row>
    <row r="17" spans="1:11" s="300" customFormat="1" ht="14.25" customHeight="1">
      <c r="A17" s="300">
        <f t="shared" si="0"/>
        <v>4</v>
      </c>
      <c r="B17" s="66" t="s">
        <v>210</v>
      </c>
      <c r="C17" s="66"/>
      <c r="D17" s="44"/>
      <c r="E17" s="44"/>
      <c r="F17" s="393"/>
      <c r="G17"/>
      <c r="H17"/>
      <c r="I17"/>
      <c r="J17"/>
      <c r="K17"/>
    </row>
    <row r="18" spans="1:11" s="300" customFormat="1" ht="14.25" customHeight="1">
      <c r="A18" s="300">
        <f t="shared" si="0"/>
        <v>5</v>
      </c>
      <c r="B18" s="300" t="s">
        <v>224</v>
      </c>
      <c r="D18" s="459">
        <f>'[38]Lead G'!$F$13</f>
        <v>3104236.1901648943</v>
      </c>
      <c r="E18" s="459">
        <f>'[38]Lead G'!$G$13</f>
        <v>2803485.3710350636</v>
      </c>
      <c r="F18" s="459">
        <f>+E18-D18</f>
        <v>-300750.81912983069</v>
      </c>
      <c r="G18"/>
      <c r="H18"/>
      <c r="I18"/>
      <c r="J18"/>
      <c r="K18"/>
    </row>
    <row r="19" spans="1:11" s="300" customFormat="1" ht="14.25" customHeight="1">
      <c r="A19" s="300">
        <f t="shared" si="0"/>
        <v>6</v>
      </c>
      <c r="B19" s="314" t="s">
        <v>355</v>
      </c>
      <c r="D19" s="58">
        <f>'[38]Lead G'!$F$14</f>
        <v>-428345.18843024829</v>
      </c>
      <c r="E19" s="58"/>
      <c r="F19" s="58">
        <f>+E19-D19</f>
        <v>428345.18843024829</v>
      </c>
      <c r="G19"/>
      <c r="H19"/>
      <c r="I19"/>
      <c r="J19"/>
      <c r="K19"/>
    </row>
    <row r="20" spans="1:11" s="300" customFormat="1" ht="14.25" customHeight="1">
      <c r="A20" s="300">
        <f t="shared" si="0"/>
        <v>7</v>
      </c>
      <c r="B20" s="74" t="s">
        <v>380</v>
      </c>
      <c r="C20" s="74"/>
      <c r="D20" s="466">
        <f>SUM(D18:D19)</f>
        <v>2675891.001734646</v>
      </c>
      <c r="E20" s="466">
        <f t="shared" ref="E20:F20" si="1">SUM(E18:E19)</f>
        <v>2803485.3710350636</v>
      </c>
      <c r="F20" s="466">
        <f t="shared" si="1"/>
        <v>127594.3693004176</v>
      </c>
      <c r="G20"/>
      <c r="H20"/>
      <c r="I20"/>
      <c r="J20"/>
      <c r="K20"/>
    </row>
    <row r="21" spans="1:11" s="300" customFormat="1" ht="14.25" customHeight="1">
      <c r="A21" s="300">
        <f t="shared" si="0"/>
        <v>8</v>
      </c>
      <c r="B21" s="74"/>
      <c r="C21" s="74"/>
      <c r="D21" s="425"/>
      <c r="E21" s="44"/>
      <c r="F21" s="393"/>
      <c r="G21"/>
      <c r="H21"/>
      <c r="I21"/>
      <c r="J21"/>
      <c r="K21"/>
    </row>
    <row r="22" spans="1:11" s="300" customFormat="1" ht="14.25" customHeight="1">
      <c r="A22" s="300">
        <f t="shared" si="0"/>
        <v>9</v>
      </c>
      <c r="B22" s="314" t="s">
        <v>174</v>
      </c>
      <c r="C22" s="287">
        <f>'Exh. BGM-4 (4) Rstng and PF Adj'!C40</f>
        <v>5.1399999999999996E-3</v>
      </c>
      <c r="D22" s="443">
        <f>+D15*$C$22</f>
        <v>32481.03522504351</v>
      </c>
      <c r="E22" s="443">
        <f>+E15*$C$22</f>
        <v>0</v>
      </c>
      <c r="F22" s="443">
        <f>E22-D22</f>
        <v>-32481.03522504351</v>
      </c>
      <c r="G22"/>
      <c r="H22"/>
      <c r="I22"/>
      <c r="J22"/>
      <c r="K22"/>
    </row>
    <row r="23" spans="1:11" s="300" customFormat="1" ht="14.25" customHeight="1">
      <c r="A23" s="300">
        <f t="shared" si="0"/>
        <v>10</v>
      </c>
      <c r="B23" s="314" t="s">
        <v>175</v>
      </c>
      <c r="C23" s="287">
        <f>'Exh. BGM-4 (4) Rstng and PF Adj'!C41</f>
        <v>2E-3</v>
      </c>
      <c r="D23" s="58">
        <f>+D15*$C$23</f>
        <v>12638.535107020822</v>
      </c>
      <c r="E23" s="58">
        <f>+E15*$C$23</f>
        <v>0</v>
      </c>
      <c r="F23" s="58">
        <f>E23-D23</f>
        <v>-12638.535107020822</v>
      </c>
      <c r="G23"/>
      <c r="H23"/>
      <c r="I23"/>
      <c r="J23"/>
      <c r="K23"/>
    </row>
    <row r="24" spans="1:11" s="300" customFormat="1" ht="14.25" customHeight="1">
      <c r="A24" s="300">
        <f t="shared" si="0"/>
        <v>11</v>
      </c>
      <c r="B24" s="226" t="s">
        <v>176</v>
      </c>
      <c r="C24" s="225"/>
      <c r="D24" s="442">
        <f>SUM(D22:D23)</f>
        <v>45119.57033206433</v>
      </c>
      <c r="E24" s="442">
        <f>SUM(E22:E23)</f>
        <v>0</v>
      </c>
      <c r="F24" s="442">
        <f>SUM(F22:F23)</f>
        <v>-45119.57033206433</v>
      </c>
      <c r="G24"/>
      <c r="H24"/>
      <c r="I24"/>
      <c r="J24"/>
      <c r="K24"/>
    </row>
    <row r="25" spans="1:11" s="300" customFormat="1" ht="14.25" customHeight="1">
      <c r="A25" s="300">
        <f t="shared" si="0"/>
        <v>12</v>
      </c>
      <c r="B25" s="314"/>
      <c r="G25"/>
      <c r="H25"/>
      <c r="I25"/>
      <c r="J25"/>
      <c r="K25"/>
    </row>
    <row r="26" spans="1:11" s="300" customFormat="1" ht="14.25" customHeight="1">
      <c r="A26" s="300">
        <f t="shared" si="0"/>
        <v>13</v>
      </c>
      <c r="B26" s="314" t="s">
        <v>177</v>
      </c>
      <c r="C26" s="287">
        <f>'Exh. BGM-4 (4) Rstng and PF Adj'!C44</f>
        <v>3.8322000000000002E-2</v>
      </c>
      <c r="D26" s="443">
        <f>+D15*$C$26</f>
        <v>242166.97118562597</v>
      </c>
      <c r="E26" s="443">
        <f>+E15*$C$26</f>
        <v>0</v>
      </c>
      <c r="F26" s="443">
        <f>E26-D26</f>
        <v>-242166.97118562597</v>
      </c>
      <c r="G26"/>
      <c r="H26"/>
      <c r="I26"/>
      <c r="J26"/>
      <c r="K26"/>
    </row>
    <row r="27" spans="1:11" s="300" customFormat="1" ht="14.25" customHeight="1">
      <c r="A27" s="300">
        <f t="shared" si="0"/>
        <v>14</v>
      </c>
      <c r="B27" s="226"/>
      <c r="C27" s="226"/>
      <c r="D27" s="388"/>
      <c r="E27" s="388"/>
      <c r="F27" s="388"/>
      <c r="G27"/>
      <c r="H27"/>
      <c r="I27"/>
      <c r="J27"/>
      <c r="K27"/>
    </row>
    <row r="28" spans="1:11" s="300" customFormat="1" ht="14.25" customHeight="1">
      <c r="A28" s="300">
        <f t="shared" si="0"/>
        <v>15</v>
      </c>
      <c r="B28" s="226" t="s">
        <v>178</v>
      </c>
      <c r="C28" s="226"/>
      <c r="D28" s="458">
        <f>SUM(D24:D27)</f>
        <v>287286.54151769029</v>
      </c>
      <c r="E28" s="458">
        <f>SUM(E24:E27)</f>
        <v>0</v>
      </c>
      <c r="F28" s="458">
        <f>SUM(F24:F27)</f>
        <v>-287286.54151769029</v>
      </c>
      <c r="G28"/>
      <c r="H28"/>
      <c r="I28"/>
      <c r="J28"/>
      <c r="K28"/>
    </row>
    <row r="29" spans="1:11" s="300" customFormat="1" ht="14.25" customHeight="1">
      <c r="A29" s="300">
        <f t="shared" si="0"/>
        <v>16</v>
      </c>
      <c r="B29" s="314"/>
      <c r="C29" s="314"/>
      <c r="G29"/>
      <c r="H29"/>
      <c r="I29"/>
      <c r="J29"/>
      <c r="K29"/>
    </row>
    <row r="30" spans="1:11" s="300" customFormat="1" ht="14.25" customHeight="1">
      <c r="A30" s="300">
        <f t="shared" si="0"/>
        <v>17</v>
      </c>
      <c r="B30" s="314" t="s">
        <v>165</v>
      </c>
      <c r="C30" s="314"/>
      <c r="D30" s="443">
        <f>+D15-D20+F28</f>
        <v>3356090.0102580744</v>
      </c>
      <c r="E30" s="443">
        <f>+E15-E20+E28</f>
        <v>-2803485.3710350636</v>
      </c>
      <c r="F30" s="459">
        <f>E30-D30</f>
        <v>-6159575.3812931385</v>
      </c>
      <c r="G30"/>
      <c r="H30"/>
      <c r="I30"/>
      <c r="J30"/>
      <c r="K30"/>
    </row>
    <row r="31" spans="1:11" s="300" customFormat="1" ht="14.25" customHeight="1">
      <c r="A31" s="300">
        <f t="shared" si="0"/>
        <v>18</v>
      </c>
      <c r="B31" s="314" t="s">
        <v>59</v>
      </c>
      <c r="C31" s="248">
        <v>0.35</v>
      </c>
      <c r="D31" s="422">
        <f>D30*$C$31</f>
        <v>1174631.5035903261</v>
      </c>
      <c r="E31" s="422">
        <f>E30*$C$31</f>
        <v>-981219.87986227218</v>
      </c>
      <c r="F31" s="258">
        <f>E31-D31</f>
        <v>-2155851.383452598</v>
      </c>
      <c r="G31"/>
      <c r="H31"/>
      <c r="I31"/>
      <c r="J31"/>
      <c r="K31"/>
    </row>
    <row r="32" spans="1:11" s="300" customFormat="1" ht="14.25" customHeight="1">
      <c r="A32" s="300">
        <f t="shared" si="0"/>
        <v>19</v>
      </c>
      <c r="B32" s="314"/>
      <c r="C32" s="314"/>
      <c r="D32" s="440"/>
      <c r="E32" s="388"/>
      <c r="F32" s="159"/>
      <c r="G32"/>
      <c r="H32"/>
      <c r="I32"/>
      <c r="J32"/>
      <c r="K32"/>
    </row>
    <row r="33" spans="1:11" s="300" customFormat="1" ht="14.25" customHeight="1" thickBot="1">
      <c r="A33" s="300">
        <f t="shared" si="0"/>
        <v>20</v>
      </c>
      <c r="B33" s="314" t="s">
        <v>63</v>
      </c>
      <c r="C33" s="314"/>
      <c r="D33" s="315">
        <f>D30-D31</f>
        <v>2181458.5066677481</v>
      </c>
      <c r="E33" s="315">
        <f>E30-E31</f>
        <v>-1822265.4911727915</v>
      </c>
      <c r="F33" s="315">
        <f>F30-F31</f>
        <v>-4003723.9978405405</v>
      </c>
      <c r="G33"/>
      <c r="H33"/>
      <c r="I33"/>
      <c r="J33"/>
      <c r="K33"/>
    </row>
    <row r="34" spans="1:11" s="300" customFormat="1" ht="14.25" customHeight="1" thickTop="1">
      <c r="A34" s="300">
        <f t="shared" si="0"/>
        <v>21</v>
      </c>
      <c r="D34" s="225"/>
      <c r="E34" s="225"/>
      <c r="F34" s="225"/>
      <c r="G34"/>
      <c r="H34"/>
      <c r="I34"/>
      <c r="J34"/>
      <c r="K34"/>
    </row>
    <row r="35" spans="1:11" s="300" customFormat="1" ht="14.25" customHeight="1">
      <c r="A35" s="300">
        <f t="shared" si="0"/>
        <v>22</v>
      </c>
      <c r="B35" s="66" t="s">
        <v>211</v>
      </c>
      <c r="C35" s="66"/>
      <c r="D35" s="223"/>
      <c r="E35" s="223"/>
      <c r="F35" s="223"/>
      <c r="G35"/>
      <c r="H35"/>
      <c r="I35"/>
      <c r="J35"/>
      <c r="K35"/>
    </row>
    <row r="36" spans="1:11" ht="14.25" customHeight="1" outlineLevel="1">
      <c r="A36" s="300">
        <f t="shared" si="0"/>
        <v>23</v>
      </c>
      <c r="B36" s="387" t="s">
        <v>346</v>
      </c>
      <c r="C36" s="387"/>
      <c r="D36" s="330">
        <f>'[38]Lead G'!F32</f>
        <v>80492630.37166667</v>
      </c>
      <c r="E36" s="330">
        <f>'[38]Lead G'!G32</f>
        <v>112498583.47964287</v>
      </c>
      <c r="F36" s="330">
        <f>+E36-D36</f>
        <v>32005953.107976198</v>
      </c>
    </row>
    <row r="37" spans="1:11" outlineLevel="1">
      <c r="A37" s="300">
        <f t="shared" si="0"/>
        <v>24</v>
      </c>
      <c r="B37" s="314" t="s">
        <v>352</v>
      </c>
      <c r="C37" s="387"/>
      <c r="D37" s="257">
        <f>'[38]Lead G'!F33</f>
        <v>-3605695.2156645558</v>
      </c>
      <c r="E37" s="257">
        <f>'[38]Lead G'!G33</f>
        <v>-10739632.604369124</v>
      </c>
      <c r="F37" s="257">
        <f t="shared" ref="F37:F40" si="2">+E37-D37</f>
        <v>-7133937.3887045681</v>
      </c>
    </row>
    <row r="38" spans="1:11" s="300" customFormat="1" outlineLevel="1">
      <c r="A38" s="300">
        <f t="shared" si="0"/>
        <v>25</v>
      </c>
      <c r="B38" s="314" t="s">
        <v>353</v>
      </c>
      <c r="C38" s="387"/>
      <c r="D38" s="257">
        <f>'[38]Lead G'!F34</f>
        <v>214172.59421512415</v>
      </c>
      <c r="E38" s="257">
        <f>'[38]Lead G'!G34</f>
        <v>0</v>
      </c>
      <c r="F38" s="257">
        <f t="shared" si="2"/>
        <v>-214172.59421512415</v>
      </c>
      <c r="G38"/>
      <c r="H38"/>
      <c r="I38"/>
      <c r="J38"/>
      <c r="K38"/>
    </row>
    <row r="39" spans="1:11" outlineLevel="1">
      <c r="A39" s="300">
        <f t="shared" si="0"/>
        <v>26</v>
      </c>
      <c r="B39" s="387" t="s">
        <v>359</v>
      </c>
      <c r="C39" s="387"/>
      <c r="D39" s="257">
        <f>'[38]Lead G'!F35</f>
        <v>-13894871.215026421</v>
      </c>
      <c r="E39" s="257">
        <f>'[38]Lead G'!G35</f>
        <v>-19615966.339126792</v>
      </c>
      <c r="F39" s="257">
        <f t="shared" si="2"/>
        <v>-5721095.1241003703</v>
      </c>
    </row>
    <row r="40" spans="1:11" ht="14.25" customHeight="1">
      <c r="A40" s="300">
        <f t="shared" si="0"/>
        <v>27</v>
      </c>
      <c r="B40" s="314" t="s">
        <v>354</v>
      </c>
      <c r="C40" s="387"/>
      <c r="D40" s="257">
        <f>'[38]Lead G'!F36</f>
        <v>-74960.407975293449</v>
      </c>
      <c r="E40" s="257">
        <f>'[38]Lead G'!G36</f>
        <v>0</v>
      </c>
      <c r="F40" s="257">
        <f t="shared" si="2"/>
        <v>74960.407975293449</v>
      </c>
    </row>
    <row r="41" spans="1:11" s="300" customFormat="1" ht="14.25" customHeight="1">
      <c r="A41" s="300">
        <f t="shared" si="0"/>
        <v>28</v>
      </c>
      <c r="B41" s="387"/>
      <c r="C41" s="387"/>
      <c r="D41" s="301"/>
      <c r="E41" s="301"/>
      <c r="F41" s="301"/>
      <c r="G41"/>
      <c r="H41"/>
      <c r="I41"/>
      <c r="J41"/>
      <c r="K41"/>
    </row>
    <row r="42" spans="1:11" s="300" customFormat="1" ht="14.25" customHeight="1" thickBot="1">
      <c r="A42" s="300">
        <f t="shared" si="0"/>
        <v>29</v>
      </c>
      <c r="B42" s="13" t="s">
        <v>212</v>
      </c>
      <c r="C42" s="13"/>
      <c r="D42" s="386">
        <f>SUM(D36:D40)</f>
        <v>63131276.127215527</v>
      </c>
      <c r="E42" s="386">
        <f t="shared" ref="E42:F42" si="3">SUM(E36:E40)</f>
        <v>82142984.536146954</v>
      </c>
      <c r="F42" s="386">
        <f t="shared" si="3"/>
        <v>19011708.408931427</v>
      </c>
      <c r="G42"/>
      <c r="H42"/>
      <c r="I42"/>
      <c r="J42"/>
      <c r="K42"/>
    </row>
    <row r="43" spans="1:11" s="74" customFormat="1" ht="13.5" thickTop="1">
      <c r="A43" s="300"/>
      <c r="B43" s="3"/>
      <c r="C43" s="300"/>
      <c r="D43" s="3"/>
      <c r="E43" s="3"/>
      <c r="F43" s="3"/>
      <c r="G43"/>
      <c r="H43"/>
      <c r="I43"/>
      <c r="J43"/>
      <c r="K43"/>
    </row>
    <row r="44" spans="1:11">
      <c r="A44" s="300"/>
      <c r="F44" s="3"/>
    </row>
    <row r="45" spans="1:11">
      <c r="A45" s="300"/>
      <c r="F45" s="3"/>
    </row>
    <row r="46" spans="1:11" ht="14.25" customHeight="1">
      <c r="A46" s="300"/>
      <c r="F46" s="3"/>
    </row>
    <row r="47" spans="1:11">
      <c r="A47" s="300"/>
      <c r="F47" s="3"/>
    </row>
    <row r="48" spans="1:11" ht="12.75" customHeight="1">
      <c r="A48" s="300"/>
      <c r="B48" s="24"/>
      <c r="C48" s="24"/>
      <c r="D48" s="24"/>
      <c r="E48" s="24"/>
      <c r="F48" s="24"/>
    </row>
    <row r="49" spans="1:11" s="24" customFormat="1">
      <c r="A49" s="300"/>
      <c r="B49" s="3"/>
      <c r="C49" s="300"/>
      <c r="D49" s="3"/>
      <c r="E49" s="3"/>
      <c r="F49" s="3"/>
      <c r="G49"/>
      <c r="H49"/>
      <c r="I49"/>
      <c r="J49"/>
      <c r="K49"/>
    </row>
    <row r="50" spans="1:11" ht="14.25" customHeight="1">
      <c r="A50" s="300"/>
      <c r="F50" s="3"/>
    </row>
    <row r="51" spans="1:11" ht="14.25" customHeight="1">
      <c r="A51" s="300"/>
      <c r="F51" s="3"/>
    </row>
    <row r="52" spans="1:11" ht="14.25" customHeight="1">
      <c r="A52" s="300"/>
      <c r="F52" s="3"/>
    </row>
    <row r="53" spans="1:11" ht="12.75" customHeight="1">
      <c r="A53" s="300"/>
      <c r="F53" s="3"/>
    </row>
    <row r="54" spans="1:11" ht="12.75" customHeight="1">
      <c r="A54" s="300"/>
      <c r="F54" s="3"/>
    </row>
    <row r="55" spans="1:11" ht="14.25" customHeight="1">
      <c r="A55" s="300"/>
    </row>
    <row r="56" spans="1:11" ht="14.25" customHeight="1">
      <c r="A56" s="300"/>
      <c r="D56" s="313"/>
    </row>
    <row r="57" spans="1:11" ht="14.25" customHeight="1">
      <c r="A57" s="300"/>
      <c r="D57" s="313"/>
    </row>
    <row r="58" spans="1:11" ht="14.25" customHeight="1">
      <c r="A58" s="300"/>
      <c r="F58" s="3"/>
    </row>
    <row r="59" spans="1:11" ht="14.25" customHeight="1">
      <c r="A59" s="300"/>
      <c r="F59" s="3"/>
    </row>
    <row r="60" spans="1:11" ht="14.25" customHeight="1">
      <c r="A60" s="300"/>
      <c r="F60" s="3"/>
    </row>
    <row r="61" spans="1:11" ht="14.25" customHeight="1">
      <c r="A61" s="300"/>
      <c r="F61" s="3"/>
    </row>
    <row r="62" spans="1:11" ht="14.25" customHeight="1">
      <c r="A62" s="300"/>
      <c r="F62" s="3"/>
    </row>
    <row r="63" spans="1:11" ht="15" customHeight="1">
      <c r="A63" s="12"/>
    </row>
    <row r="65" spans="1:6" ht="12.75" customHeight="1">
      <c r="A65" s="12"/>
    </row>
    <row r="66" spans="1:6" ht="12.75" customHeight="1">
      <c r="A66" s="12"/>
    </row>
    <row r="67" spans="1:6" ht="12.75" customHeight="1">
      <c r="A67" s="12"/>
      <c r="B67" s="2"/>
      <c r="C67" s="123"/>
      <c r="D67" s="2"/>
      <c r="E67" s="2"/>
      <c r="F67" s="61"/>
    </row>
    <row r="68" spans="1:6" ht="12.75" customHeight="1">
      <c r="A68" s="12"/>
      <c r="B68" s="2"/>
      <c r="C68" s="123"/>
      <c r="D68" s="2"/>
      <c r="E68" s="108"/>
      <c r="F68" s="61"/>
    </row>
    <row r="69" spans="1:6" ht="14.25" customHeight="1">
      <c r="A69" s="12"/>
      <c r="B69" s="2"/>
      <c r="C69" s="123"/>
      <c r="D69" s="2"/>
      <c r="E69" s="2"/>
      <c r="F69" s="61"/>
    </row>
    <row r="70" spans="1:6" ht="14.25" customHeight="1">
      <c r="A70" s="12"/>
      <c r="B70" s="103"/>
      <c r="C70" s="103"/>
      <c r="D70" s="103"/>
      <c r="E70" s="108"/>
      <c r="F70" s="61"/>
    </row>
    <row r="71" spans="1:6" ht="15" customHeight="1">
      <c r="A71" s="84"/>
      <c r="B71" s="103"/>
      <c r="C71" s="103"/>
      <c r="D71" s="103"/>
      <c r="E71" s="108"/>
      <c r="F71" s="61"/>
    </row>
    <row r="72" spans="1:6" ht="15" customHeight="1">
      <c r="A72" s="20"/>
      <c r="B72" s="103"/>
      <c r="C72" s="103"/>
      <c r="D72" s="103"/>
      <c r="E72" s="108"/>
      <c r="F72" s="61"/>
    </row>
    <row r="73" spans="1:6" ht="15" customHeight="1">
      <c r="A73" s="20"/>
      <c r="B73" s="103"/>
      <c r="C73" s="103"/>
      <c r="D73" s="103"/>
      <c r="E73" s="109"/>
    </row>
    <row r="74" spans="1:6" ht="13.5" customHeight="1">
      <c r="A74" s="20"/>
      <c r="B74" s="103"/>
      <c r="C74" s="103"/>
      <c r="D74" s="103"/>
      <c r="E74" s="109"/>
    </row>
    <row r="75" spans="1:6" ht="15.75" customHeight="1">
      <c r="A75" s="20"/>
      <c r="B75" s="103"/>
      <c r="C75" s="103"/>
      <c r="D75" s="103"/>
      <c r="E75" s="109"/>
    </row>
    <row r="76" spans="1:6" ht="15.75" customHeight="1">
      <c r="A76" s="20"/>
      <c r="B76" s="103"/>
      <c r="C76" s="103"/>
      <c r="D76" s="103"/>
      <c r="E76" s="109"/>
    </row>
    <row r="77" spans="1:6" ht="15" customHeight="1">
      <c r="A77" s="20"/>
      <c r="B77" s="103"/>
      <c r="C77" s="103"/>
      <c r="D77" s="103"/>
      <c r="E77" s="109"/>
    </row>
    <row r="78" spans="1:6" ht="13.5" customHeight="1">
      <c r="B78" s="103"/>
      <c r="C78" s="103"/>
      <c r="D78" s="103"/>
      <c r="E78" s="109"/>
    </row>
    <row r="79" spans="1:6" ht="13.5" customHeight="1"/>
    <row r="80" spans="1:6" ht="14.25" customHeight="1"/>
  </sheetData>
  <phoneticPr fontId="0" type="noConversion"/>
  <conditionalFormatting sqref="A1:F1">
    <cfRule type="cellIs" dxfId="0" priority="3" stopIfTrue="1" operator="notEqual">
      <formula>0</formula>
    </cfRule>
  </conditionalFormatting>
  <printOptions horizontalCentered="1"/>
  <pageMargins left="0.5" right="0.5" top="0.5" bottom="0.5" header="0.25" footer="0.2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FD1201A-41A4-452B-A000-2CFF5D8A7C93}"/>
</file>

<file path=customXml/itemProps2.xml><?xml version="1.0" encoding="utf-8"?>
<ds:datastoreItem xmlns:ds="http://schemas.openxmlformats.org/officeDocument/2006/customXml" ds:itemID="{EF8EBB12-9180-4017-ADF6-F9485BD04F38}"/>
</file>

<file path=customXml/itemProps3.xml><?xml version="1.0" encoding="utf-8"?>
<ds:datastoreItem xmlns:ds="http://schemas.openxmlformats.org/officeDocument/2006/customXml" ds:itemID="{67E6A50D-5C40-4E2E-87FD-29A6C8F49BC4}"/>
</file>

<file path=customXml/itemProps4.xml><?xml version="1.0" encoding="utf-8"?>
<ds:datastoreItem xmlns:ds="http://schemas.openxmlformats.org/officeDocument/2006/customXml" ds:itemID="{C52A9ACD-9513-4D50-8519-366B937DB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44</vt:i4>
      </vt:variant>
    </vt:vector>
  </HeadingPairs>
  <TitlesOfParts>
    <vt:vector size="49" baseType="lpstr">
      <vt:lpstr>Exh. BGM-4 (1) Lead</vt:lpstr>
      <vt:lpstr>Exh. BGM-4 (2) Adj. Detail</vt:lpstr>
      <vt:lpstr>Exh. BGM-4 (3) Param</vt:lpstr>
      <vt:lpstr>Exh. BGM-4 (4) Rstng and PF Adj</vt:lpstr>
      <vt:lpstr>Not Used</vt:lpstr>
      <vt:lpstr>k_3.01_Deficiency</vt:lpstr>
      <vt:lpstr>keep_PSE</vt:lpstr>
      <vt:lpstr>keep_SEF_11_Gas_Only</vt:lpstr>
      <vt:lpstr>keep_SEF_4_Gas_Summary</vt:lpstr>
      <vt:lpstr>keep_SEF_6_Common_Adjs</vt:lpstr>
      <vt:lpstr>keep_STATE_UTILITY_TAX</vt:lpstr>
      <vt:lpstr>keep_TESTYEAR</vt:lpstr>
      <vt:lpstr>keep_WUTC_FILING_FEE</vt:lpstr>
      <vt:lpstr>kp_DOCKET</vt:lpstr>
      <vt:lpstr>kp_FEDERAL_INCOME_TAX</vt:lpstr>
      <vt:lpstr>kp_Sum_Detail1</vt:lpstr>
      <vt:lpstr>kp_Sum_Detail2</vt:lpstr>
      <vt:lpstr>kp_Sum_Detail3</vt:lpstr>
      <vt:lpstr>kp_Summary</vt:lpstr>
      <vt:lpstr>'Exh. BGM-4 (1) Lead'!Print_Area</vt:lpstr>
      <vt:lpstr>'Exh. BGM-4 (2) Adj. Detail'!Print_Area</vt:lpstr>
      <vt:lpstr>'Not Used'!Print_Area</vt:lpstr>
      <vt:lpstr>'Exh. BGM-4 (1) Lead'!Print_Titles</vt:lpstr>
      <vt:lpstr>'Exh. BGM-4 (2) Adj. Detail'!Print_Titles</vt:lpstr>
      <vt:lpstr>SEF_3.02_Proforma_COC</vt:lpstr>
      <vt:lpstr>SEF_3.03_ConvFact</vt:lpstr>
      <vt:lpstr>SEF_6.01_RevExp</vt:lpstr>
      <vt:lpstr>SEF_6.02_TempNorm</vt:lpstr>
      <vt:lpstr>SEF_6.03_PassThru</vt:lpstr>
      <vt:lpstr>SEF_6.04_FIT</vt:lpstr>
      <vt:lpstr>SEF_6.05_TBPFI</vt:lpstr>
      <vt:lpstr>SEF_6.06_DepStudy</vt:lpstr>
      <vt:lpstr>SEF_6.07_NormInjDmgs</vt:lpstr>
      <vt:lpstr>SEF_6.08_BadDebt</vt:lpstr>
      <vt:lpstr>SEF_6.09_Incentive</vt:lpstr>
      <vt:lpstr>SEF_6.10_DO_Ins</vt:lpstr>
      <vt:lpstr>SEF_6.11_IntCustDep</vt:lpstr>
      <vt:lpstr>SEF_6.12_RateCaseExp</vt:lpstr>
      <vt:lpstr>'Exh. BGM-4 (4) Rstng and PF Adj'!SEF_6.13_DefdGL</vt:lpstr>
      <vt:lpstr>SEF_6.14_PropLiabIns</vt:lpstr>
      <vt:lpstr>SEF_6.15_PensionPlan</vt:lpstr>
      <vt:lpstr>SEF_6.16_WageIncr</vt:lpstr>
      <vt:lpstr>SEF_6.17_InvestPlan</vt:lpstr>
      <vt:lpstr>SEF_6.18_EmplInsur</vt:lpstr>
      <vt:lpstr>SEF_6.19_Envi_Rem</vt:lpstr>
      <vt:lpstr>SEF_6.20_PymntFees</vt:lpstr>
      <vt:lpstr>SEF_6.21_SOK_ServCent</vt:lpstr>
      <vt:lpstr>SEF_6.22_ExciseTax</vt:lpstr>
      <vt:lpstr>SEF_7.01_CRM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Mullins</cp:lastModifiedBy>
  <cp:lastPrinted>2017-06-28T22:53:05Z</cp:lastPrinted>
  <dcterms:created xsi:type="dcterms:W3CDTF">1997-10-13T22:59:17Z</dcterms:created>
  <dcterms:modified xsi:type="dcterms:W3CDTF">2017-06-29T19:54:02Z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