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mc:AlternateContent xmlns:mc="http://schemas.openxmlformats.org/markup-compatibility/2006">
    <mc:Choice Requires="x15">
      <x15ac:absPath xmlns:x15ac="http://schemas.microsoft.com/office/spreadsheetml/2010/11/ac" url="https://stateofwa-my.sharepoint.com/personal/betty_erdahl_utc_wa_gov/Documents/DATA/Avista/200900-901 Avista 2020 GRC/"/>
    </mc:Choice>
  </mc:AlternateContent>
  <xr:revisionPtr revIDLastSave="0" documentId="14_{574FA47F-0ABF-43CF-BB3F-5A67FF1D7D5F}" xr6:coauthVersionLast="46" xr6:coauthVersionMax="46" xr10:uidLastSave="{00000000-0000-0000-0000-000000000000}"/>
  <bookViews>
    <workbookView xWindow="-120" yWindow="-120" windowWidth="29040" windowHeight="17640" xr2:uid="{00000000-000D-0000-FFFF-FFFF00000000}"/>
  </bookViews>
  <sheets>
    <sheet name="Exh BAE-7 Year 1 Calc Pg 1 of 2" sheetId="4" r:id="rId1"/>
    <sheet name="Exh BAE-7 Refund Amt Pg 2 of 2" sheetId="3" r:id="rId2"/>
  </sheets>
  <definedNames>
    <definedName name="_xlnm.Print_Area" localSheetId="1">'Exh BAE-7 Refund Amt Pg 2 of 2'!$A$1:$R$38</definedName>
    <definedName name="_xlnm.Print_Area" localSheetId="0">'Exh BAE-7 Year 1 Calc Pg 1 of 2'!$A$1:$H$72</definedName>
    <definedName name="_xlnm.Print_Titles" localSheetId="1">'Exh BAE-7 Refund Amt Pg 2 of 2'!$A:$B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9" i="3" l="1"/>
  <c r="G35" i="3"/>
  <c r="A73" i="4"/>
  <c r="A74" i="4" s="1"/>
  <c r="D70" i="4"/>
  <c r="D74" i="4"/>
  <c r="F74" i="4"/>
  <c r="D72" i="4"/>
  <c r="D69" i="4"/>
  <c r="H9" i="3"/>
  <c r="H21" i="3"/>
  <c r="F65" i="4" l="1"/>
  <c r="D65" i="4"/>
  <c r="F70" i="4"/>
  <c r="F69" i="4"/>
  <c r="F72" i="4" s="1"/>
  <c r="A68" i="4" l="1"/>
  <c r="A69" i="4" s="1"/>
  <c r="A70" i="4" s="1"/>
  <c r="A71" i="4" s="1"/>
  <c r="A72" i="4" s="1"/>
  <c r="A34" i="3"/>
  <c r="A35" i="3" s="1"/>
  <c r="A36" i="3" s="1"/>
  <c r="A37" i="3" s="1"/>
  <c r="A10" i="4"/>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10" i="3" l="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D16" i="3"/>
  <c r="D59" i="4" l="1"/>
  <c r="C91" i="4" l="1"/>
  <c r="C92" i="4" s="1"/>
  <c r="F89" i="4"/>
  <c r="F90" i="4"/>
  <c r="F88" i="4"/>
  <c r="C81" i="4"/>
  <c r="F59" i="4"/>
  <c r="J22" i="4"/>
  <c r="J21" i="4"/>
  <c r="H20" i="4"/>
  <c r="G20" i="4"/>
  <c r="F20" i="4"/>
  <c r="E20" i="4"/>
  <c r="D20" i="4"/>
  <c r="C20" i="4"/>
  <c r="J19" i="4"/>
  <c r="J18" i="4"/>
  <c r="J16" i="4"/>
  <c r="H15" i="4"/>
  <c r="G15" i="4"/>
  <c r="F15" i="4"/>
  <c r="E15" i="4"/>
  <c r="D15" i="4"/>
  <c r="C15" i="4"/>
  <c r="H14" i="4"/>
  <c r="G14" i="4"/>
  <c r="F14" i="4"/>
  <c r="E14" i="4"/>
  <c r="D14" i="4"/>
  <c r="C14" i="4"/>
  <c r="H13" i="4"/>
  <c r="G13" i="4"/>
  <c r="F13" i="4"/>
  <c r="E13" i="4"/>
  <c r="D13" i="4"/>
  <c r="C13" i="4"/>
  <c r="H12" i="4"/>
  <c r="G12" i="4"/>
  <c r="F12" i="4"/>
  <c r="E12" i="4"/>
  <c r="D12" i="4"/>
  <c r="C12" i="4"/>
  <c r="J11" i="4"/>
  <c r="J10" i="4"/>
  <c r="J9" i="4"/>
  <c r="F91" i="4" l="1"/>
  <c r="F92" i="4" s="1"/>
  <c r="F94" i="4" s="1"/>
  <c r="C17" i="4"/>
  <c r="C94" i="4"/>
  <c r="C95" i="4" s="1"/>
  <c r="G17" i="4"/>
  <c r="G23" i="4" s="1"/>
  <c r="J14" i="4"/>
  <c r="E17" i="4"/>
  <c r="E23" i="4" s="1"/>
  <c r="D17" i="4"/>
  <c r="D23" i="4" s="1"/>
  <c r="H17" i="4"/>
  <c r="H23" i="4" s="1"/>
  <c r="J12" i="4"/>
  <c r="J13" i="4"/>
  <c r="F17" i="4"/>
  <c r="F23" i="4" s="1"/>
  <c r="J20" i="4"/>
  <c r="C23" i="4"/>
  <c r="J15" i="4"/>
  <c r="F95" i="4" l="1"/>
  <c r="J23" i="4"/>
  <c r="J17" i="4"/>
  <c r="U24" i="3"/>
  <c r="T24" i="3"/>
  <c r="R22" i="3"/>
  <c r="O22" i="3"/>
  <c r="M22" i="3"/>
  <c r="L22" i="3"/>
  <c r="P22" i="3" s="1"/>
  <c r="I22" i="3"/>
  <c r="G22" i="3"/>
  <c r="F22" i="3"/>
  <c r="J22" i="3" s="1"/>
  <c r="D22" i="3"/>
  <c r="R16" i="3"/>
  <c r="O16" i="3"/>
  <c r="M16" i="3"/>
  <c r="L16" i="3"/>
  <c r="P16" i="3" s="1"/>
  <c r="I16" i="3"/>
  <c r="G16" i="3"/>
  <c r="F16" i="3"/>
  <c r="Q14" i="3"/>
  <c r="R14" i="3" s="1"/>
  <c r="K14" i="3"/>
  <c r="E14" i="3"/>
  <c r="I14" i="3" s="1"/>
  <c r="C14" i="3"/>
  <c r="Q13" i="3"/>
  <c r="K13" i="3"/>
  <c r="O13" i="3" s="1"/>
  <c r="E13" i="3"/>
  <c r="G13" i="3" s="1"/>
  <c r="C13" i="3"/>
  <c r="C21" i="3" s="1"/>
  <c r="R12" i="3"/>
  <c r="O12" i="3"/>
  <c r="M12" i="3"/>
  <c r="L12" i="3"/>
  <c r="P12" i="3" s="1"/>
  <c r="I12" i="3"/>
  <c r="G12" i="3"/>
  <c r="F12" i="3"/>
  <c r="J12" i="3" s="1"/>
  <c r="D12" i="3"/>
  <c r="Q10" i="3"/>
  <c r="R10" i="3" s="1"/>
  <c r="K10" i="3"/>
  <c r="E10" i="3"/>
  <c r="I10" i="3" s="1"/>
  <c r="C10" i="3"/>
  <c r="Q9" i="3"/>
  <c r="K9" i="3"/>
  <c r="L9" i="3" s="1"/>
  <c r="N9" i="3" s="1"/>
  <c r="E9" i="3"/>
  <c r="G9" i="3" s="1"/>
  <c r="C9" i="3"/>
  <c r="D9" i="3" s="1"/>
  <c r="M34" i="3" l="1"/>
  <c r="N16" i="3"/>
  <c r="J16" i="3"/>
  <c r="H16" i="3"/>
  <c r="G29" i="3"/>
  <c r="G14" i="3"/>
  <c r="M29" i="3"/>
  <c r="G34" i="3"/>
  <c r="C11" i="3"/>
  <c r="D11" i="3" s="1"/>
  <c r="Q15" i="3"/>
  <c r="R15" i="3" s="1"/>
  <c r="G10" i="3"/>
  <c r="T16" i="3"/>
  <c r="M9" i="3"/>
  <c r="F10" i="3"/>
  <c r="H10" i="3" s="1"/>
  <c r="L13" i="3"/>
  <c r="C15" i="3"/>
  <c r="D15" i="3" s="1"/>
  <c r="K15" i="3"/>
  <c r="M15" i="3" s="1"/>
  <c r="H12" i="3"/>
  <c r="N12" i="3"/>
  <c r="D13" i="3"/>
  <c r="M13" i="3"/>
  <c r="H22" i="3"/>
  <c r="N22" i="3"/>
  <c r="K11" i="3"/>
  <c r="L11" i="3" s="1"/>
  <c r="N11" i="3" s="1"/>
  <c r="F14" i="3"/>
  <c r="H14" i="3" s="1"/>
  <c r="T22" i="3"/>
  <c r="K21" i="3"/>
  <c r="Q21" i="3"/>
  <c r="E21" i="3"/>
  <c r="P9" i="3"/>
  <c r="T12" i="3"/>
  <c r="D21" i="3"/>
  <c r="O10" i="3"/>
  <c r="Q11" i="3"/>
  <c r="R11" i="3" s="1"/>
  <c r="F9" i="3"/>
  <c r="R9" i="3"/>
  <c r="R13" i="3"/>
  <c r="L14" i="3"/>
  <c r="I9" i="3"/>
  <c r="E11" i="3"/>
  <c r="I13" i="3"/>
  <c r="O14" i="3"/>
  <c r="D10" i="3"/>
  <c r="L10" i="3"/>
  <c r="F13" i="3"/>
  <c r="D14" i="3"/>
  <c r="O9" i="3"/>
  <c r="M10" i="3"/>
  <c r="M14" i="3"/>
  <c r="N34" i="3" l="1"/>
  <c r="N29" i="3"/>
  <c r="H29" i="3"/>
  <c r="H34" i="3"/>
  <c r="T9" i="3"/>
  <c r="U12" i="3"/>
  <c r="U16" i="3"/>
  <c r="O11" i="3"/>
  <c r="O15" i="3"/>
  <c r="L15" i="3"/>
  <c r="N15" i="3" s="1"/>
  <c r="T14" i="3"/>
  <c r="J14" i="3"/>
  <c r="U22" i="3"/>
  <c r="C18" i="3"/>
  <c r="T13" i="3"/>
  <c r="J10" i="3"/>
  <c r="E15" i="3"/>
  <c r="E18" i="3" s="1"/>
  <c r="T10" i="3"/>
  <c r="P11" i="3"/>
  <c r="K18" i="3"/>
  <c r="M11" i="3"/>
  <c r="M18" i="3" s="1"/>
  <c r="N13" i="3"/>
  <c r="P13" i="3"/>
  <c r="C23" i="3"/>
  <c r="Q23" i="3" s="1"/>
  <c r="R23" i="3" s="1"/>
  <c r="G11" i="3"/>
  <c r="F11" i="3"/>
  <c r="I11" i="3"/>
  <c r="R18" i="3"/>
  <c r="J9" i="3"/>
  <c r="Q18" i="3"/>
  <c r="O21" i="3"/>
  <c r="M21" i="3"/>
  <c r="L21" i="3"/>
  <c r="P14" i="3"/>
  <c r="N14" i="3"/>
  <c r="P10" i="3"/>
  <c r="N10" i="3"/>
  <c r="R21" i="3"/>
  <c r="J13" i="3"/>
  <c r="H13" i="3"/>
  <c r="G21" i="3"/>
  <c r="I21" i="3"/>
  <c r="F21" i="3"/>
  <c r="D18" i="3"/>
  <c r="O18" i="3" l="1"/>
  <c r="U14" i="3"/>
  <c r="L18" i="3"/>
  <c r="P15" i="3"/>
  <c r="P18" i="3" s="1"/>
  <c r="I15" i="3"/>
  <c r="I18" i="3" s="1"/>
  <c r="D23" i="3"/>
  <c r="D25" i="3" s="1"/>
  <c r="D27" i="3" s="1"/>
  <c r="F15" i="3"/>
  <c r="F18" i="3" s="1"/>
  <c r="K23" i="3"/>
  <c r="K25" i="3" s="1"/>
  <c r="K27" i="3" s="1"/>
  <c r="G15" i="3"/>
  <c r="C25" i="3"/>
  <c r="C27" i="3" s="1"/>
  <c r="E23" i="3"/>
  <c r="E25" i="3" s="1"/>
  <c r="E27" i="3" s="1"/>
  <c r="U13" i="3"/>
  <c r="N18" i="3"/>
  <c r="Q25" i="3"/>
  <c r="Q27" i="3" s="1"/>
  <c r="J21" i="3"/>
  <c r="R25" i="3"/>
  <c r="R27" i="3" s="1"/>
  <c r="N21" i="3"/>
  <c r="P21" i="3"/>
  <c r="U9" i="3"/>
  <c r="J11" i="3"/>
  <c r="H11" i="3"/>
  <c r="T11" i="3"/>
  <c r="T21" i="3"/>
  <c r="U10" i="3"/>
  <c r="O23" i="3" l="1"/>
  <c r="O25" i="3" s="1"/>
  <c r="O27" i="3" s="1"/>
  <c r="J15" i="3"/>
  <c r="J18" i="3" s="1"/>
  <c r="H15" i="3"/>
  <c r="F23" i="3"/>
  <c r="F25" i="3" s="1"/>
  <c r="F27" i="3" s="1"/>
  <c r="G18" i="3"/>
  <c r="M23" i="3"/>
  <c r="T15" i="3"/>
  <c r="G23" i="3"/>
  <c r="G30" i="3" s="1"/>
  <c r="I23" i="3"/>
  <c r="I25" i="3" s="1"/>
  <c r="I27" i="3" s="1"/>
  <c r="U11" i="3"/>
  <c r="L23" i="3"/>
  <c r="L25" i="3" s="1"/>
  <c r="L27" i="3" s="1"/>
  <c r="U21" i="3"/>
  <c r="J23" i="3"/>
  <c r="J25" i="3" s="1"/>
  <c r="H23" i="3"/>
  <c r="G31" i="3" l="1"/>
  <c r="G36" i="3" s="1"/>
  <c r="G37" i="3" s="1"/>
  <c r="D67" i="4" s="1"/>
  <c r="M30" i="3"/>
  <c r="M35" i="3" s="1"/>
  <c r="M31" i="3"/>
  <c r="M36" i="3" s="1"/>
  <c r="U15" i="3"/>
  <c r="H31" i="3"/>
  <c r="H36" i="3" s="1"/>
  <c r="H30" i="3"/>
  <c r="M25" i="3"/>
  <c r="M27" i="3" s="1"/>
  <c r="N23" i="3"/>
  <c r="H18" i="3"/>
  <c r="G25" i="3"/>
  <c r="J27" i="3"/>
  <c r="T23" i="3"/>
  <c r="P23" i="3"/>
  <c r="P25" i="3" s="1"/>
  <c r="P27" i="3" s="1"/>
  <c r="H25" i="3"/>
  <c r="M37" i="3" l="1"/>
  <c r="H32" i="3"/>
  <c r="U23" i="3"/>
  <c r="N25" i="3"/>
  <c r="N27" i="3" s="1"/>
  <c r="G32" i="3"/>
  <c r="T25" i="3"/>
  <c r="H35" i="3"/>
  <c r="H37" i="3" s="1"/>
  <c r="N30" i="3"/>
  <c r="N31" i="3"/>
  <c r="N36" i="3" s="1"/>
  <c r="F67" i="4"/>
  <c r="M32" i="3"/>
  <c r="G27" i="3"/>
  <c r="H27" i="3"/>
  <c r="U25" i="3" l="1"/>
  <c r="F80" i="4"/>
  <c r="F6" i="4"/>
  <c r="F26" i="4" s="1"/>
  <c r="F39" i="4" s="1"/>
  <c r="N32" i="3"/>
  <c r="N35" i="3"/>
  <c r="N37" i="3" s="1"/>
  <c r="D6" i="4"/>
  <c r="D26" i="4" s="1"/>
  <c r="D39" i="4" s="1"/>
  <c r="F35" i="4" l="1"/>
  <c r="F34" i="4"/>
  <c r="F36" i="4"/>
  <c r="F28" i="4"/>
  <c r="F37" i="4"/>
  <c r="F29" i="4"/>
  <c r="F27" i="4"/>
  <c r="F40" i="4" s="1"/>
  <c r="F41" i="4" s="1"/>
  <c r="F33" i="4"/>
  <c r="F32" i="4"/>
  <c r="F30" i="4"/>
  <c r="F31" i="4"/>
  <c r="F78" i="4"/>
  <c r="F79" i="4"/>
  <c r="D30" i="4"/>
  <c r="D28" i="4"/>
  <c r="D35" i="4"/>
  <c r="D29" i="4"/>
  <c r="D34" i="4"/>
  <c r="D27" i="4"/>
  <c r="D40" i="4" s="1"/>
  <c r="D36" i="4"/>
  <c r="D33" i="4"/>
  <c r="D31" i="4"/>
  <c r="D37" i="4"/>
  <c r="D32" i="4"/>
  <c r="D79" i="4"/>
  <c r="D80" i="4"/>
  <c r="D78" i="4"/>
  <c r="F42" i="4" l="1"/>
  <c r="F43" i="4" s="1"/>
  <c r="F44" i="4" s="1"/>
  <c r="F45" i="4" s="1"/>
  <c r="F46" i="4" s="1"/>
  <c r="F47" i="4" s="1"/>
  <c r="F48" i="4" s="1"/>
  <c r="F49" i="4" s="1"/>
  <c r="F50" i="4" s="1"/>
  <c r="F51" i="4" s="1"/>
  <c r="F53" i="4" s="1"/>
  <c r="F63" i="4" s="1"/>
  <c r="D41" i="4"/>
  <c r="D42" i="4" s="1"/>
  <c r="D43" i="4" s="1"/>
  <c r="D44" i="4" s="1"/>
  <c r="D45" i="4" s="1"/>
  <c r="D46" i="4" s="1"/>
  <c r="D47" i="4" s="1"/>
  <c r="D48" i="4" s="1"/>
  <c r="D49" i="4" s="1"/>
  <c r="D50" i="4" s="1"/>
  <c r="D51" i="4" s="1"/>
  <c r="D53" i="4" s="1"/>
  <c r="F81" i="4"/>
  <c r="F84" i="4" s="1"/>
  <c r="D81" i="4"/>
  <c r="D84" i="4" s="1"/>
  <c r="D63" i="4" l="1"/>
</calcChain>
</file>

<file path=xl/sharedStrings.xml><?xml version="1.0" encoding="utf-8"?>
<sst xmlns="http://schemas.openxmlformats.org/spreadsheetml/2006/main" count="148" uniqueCount="104">
  <si>
    <t>System</t>
  </si>
  <si>
    <t>Electric</t>
  </si>
  <si>
    <t>Electric - WA</t>
  </si>
  <si>
    <t>Electric - ID</t>
  </si>
  <si>
    <t>Gas North</t>
  </si>
  <si>
    <t>Gas North - WA</t>
  </si>
  <si>
    <t>Gas North - ID</t>
  </si>
  <si>
    <t>Oregon</t>
  </si>
  <si>
    <t>FN</t>
  </si>
  <si>
    <t>ADFIT</t>
  </si>
  <si>
    <t>Grossed-Up (Rev. Req.)</t>
  </si>
  <si>
    <t>Meters - 2019 Only</t>
  </si>
  <si>
    <t>Meters - 481(a) Prior Years</t>
  </si>
  <si>
    <t>A</t>
  </si>
  <si>
    <t>Meters - Amortization</t>
  </si>
  <si>
    <t>B</t>
  </si>
  <si>
    <t>Meters - Excess Deferreds</t>
  </si>
  <si>
    <t>IDD #5 - 2019 Only</t>
  </si>
  <si>
    <t>IDD #5 - 481(a) Prior Years</t>
  </si>
  <si>
    <t>IDD #5 - Amortization</t>
  </si>
  <si>
    <t>IDD #5 - Excess Deferreds</t>
  </si>
  <si>
    <t>Balance 12/31/2019</t>
  </si>
  <si>
    <t>2020 Estimated Future Annual Additions</t>
  </si>
  <si>
    <t>IDD #5</t>
  </si>
  <si>
    <t>Meters</t>
  </si>
  <si>
    <t>Amortization</t>
  </si>
  <si>
    <t>Estimated Balance 12/31/2020</t>
  </si>
  <si>
    <t>The amortization amounts represent the excess book depreciation over tax depreciation taken on the basis adjustments. (Since the basis adjustment has reduced the tax basis to zero, the tax depreciation is also zero.) Under normalization, deferred tax expense is recorded on the book depreciation and reduces the deferred tax liability in FERC Account No. 282900.</t>
  </si>
  <si>
    <t xml:space="preserve">Excess deferreds are associated with asset vintages placed in service prior to the 2018 tax reform when the statutory tax rate changed from 35% to 21%. Since the method changes include basis adjustments on prior year assets, there is an excess deferred amount associated with the new basis adjustments that is considered unprotected and can be flowed through to customers. </t>
  </si>
  <si>
    <t>Life</t>
  </si>
  <si>
    <t>Revenue Req</t>
  </si>
  <si>
    <t>Rate Spread</t>
  </si>
  <si>
    <t>WA E</t>
  </si>
  <si>
    <t>ID E</t>
  </si>
  <si>
    <t>WA G</t>
  </si>
  <si>
    <t>ID G</t>
  </si>
  <si>
    <t>OR G</t>
  </si>
  <si>
    <t>check</t>
  </si>
  <si>
    <t>12/31/2018 Balance</t>
  </si>
  <si>
    <t>2019 Activity:</t>
  </si>
  <si>
    <t>481 (a)</t>
  </si>
  <si>
    <t>2019 Additions</t>
  </si>
  <si>
    <t>2019 Amortization</t>
  </si>
  <si>
    <t>Transfer EDIT</t>
  </si>
  <si>
    <t>12/31/2019 Balance</t>
  </si>
  <si>
    <t>2020 Activity:</t>
  </si>
  <si>
    <t>2020 Additions</t>
  </si>
  <si>
    <t>2020 Amortization</t>
  </si>
  <si>
    <t>12/31/2020 Balance</t>
  </si>
  <si>
    <t>Increase to Rate Base</t>
  </si>
  <si>
    <t>Debt %</t>
  </si>
  <si>
    <t>Debt Cost</t>
  </si>
  <si>
    <t>Equity %</t>
  </si>
  <si>
    <t>Equity Cost</t>
  </si>
  <si>
    <t xml:space="preserve">   ROR</t>
  </si>
  <si>
    <t>CF</t>
  </si>
  <si>
    <t>FIT Benefit of Interest</t>
  </si>
  <si>
    <t>Revenue Requirement</t>
  </si>
  <si>
    <t>Revenue Requirement of Tax Credit</t>
  </si>
  <si>
    <t>Uncollectibles</t>
  </si>
  <si>
    <t>Commisssion Fees</t>
  </si>
  <si>
    <t>WA Excise Tax</t>
  </si>
  <si>
    <t xml:space="preserve"> Total Revenue Requirement</t>
  </si>
  <si>
    <t>same</t>
  </si>
  <si>
    <t>ok</t>
  </si>
  <si>
    <t>FIT</t>
  </si>
  <si>
    <t>Consistent with DFIT calc</t>
  </si>
  <si>
    <t>EDIT Meters and IDD #5</t>
  </si>
  <si>
    <t>ADFIT Meters</t>
  </si>
  <si>
    <t>ADFIT IDD #5</t>
  </si>
  <si>
    <t>EDIT Meters and IDD #5 - refund over year 1</t>
  </si>
  <si>
    <t>UE-190074</t>
  </si>
  <si>
    <t>UG-190075</t>
  </si>
  <si>
    <t>Docket UE-200900/UG-200901/UE-200894</t>
  </si>
  <si>
    <t>Page 1 of 2</t>
  </si>
  <si>
    <t>Exh. BAE-7</t>
  </si>
  <si>
    <t>Page 2 of 2</t>
  </si>
  <si>
    <t>(a)</t>
  </si>
  <si>
    <t>(b)</t>
  </si>
  <si>
    <t>(c)</t>
  </si>
  <si>
    <t>(d)</t>
  </si>
  <si>
    <t>(e)</t>
  </si>
  <si>
    <t>(f)</t>
  </si>
  <si>
    <t>(g)</t>
  </si>
  <si>
    <t>(i)</t>
  </si>
  <si>
    <t>(j)</t>
  </si>
  <si>
    <t>(k)</t>
  </si>
  <si>
    <t>(l)</t>
  </si>
  <si>
    <t>(m)</t>
  </si>
  <si>
    <t>(n)</t>
  </si>
  <si>
    <t>(o)</t>
  </si>
  <si>
    <t>(p)</t>
  </si>
  <si>
    <t>(q)</t>
  </si>
  <si>
    <t>(r)</t>
  </si>
  <si>
    <t>Staff Proposed Calculation of refund amount for year one: EDIT over one year, ADFIT over approximate life of underlying asset, and AFUDC equity portion deferral over one year.</t>
  </si>
  <si>
    <t>Staff Proposed</t>
  </si>
  <si>
    <t>Avista Proposed</t>
  </si>
  <si>
    <t>Ln</t>
  </si>
  <si>
    <t>Staff Calculation of Year 1 Revenue Requirement Amount to Refund to Customers</t>
  </si>
  <si>
    <t>Tax Credit (Before Conv. Factor)</t>
  </si>
  <si>
    <t>AFUDC Equity Portion Deferred Credit</t>
  </si>
  <si>
    <t>EDIT and ADFIT Tax Credit</t>
  </si>
  <si>
    <t>Grossed up AFUDC Equity Portion Def.</t>
  </si>
  <si>
    <t>Ln 60/Ln 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</si>
</sst>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0.000%"/>
    <numFmt numFmtId="166" formatCode="_(* #,##0_);_(* \(#,##0\);_(* &quot;-&quot;???_);_(@_)"/>
    <numFmt numFmtId="167" formatCode="0.0%"/>
  </numFmts>
  <fonts count="4"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s>
  <fills count="5">
    <fill>
      <patternFill patternType="none"/>
    </fill>
    <fill>
      <patternFill patternType="gray125"/>
    </fill>
    <fill>
      <patternFill patternType="solid">
        <fgColor rgb="FFFFC000"/>
        <bgColor indexed="64"/>
      </patternFill>
    </fill>
    <fill>
      <patternFill patternType="solid">
        <fgColor theme="9" tint="0.79998168889431442"/>
        <bgColor indexed="64"/>
      </patternFill>
    </fill>
    <fill>
      <patternFill patternType="solid">
        <fgColor theme="5" tint="0.79998168889431442"/>
        <bgColor indexed="64"/>
      </patternFill>
    </fill>
  </fills>
  <borders count="1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medium">
        <color indexed="64"/>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cellStyleXfs>
  <cellXfs count="55">
    <xf numFmtId="0" fontId="0" fillId="0" borderId="0" xfId="0"/>
    <xf numFmtId="0" fontId="0" fillId="0" borderId="0" xfId="0" applyAlignment="1">
      <alignment horizontal="center"/>
    </xf>
    <xf numFmtId="164" fontId="0" fillId="0" borderId="0" xfId="1" applyNumberFormat="1" applyFont="1"/>
    <xf numFmtId="164" fontId="0" fillId="0" borderId="0" xfId="0" applyNumberFormat="1"/>
    <xf numFmtId="0" fontId="2" fillId="0" borderId="0" xfId="0" applyFont="1"/>
    <xf numFmtId="0" fontId="2" fillId="0" borderId="0" xfId="0" applyFont="1" applyAlignment="1">
      <alignment horizontal="center" wrapText="1"/>
    </xf>
    <xf numFmtId="0" fontId="2" fillId="0" borderId="0" xfId="0" applyFont="1" applyFill="1" applyAlignment="1">
      <alignment horizontal="center"/>
    </xf>
    <xf numFmtId="0" fontId="0" fillId="0" borderId="0" xfId="0" applyFill="1"/>
    <xf numFmtId="164" fontId="0" fillId="0" borderId="0" xfId="1" applyNumberFormat="1" applyFont="1" applyFill="1"/>
    <xf numFmtId="9" fontId="0" fillId="0" borderId="0" xfId="2" applyFont="1"/>
    <xf numFmtId="164" fontId="0" fillId="0" borderId="3" xfId="1" applyNumberFormat="1" applyFont="1" applyBorder="1"/>
    <xf numFmtId="0" fontId="0" fillId="0" borderId="0" xfId="0" applyAlignment="1">
      <alignment horizontal="left" indent="1"/>
    </xf>
    <xf numFmtId="164" fontId="0" fillId="0" borderId="0" xfId="1" applyNumberFormat="1" applyFont="1" applyBorder="1"/>
    <xf numFmtId="164" fontId="0" fillId="0" borderId="4" xfId="1" applyNumberFormat="1" applyFont="1" applyBorder="1"/>
    <xf numFmtId="0" fontId="2" fillId="0" borderId="0" xfId="0" applyFont="1" applyAlignment="1">
      <alignment horizontal="center" vertical="top"/>
    </xf>
    <xf numFmtId="0" fontId="0" fillId="0" borderId="0" xfId="0" applyAlignment="1">
      <alignment vertical="top"/>
    </xf>
    <xf numFmtId="0" fontId="0" fillId="0" borderId="0" xfId="0" applyAlignment="1">
      <alignment vertical="top" wrapText="1"/>
    </xf>
    <xf numFmtId="0" fontId="0" fillId="0" borderId="0" xfId="0" applyAlignment="1"/>
    <xf numFmtId="0" fontId="2" fillId="0" borderId="5" xfId="0" applyFont="1" applyBorder="1" applyAlignment="1">
      <alignment horizontal="center" wrapText="1"/>
    </xf>
    <xf numFmtId="164" fontId="0" fillId="0" borderId="6" xfId="1" applyNumberFormat="1" applyFont="1" applyFill="1" applyBorder="1"/>
    <xf numFmtId="164" fontId="0" fillId="0" borderId="6" xfId="1" applyNumberFormat="1" applyFont="1" applyBorder="1"/>
    <xf numFmtId="164" fontId="0" fillId="0" borderId="7" xfId="1" applyNumberFormat="1" applyFont="1" applyBorder="1"/>
    <xf numFmtId="0" fontId="0" fillId="0" borderId="6" xfId="0" applyBorder="1"/>
    <xf numFmtId="164" fontId="0" fillId="0" borderId="8" xfId="1" applyNumberFormat="1" applyFont="1" applyBorder="1"/>
    <xf numFmtId="164" fontId="0" fillId="0" borderId="9" xfId="1" applyNumberFormat="1" applyFont="1" applyBorder="1"/>
    <xf numFmtId="164" fontId="0" fillId="0" borderId="0" xfId="1" applyNumberFormat="1" applyFont="1" applyBorder="1" applyAlignment="1">
      <alignment horizontal="center"/>
    </xf>
    <xf numFmtId="14" fontId="0" fillId="0" borderId="0" xfId="0" applyNumberFormat="1"/>
    <xf numFmtId="17" fontId="0" fillId="0" borderId="0" xfId="0" applyNumberFormat="1"/>
    <xf numFmtId="164" fontId="0" fillId="2" borderId="0" xfId="0" applyNumberFormat="1" applyFill="1"/>
    <xf numFmtId="10" fontId="0" fillId="0" borderId="0" xfId="0" applyNumberFormat="1"/>
    <xf numFmtId="165" fontId="0" fillId="0" borderId="9" xfId="0" applyNumberFormat="1" applyBorder="1"/>
    <xf numFmtId="166" fontId="0" fillId="0" borderId="0" xfId="0" applyNumberFormat="1"/>
    <xf numFmtId="164" fontId="0" fillId="2" borderId="0" xfId="1" applyNumberFormat="1" applyFont="1" applyFill="1"/>
    <xf numFmtId="164" fontId="0" fillId="2" borderId="9" xfId="1" applyNumberFormat="1" applyFont="1" applyFill="1" applyBorder="1"/>
    <xf numFmtId="10" fontId="0" fillId="0" borderId="0" xfId="2" applyNumberFormat="1" applyFont="1"/>
    <xf numFmtId="0" fontId="0" fillId="0" borderId="0" xfId="0" applyAlignment="1">
      <alignment horizontal="right"/>
    </xf>
    <xf numFmtId="0" fontId="0" fillId="0" borderId="10" xfId="0" applyBorder="1"/>
    <xf numFmtId="0" fontId="0" fillId="3" borderId="0" xfId="0" applyFill="1"/>
    <xf numFmtId="0" fontId="0" fillId="0" borderId="0" xfId="0" applyBorder="1"/>
    <xf numFmtId="164" fontId="0" fillId="3" borderId="6" xfId="1" applyNumberFormat="1" applyFont="1" applyFill="1" applyBorder="1"/>
    <xf numFmtId="164" fontId="0" fillId="3" borderId="0" xfId="1" applyNumberFormat="1" applyFont="1" applyFill="1"/>
    <xf numFmtId="164" fontId="0" fillId="3" borderId="0" xfId="1" applyNumberFormat="1" applyFont="1" applyFill="1" applyBorder="1"/>
    <xf numFmtId="164" fontId="0" fillId="3" borderId="0" xfId="1" applyNumberFormat="1" applyFont="1" applyFill="1" applyBorder="1" applyAlignment="1">
      <alignment horizontal="center"/>
    </xf>
    <xf numFmtId="2" fontId="0" fillId="0" borderId="0" xfId="1" applyNumberFormat="1" applyFont="1"/>
    <xf numFmtId="167" fontId="0" fillId="0" borderId="0" xfId="2" applyNumberFormat="1" applyFont="1"/>
    <xf numFmtId="0" fontId="3" fillId="0" borderId="0" xfId="3" applyAlignment="1">
      <alignment horizontal="right"/>
    </xf>
    <xf numFmtId="164" fontId="0" fillId="0" borderId="10" xfId="0" applyNumberFormat="1" applyBorder="1"/>
    <xf numFmtId="164" fontId="0" fillId="0" borderId="0" xfId="1" applyNumberFormat="1" applyFont="1" applyFill="1" applyBorder="1"/>
    <xf numFmtId="166" fontId="0" fillId="0" borderId="0" xfId="0" applyNumberFormat="1" applyFill="1"/>
    <xf numFmtId="164" fontId="0" fillId="0" borderId="10" xfId="1" applyNumberFormat="1" applyFont="1" applyFill="1" applyBorder="1"/>
    <xf numFmtId="166" fontId="0" fillId="4" borderId="0" xfId="0" applyNumberFormat="1" applyFill="1"/>
    <xf numFmtId="0" fontId="0" fillId="4" borderId="0" xfId="0" applyFill="1"/>
    <xf numFmtId="0" fontId="2" fillId="0" borderId="1" xfId="0" applyFont="1" applyBorder="1" applyAlignment="1">
      <alignment horizontal="center"/>
    </xf>
    <xf numFmtId="0" fontId="2" fillId="0" borderId="2" xfId="0" applyFont="1" applyBorder="1" applyAlignment="1">
      <alignment horizontal="center"/>
    </xf>
    <xf numFmtId="0" fontId="0" fillId="0" borderId="0" xfId="0" applyAlignment="1">
      <alignment horizontal="left" vertical="top" wrapText="1"/>
    </xf>
  </cellXfs>
  <cellStyles count="4">
    <cellStyle name="Comma" xfId="1" builtinId="3"/>
    <cellStyle name="Normal" xfId="0" builtinId="0"/>
    <cellStyle name="Normal 10 2" xfId="3" xr:uid="{28F45C11-7211-4E81-8DA7-6BA5F5FC1E1E}"/>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95"/>
  <sheetViews>
    <sheetView tabSelected="1" topLeftCell="A49" zoomScale="120" zoomScaleNormal="120" workbookViewId="0">
      <selection activeCell="B67" sqref="B67"/>
    </sheetView>
  </sheetViews>
  <sheetFormatPr defaultRowHeight="15" x14ac:dyDescent="0.25"/>
  <cols>
    <col min="1" max="1" width="3.42578125" customWidth="1"/>
    <col min="2" max="2" width="17.7109375" bestFit="1" customWidth="1"/>
    <col min="3" max="3" width="17.28515625" customWidth="1"/>
    <col min="4" max="4" width="15.28515625" bestFit="1" customWidth="1"/>
    <col min="5" max="5" width="14.7109375" customWidth="1"/>
    <col min="6" max="6" width="13.7109375" bestFit="1" customWidth="1"/>
    <col min="7" max="7" width="14.42578125" customWidth="1"/>
    <col min="8" max="8" width="13.28515625" bestFit="1" customWidth="1"/>
    <col min="9" max="9" width="1.28515625" customWidth="1"/>
    <col min="10" max="10" width="6.140625" bestFit="1" customWidth="1"/>
    <col min="11" max="11" width="1" customWidth="1"/>
    <col min="12" max="12" width="12.85546875" bestFit="1" customWidth="1"/>
    <col min="13" max="13" width="1.42578125" customWidth="1"/>
    <col min="14" max="14" width="12.85546875" bestFit="1" customWidth="1"/>
  </cols>
  <sheetData>
    <row r="1" spans="1:14" x14ac:dyDescent="0.25">
      <c r="A1" s="4" t="s">
        <v>98</v>
      </c>
      <c r="H1" s="45" t="s">
        <v>75</v>
      </c>
    </row>
    <row r="2" spans="1:14" x14ac:dyDescent="0.25">
      <c r="H2" s="45" t="s">
        <v>73</v>
      </c>
    </row>
    <row r="3" spans="1:14" x14ac:dyDescent="0.25">
      <c r="H3" s="45" t="s">
        <v>74</v>
      </c>
    </row>
    <row r="4" spans="1:14" x14ac:dyDescent="0.25">
      <c r="N4" s="45"/>
    </row>
    <row r="5" spans="1:14" x14ac:dyDescent="0.25">
      <c r="B5" s="1" t="s">
        <v>77</v>
      </c>
      <c r="C5" s="1" t="s">
        <v>78</v>
      </c>
      <c r="D5" s="1" t="s">
        <v>79</v>
      </c>
      <c r="E5" s="1" t="s">
        <v>80</v>
      </c>
      <c r="F5" s="1" t="s">
        <v>81</v>
      </c>
      <c r="G5" s="1" t="s">
        <v>82</v>
      </c>
      <c r="H5" s="1" t="s">
        <v>83</v>
      </c>
      <c r="I5" s="1"/>
      <c r="J5" s="1"/>
      <c r="K5" s="1"/>
      <c r="L5" s="1"/>
      <c r="M5" s="1"/>
      <c r="N5" s="1"/>
    </row>
    <row r="6" spans="1:14" x14ac:dyDescent="0.25">
      <c r="B6" t="s">
        <v>30</v>
      </c>
      <c r="D6" s="32">
        <f>D67</f>
        <v>9557950.7832156885</v>
      </c>
      <c r="E6" s="2"/>
      <c r="F6" s="32">
        <f t="shared" ref="F6" si="0">F67</f>
        <v>4664827.2439370938</v>
      </c>
    </row>
    <row r="7" spans="1:14" x14ac:dyDescent="0.25">
      <c r="L7" t="s">
        <v>31</v>
      </c>
      <c r="N7" t="s">
        <v>31</v>
      </c>
    </row>
    <row r="8" spans="1:14" x14ac:dyDescent="0.25">
      <c r="A8" t="s">
        <v>97</v>
      </c>
      <c r="C8" s="1" t="s">
        <v>0</v>
      </c>
      <c r="D8" s="1" t="s">
        <v>32</v>
      </c>
      <c r="E8" s="1" t="s">
        <v>33</v>
      </c>
      <c r="F8" s="1" t="s">
        <v>34</v>
      </c>
      <c r="G8" s="1" t="s">
        <v>35</v>
      </c>
      <c r="H8" s="1" t="s">
        <v>36</v>
      </c>
      <c r="J8" t="s">
        <v>37</v>
      </c>
      <c r="L8" s="1" t="s">
        <v>32</v>
      </c>
      <c r="M8" s="1"/>
      <c r="N8" s="1" t="s">
        <v>34</v>
      </c>
    </row>
    <row r="9" spans="1:14" x14ac:dyDescent="0.25">
      <c r="A9">
        <v>1</v>
      </c>
      <c r="B9" t="s">
        <v>38</v>
      </c>
      <c r="C9" s="2">
        <v>0</v>
      </c>
      <c r="D9" s="2">
        <v>0</v>
      </c>
      <c r="E9" s="2">
        <v>0</v>
      </c>
      <c r="F9" s="2">
        <v>0</v>
      </c>
      <c r="G9" s="2">
        <v>0</v>
      </c>
      <c r="H9" s="2">
        <v>0</v>
      </c>
      <c r="I9" s="2"/>
      <c r="J9" s="2">
        <f>C9-D9-E9-F9-G9-H9</f>
        <v>0</v>
      </c>
      <c r="K9" s="2"/>
    </row>
    <row r="10" spans="1:14" x14ac:dyDescent="0.25">
      <c r="A10">
        <f>+A9+1</f>
        <v>2</v>
      </c>
      <c r="C10" s="2"/>
      <c r="D10" s="2"/>
      <c r="E10" s="2"/>
      <c r="F10" s="2"/>
      <c r="G10" s="2"/>
      <c r="H10" s="2"/>
      <c r="I10" s="2"/>
      <c r="J10" s="2">
        <f t="shared" ref="J10:J23" si="1">C10-D10-E10-F10-G10-H10</f>
        <v>0</v>
      </c>
      <c r="K10" s="2"/>
    </row>
    <row r="11" spans="1:14" x14ac:dyDescent="0.25">
      <c r="A11">
        <f t="shared" ref="A11:A74" si="2">+A10+1</f>
        <v>3</v>
      </c>
      <c r="B11" t="s">
        <v>39</v>
      </c>
      <c r="C11" s="2"/>
      <c r="D11" s="2"/>
      <c r="E11" s="2"/>
      <c r="F11" s="2"/>
      <c r="G11" s="2"/>
      <c r="H11" s="2"/>
      <c r="I11" s="2"/>
      <c r="J11" s="2">
        <f t="shared" si="1"/>
        <v>0</v>
      </c>
      <c r="K11" s="2"/>
    </row>
    <row r="12" spans="1:14" x14ac:dyDescent="0.25">
      <c r="A12">
        <f t="shared" si="2"/>
        <v>4</v>
      </c>
      <c r="B12" t="s">
        <v>40</v>
      </c>
      <c r="C12" s="2">
        <f>-12076466-70924333</f>
        <v>-83000799</v>
      </c>
      <c r="D12" s="2">
        <f>-1872998-30855055</f>
        <v>-32728053</v>
      </c>
      <c r="E12" s="2">
        <f>-1008537-16614260</f>
        <v>-17622797</v>
      </c>
      <c r="F12" s="2">
        <f>-4272542-10400332</f>
        <v>-14672874</v>
      </c>
      <c r="G12" s="2">
        <f>-1831090-4457285</f>
        <v>-6288375</v>
      </c>
      <c r="H12" s="2">
        <f>-3091299-8597401</f>
        <v>-11688700</v>
      </c>
      <c r="I12" s="2"/>
      <c r="J12" s="2">
        <f t="shared" si="1"/>
        <v>0</v>
      </c>
      <c r="K12" s="2"/>
    </row>
    <row r="13" spans="1:14" x14ac:dyDescent="0.25">
      <c r="A13">
        <f t="shared" si="2"/>
        <v>5</v>
      </c>
      <c r="B13" t="s">
        <v>41</v>
      </c>
      <c r="C13" s="2">
        <f>-11378988-6147010</f>
        <v>-17525998</v>
      </c>
      <c r="D13" s="2">
        <f>-4361554-2595031</f>
        <v>-6956585</v>
      </c>
      <c r="E13" s="2">
        <f>-2348529-1397325</f>
        <v>-3745854</v>
      </c>
      <c r="F13" s="2">
        <f>-2639657-1042519</f>
        <v>-3682176</v>
      </c>
      <c r="G13" s="2">
        <f>-1131281-446794</f>
        <v>-1578075</v>
      </c>
      <c r="H13" s="2">
        <f>-897967-665341</f>
        <v>-1563308</v>
      </c>
      <c r="I13" s="2"/>
      <c r="J13" s="2">
        <f t="shared" si="1"/>
        <v>0</v>
      </c>
      <c r="K13" s="2"/>
    </row>
    <row r="14" spans="1:14" x14ac:dyDescent="0.25">
      <c r="A14">
        <f t="shared" si="2"/>
        <v>6</v>
      </c>
      <c r="B14" t="s">
        <v>42</v>
      </c>
      <c r="C14" s="2">
        <f>2419978+13438966</f>
        <v>15858944</v>
      </c>
      <c r="D14" s="2">
        <f>801948+6253901</f>
        <v>7055849</v>
      </c>
      <c r="E14" s="2">
        <f>431818+3367485</f>
        <v>3799303</v>
      </c>
      <c r="F14" s="2">
        <f>653069+1864308</f>
        <v>2517377</v>
      </c>
      <c r="G14" s="2">
        <f>279887+798989</f>
        <v>1078876</v>
      </c>
      <c r="H14" s="2">
        <f>253255+1154283</f>
        <v>1407538</v>
      </c>
      <c r="I14" s="2"/>
      <c r="J14" s="2">
        <f t="shared" si="1"/>
        <v>1</v>
      </c>
      <c r="K14" s="2"/>
    </row>
    <row r="15" spans="1:14" x14ac:dyDescent="0.25">
      <c r="A15">
        <f t="shared" si="2"/>
        <v>7</v>
      </c>
      <c r="B15" t="s">
        <v>43</v>
      </c>
      <c r="C15" s="2">
        <f>-2754681-18786790</f>
        <v>-21541471</v>
      </c>
      <c r="D15" s="2">
        <f>-264751-7854773</f>
        <v>-8119524</v>
      </c>
      <c r="E15" s="2">
        <f>-142558-4229493</f>
        <v>-4372051</v>
      </c>
      <c r="F15" s="2">
        <f>-983314-2832305</f>
        <v>-3815619</v>
      </c>
      <c r="G15" s="2">
        <f>-421420-1213845</f>
        <v>-1635265</v>
      </c>
      <c r="H15" s="2">
        <f>-942638-2656373</f>
        <v>-3599011</v>
      </c>
      <c r="I15" s="2"/>
      <c r="J15" s="2">
        <f t="shared" si="1"/>
        <v>-1</v>
      </c>
      <c r="K15" s="2"/>
    </row>
    <row r="16" spans="1:14" x14ac:dyDescent="0.25">
      <c r="A16">
        <f t="shared" si="2"/>
        <v>8</v>
      </c>
      <c r="C16" s="2"/>
      <c r="D16" s="2"/>
      <c r="E16" s="2"/>
      <c r="F16" s="2"/>
      <c r="G16" s="2"/>
      <c r="H16" s="2"/>
      <c r="I16" s="2"/>
      <c r="J16" s="2">
        <f t="shared" si="1"/>
        <v>0</v>
      </c>
      <c r="K16" s="2"/>
    </row>
    <row r="17" spans="1:14" x14ac:dyDescent="0.25">
      <c r="A17">
        <f t="shared" si="2"/>
        <v>9</v>
      </c>
      <c r="B17" t="s">
        <v>44</v>
      </c>
      <c r="C17" s="2">
        <f>SUM(C9:C15)</f>
        <v>-106209324</v>
      </c>
      <c r="D17" s="2">
        <f t="shared" ref="D17:H17" si="3">SUM(D9:D15)</f>
        <v>-40748313</v>
      </c>
      <c r="E17" s="2">
        <f t="shared" si="3"/>
        <v>-21941399</v>
      </c>
      <c r="F17" s="2">
        <f t="shared" si="3"/>
        <v>-19653292</v>
      </c>
      <c r="G17" s="2">
        <f t="shared" si="3"/>
        <v>-8422839</v>
      </c>
      <c r="H17" s="2">
        <f t="shared" si="3"/>
        <v>-15443481</v>
      </c>
      <c r="I17" s="2"/>
      <c r="J17" s="2">
        <f t="shared" si="1"/>
        <v>0</v>
      </c>
      <c r="K17" s="2"/>
    </row>
    <row r="18" spans="1:14" x14ac:dyDescent="0.25">
      <c r="A18">
        <f t="shared" si="2"/>
        <v>10</v>
      </c>
      <c r="C18" s="2"/>
      <c r="D18" s="2"/>
      <c r="E18" s="2"/>
      <c r="F18" s="2"/>
      <c r="G18" s="2"/>
      <c r="H18" s="2"/>
      <c r="I18" s="2"/>
      <c r="J18" s="2">
        <f t="shared" si="1"/>
        <v>0</v>
      </c>
      <c r="K18" s="2"/>
    </row>
    <row r="19" spans="1:14" x14ac:dyDescent="0.25">
      <c r="A19">
        <f t="shared" si="2"/>
        <v>11</v>
      </c>
      <c r="B19" t="s">
        <v>45</v>
      </c>
      <c r="C19" s="2"/>
      <c r="D19" s="2"/>
      <c r="E19" s="2"/>
      <c r="F19" s="2"/>
      <c r="G19" s="2"/>
      <c r="H19" s="2"/>
      <c r="I19" s="2"/>
      <c r="J19" s="2">
        <f t="shared" si="1"/>
        <v>0</v>
      </c>
      <c r="K19" s="2"/>
    </row>
    <row r="20" spans="1:14" x14ac:dyDescent="0.25">
      <c r="A20">
        <f t="shared" si="2"/>
        <v>12</v>
      </c>
      <c r="B20" t="s">
        <v>46</v>
      </c>
      <c r="C20" s="2">
        <f>-6147010-9648925</f>
        <v>-15795935</v>
      </c>
      <c r="D20" s="2">
        <f>-2595031-3718726</f>
        <v>-6313757</v>
      </c>
      <c r="E20" s="2">
        <f>-1397325-2002391</f>
        <v>-3399716</v>
      </c>
      <c r="F20" s="2">
        <f>-1042519-2157151</f>
        <v>-3199670</v>
      </c>
      <c r="G20" s="2">
        <f>-446794-924493</f>
        <v>-1371287</v>
      </c>
      <c r="H20" s="2">
        <f>-665341-846164</f>
        <v>-1511505</v>
      </c>
      <c r="I20" s="2"/>
      <c r="J20" s="2">
        <f t="shared" si="1"/>
        <v>0</v>
      </c>
      <c r="K20" s="2"/>
    </row>
    <row r="21" spans="1:14" x14ac:dyDescent="0.25">
      <c r="A21">
        <f t="shared" si="2"/>
        <v>13</v>
      </c>
      <c r="B21" t="s">
        <v>47</v>
      </c>
      <c r="C21" s="2">
        <v>2837028</v>
      </c>
      <c r="D21" s="2">
        <v>1133982</v>
      </c>
      <c r="E21" s="2">
        <v>610606</v>
      </c>
      <c r="F21" s="2">
        <v>574677</v>
      </c>
      <c r="G21" s="2">
        <v>246290</v>
      </c>
      <c r="H21" s="2">
        <v>271474</v>
      </c>
      <c r="I21" s="2"/>
      <c r="J21" s="2">
        <f t="shared" si="1"/>
        <v>-1</v>
      </c>
      <c r="K21" s="2"/>
    </row>
    <row r="22" spans="1:14" x14ac:dyDescent="0.25">
      <c r="A22">
        <f t="shared" si="2"/>
        <v>14</v>
      </c>
      <c r="C22" s="2"/>
      <c r="D22" s="2"/>
      <c r="E22" s="2"/>
      <c r="F22" s="2"/>
      <c r="G22" s="2"/>
      <c r="H22" s="2"/>
      <c r="I22" s="2"/>
      <c r="J22" s="2">
        <f t="shared" si="1"/>
        <v>0</v>
      </c>
      <c r="K22" s="2"/>
    </row>
    <row r="23" spans="1:14" x14ac:dyDescent="0.25">
      <c r="A23">
        <f t="shared" si="2"/>
        <v>15</v>
      </c>
      <c r="B23" s="26" t="s">
        <v>48</v>
      </c>
      <c r="C23" s="2">
        <f>SUM(C17:C21)</f>
        <v>-119168231</v>
      </c>
      <c r="D23" s="2">
        <f t="shared" ref="D23:H23" si="4">SUM(D17:D21)</f>
        <v>-45928088</v>
      </c>
      <c r="E23" s="2">
        <f t="shared" si="4"/>
        <v>-24730509</v>
      </c>
      <c r="F23" s="2">
        <f t="shared" si="4"/>
        <v>-22278285</v>
      </c>
      <c r="G23" s="2">
        <f t="shared" si="4"/>
        <v>-9547836</v>
      </c>
      <c r="H23" s="2">
        <f t="shared" si="4"/>
        <v>-16683512</v>
      </c>
      <c r="I23" s="2"/>
      <c r="J23" s="2">
        <f t="shared" si="1"/>
        <v>-1</v>
      </c>
      <c r="K23" s="2"/>
    </row>
    <row r="24" spans="1:14" x14ac:dyDescent="0.25">
      <c r="A24">
        <f t="shared" si="2"/>
        <v>16</v>
      </c>
    </row>
    <row r="25" spans="1:14" x14ac:dyDescent="0.25">
      <c r="A25">
        <f t="shared" si="2"/>
        <v>17</v>
      </c>
      <c r="B25" s="27"/>
    </row>
    <row r="26" spans="1:14" x14ac:dyDescent="0.25">
      <c r="A26">
        <f t="shared" si="2"/>
        <v>18</v>
      </c>
      <c r="B26" s="27">
        <v>44470</v>
      </c>
      <c r="D26" s="2">
        <f>$D$6*L26</f>
        <v>772421.64859346324</v>
      </c>
      <c r="E26" s="2"/>
      <c r="F26" s="2">
        <f>$F$6*N26</f>
        <v>375295.10200779483</v>
      </c>
      <c r="K26" s="43"/>
      <c r="L26">
        <v>8.0814566439270652E-2</v>
      </c>
      <c r="N26">
        <v>8.0452090159516265E-2</v>
      </c>
    </row>
    <row r="27" spans="1:14" x14ac:dyDescent="0.25">
      <c r="A27">
        <f t="shared" si="2"/>
        <v>19</v>
      </c>
      <c r="B27" s="27">
        <v>44501</v>
      </c>
      <c r="D27" s="2">
        <f t="shared" ref="D27:D37" si="5">$D$6*L27</f>
        <v>790909.29444702761</v>
      </c>
      <c r="E27" s="2"/>
      <c r="F27" s="2">
        <f t="shared" ref="F27:F37" si="6">$F$6*N27</f>
        <v>543206.27605991764</v>
      </c>
      <c r="L27">
        <v>8.2748835224796286E-2</v>
      </c>
      <c r="N27">
        <v>0.11644724395012192</v>
      </c>
    </row>
    <row r="28" spans="1:14" x14ac:dyDescent="0.25">
      <c r="A28">
        <f t="shared" si="2"/>
        <v>20</v>
      </c>
      <c r="B28" s="27">
        <v>44531</v>
      </c>
      <c r="D28" s="2">
        <f t="shared" si="5"/>
        <v>937702.64562257251</v>
      </c>
      <c r="E28" s="2"/>
      <c r="F28" s="2">
        <f t="shared" si="6"/>
        <v>662832.97982373892</v>
      </c>
      <c r="L28">
        <v>9.8107080365932867E-2</v>
      </c>
      <c r="N28">
        <v>0.14209164566281146</v>
      </c>
    </row>
    <row r="29" spans="1:14" x14ac:dyDescent="0.25">
      <c r="A29">
        <f t="shared" si="2"/>
        <v>21</v>
      </c>
      <c r="B29" s="27">
        <v>44562</v>
      </c>
      <c r="D29" s="2">
        <f t="shared" si="5"/>
        <v>928593.57879853377</v>
      </c>
      <c r="E29" s="2"/>
      <c r="F29" s="2">
        <f t="shared" si="6"/>
        <v>647622.29724785779</v>
      </c>
      <c r="L29">
        <v>9.7154044821950489E-2</v>
      </c>
      <c r="N29">
        <v>0.13883092843139619</v>
      </c>
    </row>
    <row r="30" spans="1:14" x14ac:dyDescent="0.25">
      <c r="A30">
        <f t="shared" si="2"/>
        <v>22</v>
      </c>
      <c r="B30" s="27">
        <v>44593</v>
      </c>
      <c r="D30" s="2">
        <f t="shared" si="5"/>
        <v>785959.47753626329</v>
      </c>
      <c r="E30" s="2"/>
      <c r="F30" s="2">
        <f t="shared" si="6"/>
        <v>545058.22524423595</v>
      </c>
      <c r="L30">
        <v>8.2230960941591519E-2</v>
      </c>
      <c r="N30">
        <v>0.11684424668730264</v>
      </c>
    </row>
    <row r="31" spans="1:14" x14ac:dyDescent="0.25">
      <c r="A31">
        <f t="shared" si="2"/>
        <v>23</v>
      </c>
      <c r="B31" s="27">
        <v>44621</v>
      </c>
      <c r="D31" s="2">
        <f t="shared" si="5"/>
        <v>825554.22746586893</v>
      </c>
      <c r="E31" s="2"/>
      <c r="F31" s="2">
        <f t="shared" si="6"/>
        <v>498519.95183140057</v>
      </c>
      <c r="L31">
        <v>8.6373559164542854E-2</v>
      </c>
      <c r="N31">
        <v>0.10686782720181764</v>
      </c>
    </row>
    <row r="32" spans="1:14" x14ac:dyDescent="0.25">
      <c r="A32">
        <f t="shared" si="2"/>
        <v>24</v>
      </c>
      <c r="B32" s="27">
        <v>44652</v>
      </c>
      <c r="D32" s="2">
        <f t="shared" si="5"/>
        <v>703750.61435938987</v>
      </c>
      <c r="E32" s="2"/>
      <c r="F32" s="2">
        <f t="shared" si="6"/>
        <v>362812.86371543317</v>
      </c>
      <c r="L32">
        <v>7.362986379833808E-2</v>
      </c>
      <c r="N32">
        <v>7.7776270104532461E-2</v>
      </c>
    </row>
    <row r="33" spans="1:14" x14ac:dyDescent="0.25">
      <c r="A33">
        <f t="shared" si="2"/>
        <v>25</v>
      </c>
      <c r="B33" s="27">
        <v>44682</v>
      </c>
      <c r="D33" s="2">
        <f t="shared" si="5"/>
        <v>742118.38042918243</v>
      </c>
      <c r="E33" s="2"/>
      <c r="F33" s="2">
        <f t="shared" si="6"/>
        <v>257246.18799561076</v>
      </c>
      <c r="L33">
        <v>7.764408891206942E-2</v>
      </c>
      <c r="N33">
        <v>5.5145919568608953E-2</v>
      </c>
    </row>
    <row r="34" spans="1:14" x14ac:dyDescent="0.25">
      <c r="A34">
        <f t="shared" si="2"/>
        <v>26</v>
      </c>
      <c r="B34" s="27">
        <v>44713</v>
      </c>
      <c r="D34" s="2">
        <f t="shared" si="5"/>
        <v>714557.2246898103</v>
      </c>
      <c r="E34" s="2"/>
      <c r="F34" s="2">
        <f t="shared" si="6"/>
        <v>192173.94998502682</v>
      </c>
      <c r="L34">
        <v>7.4760504724989157E-2</v>
      </c>
      <c r="N34">
        <v>4.119637018386834E-2</v>
      </c>
    </row>
    <row r="35" spans="1:14" x14ac:dyDescent="0.25">
      <c r="A35">
        <f t="shared" si="2"/>
        <v>27</v>
      </c>
      <c r="B35" s="27">
        <v>44743</v>
      </c>
      <c r="D35" s="2">
        <f t="shared" si="5"/>
        <v>840448.36908137484</v>
      </c>
      <c r="E35" s="2"/>
      <c r="F35" s="2">
        <f t="shared" si="6"/>
        <v>181398.48319728542</v>
      </c>
      <c r="L35">
        <v>8.7931857795004606E-2</v>
      </c>
      <c r="N35">
        <v>3.8886431096253393E-2</v>
      </c>
    </row>
    <row r="36" spans="1:14" x14ac:dyDescent="0.25">
      <c r="A36">
        <f t="shared" si="2"/>
        <v>28</v>
      </c>
      <c r="B36" s="27">
        <v>44774</v>
      </c>
      <c r="D36" s="2">
        <f t="shared" si="5"/>
        <v>801959.96055935323</v>
      </c>
      <c r="E36" s="2"/>
      <c r="F36" s="2">
        <f t="shared" si="6"/>
        <v>185350.21971072271</v>
      </c>
      <c r="L36">
        <v>8.3905010472290889E-2</v>
      </c>
      <c r="N36">
        <v>3.973356568597982E-2</v>
      </c>
    </row>
    <row r="37" spans="1:14" x14ac:dyDescent="0.25">
      <c r="A37">
        <f t="shared" si="2"/>
        <v>29</v>
      </c>
      <c r="B37" s="27">
        <v>44805</v>
      </c>
      <c r="D37" s="2">
        <f t="shared" si="5"/>
        <v>713975.3616328463</v>
      </c>
      <c r="E37" s="2"/>
      <c r="F37" s="2">
        <f t="shared" si="6"/>
        <v>213310.70711806929</v>
      </c>
      <c r="L37">
        <v>7.4699627339222974E-2</v>
      </c>
      <c r="N37">
        <v>4.5727461267790911E-2</v>
      </c>
    </row>
    <row r="38" spans="1:14" x14ac:dyDescent="0.25">
      <c r="A38">
        <f t="shared" si="2"/>
        <v>30</v>
      </c>
    </row>
    <row r="39" spans="1:14" x14ac:dyDescent="0.25">
      <c r="A39">
        <f t="shared" si="2"/>
        <v>31</v>
      </c>
      <c r="B39" s="27">
        <v>44470</v>
      </c>
      <c r="D39" s="3">
        <f>D23+D26</f>
        <v>-45155666.351406537</v>
      </c>
      <c r="F39" s="3">
        <f>F23+F26</f>
        <v>-21902989.897992205</v>
      </c>
    </row>
    <row r="40" spans="1:14" x14ac:dyDescent="0.25">
      <c r="A40">
        <f t="shared" si="2"/>
        <v>32</v>
      </c>
      <c r="B40" s="27">
        <v>44501</v>
      </c>
      <c r="D40" s="3">
        <f>D39+D27</f>
        <v>-44364757.05695951</v>
      </c>
      <c r="F40" s="3">
        <f>F39+F27</f>
        <v>-21359783.621932287</v>
      </c>
    </row>
    <row r="41" spans="1:14" x14ac:dyDescent="0.25">
      <c r="A41">
        <f t="shared" si="2"/>
        <v>33</v>
      </c>
      <c r="B41" s="27">
        <v>44531</v>
      </c>
      <c r="D41" s="3">
        <f t="shared" ref="D41:F50" si="7">D40+D28</f>
        <v>-43427054.411336936</v>
      </c>
      <c r="F41" s="3">
        <f t="shared" si="7"/>
        <v>-20696950.642108548</v>
      </c>
    </row>
    <row r="42" spans="1:14" x14ac:dyDescent="0.25">
      <c r="A42">
        <f t="shared" si="2"/>
        <v>34</v>
      </c>
      <c r="B42" s="27">
        <v>44562</v>
      </c>
      <c r="D42" s="3">
        <f t="shared" si="7"/>
        <v>-42498460.832538404</v>
      </c>
      <c r="F42" s="3">
        <f t="shared" si="7"/>
        <v>-20049328.344860692</v>
      </c>
    </row>
    <row r="43" spans="1:14" x14ac:dyDescent="0.25">
      <c r="A43">
        <f t="shared" si="2"/>
        <v>35</v>
      </c>
      <c r="B43" s="27">
        <v>44593</v>
      </c>
      <c r="D43" s="3">
        <f t="shared" si="7"/>
        <v>-41712501.355002142</v>
      </c>
      <c r="F43" s="3">
        <f t="shared" si="7"/>
        <v>-19504270.119616456</v>
      </c>
    </row>
    <row r="44" spans="1:14" x14ac:dyDescent="0.25">
      <c r="A44">
        <f t="shared" si="2"/>
        <v>36</v>
      </c>
      <c r="B44" s="27">
        <v>44621</v>
      </c>
      <c r="D44" s="3">
        <f t="shared" si="7"/>
        <v>-40886947.127536274</v>
      </c>
      <c r="F44" s="3">
        <f t="shared" si="7"/>
        <v>-19005750.167785056</v>
      </c>
    </row>
    <row r="45" spans="1:14" x14ac:dyDescent="0.25">
      <c r="A45">
        <f t="shared" si="2"/>
        <v>37</v>
      </c>
      <c r="B45" s="27">
        <v>44652</v>
      </c>
      <c r="D45" s="3">
        <f t="shared" si="7"/>
        <v>-40183196.513176888</v>
      </c>
      <c r="F45" s="3">
        <f t="shared" si="7"/>
        <v>-18642937.304069623</v>
      </c>
    </row>
    <row r="46" spans="1:14" x14ac:dyDescent="0.25">
      <c r="A46">
        <f t="shared" si="2"/>
        <v>38</v>
      </c>
      <c r="B46" s="27">
        <v>44682</v>
      </c>
      <c r="D46" s="3">
        <f t="shared" si="7"/>
        <v>-39441078.132747702</v>
      </c>
      <c r="F46" s="3">
        <f t="shared" si="7"/>
        <v>-18385691.116074011</v>
      </c>
    </row>
    <row r="47" spans="1:14" x14ac:dyDescent="0.25">
      <c r="A47">
        <f t="shared" si="2"/>
        <v>39</v>
      </c>
      <c r="B47" s="27">
        <v>44713</v>
      </c>
      <c r="D47" s="3">
        <f t="shared" si="7"/>
        <v>-38726520.908057891</v>
      </c>
      <c r="F47" s="3">
        <f t="shared" si="7"/>
        <v>-18193517.166088983</v>
      </c>
    </row>
    <row r="48" spans="1:14" x14ac:dyDescent="0.25">
      <c r="A48">
        <f t="shared" si="2"/>
        <v>40</v>
      </c>
      <c r="B48" s="27">
        <v>44743</v>
      </c>
      <c r="D48" s="3">
        <f t="shared" si="7"/>
        <v>-37886072.538976513</v>
      </c>
      <c r="F48" s="3">
        <f t="shared" si="7"/>
        <v>-18012118.682891697</v>
      </c>
    </row>
    <row r="49" spans="1:7" x14ac:dyDescent="0.25">
      <c r="A49">
        <f t="shared" si="2"/>
        <v>41</v>
      </c>
      <c r="B49" s="27">
        <v>44774</v>
      </c>
      <c r="D49" s="3">
        <f t="shared" si="7"/>
        <v>-37084112.57841716</v>
      </c>
      <c r="F49" s="3">
        <f t="shared" si="7"/>
        <v>-17826768.463180974</v>
      </c>
    </row>
    <row r="50" spans="1:7" x14ac:dyDescent="0.25">
      <c r="A50">
        <f t="shared" si="2"/>
        <v>42</v>
      </c>
      <c r="B50" s="27">
        <v>44805</v>
      </c>
      <c r="D50" s="46">
        <f t="shared" si="7"/>
        <v>-36370137.216784313</v>
      </c>
      <c r="F50" s="46">
        <f t="shared" si="7"/>
        <v>-17613457.756062906</v>
      </c>
    </row>
    <row r="51" spans="1:7" x14ac:dyDescent="0.25">
      <c r="A51">
        <f t="shared" si="2"/>
        <v>43</v>
      </c>
      <c r="D51" s="3">
        <f>(((D23+D50)/2)+D39+D40+D41+D42+D43+D44+D45+D46+D47+D48+D49)/12</f>
        <v>-41042956.701212339</v>
      </c>
      <c r="F51" s="3">
        <f>(((F23+F50)/2)+F39+F40+F41+F42+F43+F44+F45+F46+F47+F48+F49)/12</f>
        <v>-19460498.075386003</v>
      </c>
    </row>
    <row r="52" spans="1:7" x14ac:dyDescent="0.25">
      <c r="A52">
        <f t="shared" si="2"/>
        <v>44</v>
      </c>
    </row>
    <row r="53" spans="1:7" x14ac:dyDescent="0.25">
      <c r="A53">
        <f t="shared" si="2"/>
        <v>45</v>
      </c>
      <c r="B53" t="s">
        <v>49</v>
      </c>
      <c r="D53" s="28">
        <f>D51-D23</f>
        <v>4885131.2987876609</v>
      </c>
      <c r="E53" s="3"/>
      <c r="F53" s="28">
        <f>F51-F23</f>
        <v>2817786.9246139973</v>
      </c>
    </row>
    <row r="54" spans="1:7" x14ac:dyDescent="0.25">
      <c r="A54">
        <f t="shared" si="2"/>
        <v>46</v>
      </c>
      <c r="E54" t="s">
        <v>96</v>
      </c>
      <c r="G54" t="s">
        <v>96</v>
      </c>
    </row>
    <row r="55" spans="1:7" x14ac:dyDescent="0.25">
      <c r="A55">
        <f t="shared" si="2"/>
        <v>47</v>
      </c>
      <c r="B55" t="s">
        <v>50</v>
      </c>
      <c r="C55" t="s">
        <v>95</v>
      </c>
      <c r="D55" s="44">
        <v>0.51500000000000001</v>
      </c>
      <c r="E55" s="44">
        <v>0.5</v>
      </c>
      <c r="F55" s="44">
        <v>0.51500000000000001</v>
      </c>
      <c r="G55" s="44">
        <v>0.5</v>
      </c>
    </row>
    <row r="56" spans="1:7" x14ac:dyDescent="0.25">
      <c r="A56">
        <f t="shared" si="2"/>
        <v>48</v>
      </c>
      <c r="B56" t="s">
        <v>51</v>
      </c>
      <c r="D56" s="29">
        <v>4.965E-2</v>
      </c>
      <c r="E56" s="35" t="s">
        <v>63</v>
      </c>
      <c r="F56" s="29">
        <v>4.9657E-2</v>
      </c>
      <c r="G56" s="35" t="s">
        <v>63</v>
      </c>
    </row>
    <row r="57" spans="1:7" x14ac:dyDescent="0.25">
      <c r="A57">
        <f t="shared" si="2"/>
        <v>49</v>
      </c>
      <c r="B57" t="s">
        <v>52</v>
      </c>
      <c r="C57" t="s">
        <v>95</v>
      </c>
      <c r="D57" s="44">
        <v>0.48499999999999999</v>
      </c>
      <c r="E57" s="44">
        <v>0.5</v>
      </c>
      <c r="F57" s="44">
        <v>0.48499999999999999</v>
      </c>
      <c r="G57" s="44">
        <v>0.5</v>
      </c>
    </row>
    <row r="58" spans="1:7" x14ac:dyDescent="0.25">
      <c r="A58">
        <f t="shared" si="2"/>
        <v>50</v>
      </c>
      <c r="B58" t="s">
        <v>53</v>
      </c>
      <c r="C58" t="s">
        <v>95</v>
      </c>
      <c r="D58" s="29">
        <v>9.35E-2</v>
      </c>
      <c r="E58" s="44">
        <v>9.9000000000000005E-2</v>
      </c>
      <c r="F58" s="29">
        <v>9.35E-2</v>
      </c>
      <c r="G58" s="44">
        <v>9.9000000000000005E-2</v>
      </c>
    </row>
    <row r="59" spans="1:7" ht="15.75" thickBot="1" x14ac:dyDescent="0.3">
      <c r="A59">
        <f t="shared" si="2"/>
        <v>51</v>
      </c>
      <c r="B59" t="s">
        <v>54</v>
      </c>
      <c r="D59" s="30">
        <f>(D55*D56)+(D57*D58)</f>
        <v>7.0917250000000001E-2</v>
      </c>
      <c r="F59" s="30">
        <f>(F55*F56)+(F57*F58)</f>
        <v>7.0920855000000005E-2</v>
      </c>
    </row>
    <row r="60" spans="1:7" x14ac:dyDescent="0.25">
      <c r="A60">
        <f t="shared" si="2"/>
        <v>52</v>
      </c>
    </row>
    <row r="61" spans="1:7" x14ac:dyDescent="0.25">
      <c r="A61">
        <f t="shared" si="2"/>
        <v>53</v>
      </c>
      <c r="B61" s="37" t="s">
        <v>55</v>
      </c>
      <c r="C61" s="37"/>
      <c r="D61" s="37">
        <v>0.75529400000000002</v>
      </c>
      <c r="E61" s="37"/>
      <c r="F61" s="37">
        <v>0.755463</v>
      </c>
    </row>
    <row r="62" spans="1:7" x14ac:dyDescent="0.25">
      <c r="A62">
        <f t="shared" si="2"/>
        <v>54</v>
      </c>
    </row>
    <row r="63" spans="1:7" x14ac:dyDescent="0.25">
      <c r="A63">
        <f t="shared" si="2"/>
        <v>55</v>
      </c>
      <c r="B63" t="s">
        <v>56</v>
      </c>
      <c r="D63" s="2">
        <f>(D53*(D55*D56))*-0.21</f>
        <v>-26231.433065706919</v>
      </c>
      <c r="F63" s="2">
        <f>(F53*(F55*F56))*-0.21</f>
        <v>-15132.655720877516</v>
      </c>
    </row>
    <row r="64" spans="1:7" x14ac:dyDescent="0.25">
      <c r="A64">
        <f t="shared" si="2"/>
        <v>56</v>
      </c>
    </row>
    <row r="65" spans="1:7" x14ac:dyDescent="0.25">
      <c r="A65">
        <f t="shared" si="2"/>
        <v>57</v>
      </c>
      <c r="B65" t="s">
        <v>57</v>
      </c>
      <c r="D65" s="31">
        <f>((D53*D59)+D63)/D61</f>
        <v>423952.32125932723</v>
      </c>
      <c r="F65" s="31">
        <f>((F53*F59)+F63)/F61</f>
        <v>244495.36533300468</v>
      </c>
      <c r="G65" t="s">
        <v>66</v>
      </c>
    </row>
    <row r="66" spans="1:7" x14ac:dyDescent="0.25">
      <c r="A66">
        <f t="shared" si="2"/>
        <v>58</v>
      </c>
    </row>
    <row r="67" spans="1:7" x14ac:dyDescent="0.25">
      <c r="A67">
        <f t="shared" si="2"/>
        <v>59</v>
      </c>
      <c r="B67" t="s">
        <v>101</v>
      </c>
      <c r="D67" s="32">
        <f>-'Exh BAE-7 Refund Amt Pg 2 of 2'!G37</f>
        <v>9557950.7832156885</v>
      </c>
      <c r="E67" s="2" t="s">
        <v>64</v>
      </c>
      <c r="F67" s="32">
        <f>-'Exh BAE-7 Refund Amt Pg 2 of 2'!M37</f>
        <v>4664827.2439370938</v>
      </c>
      <c r="G67" t="s">
        <v>64</v>
      </c>
    </row>
    <row r="68" spans="1:7" x14ac:dyDescent="0.25">
      <c r="A68">
        <f t="shared" si="2"/>
        <v>60</v>
      </c>
      <c r="B68" s="7" t="s">
        <v>100</v>
      </c>
      <c r="D68" s="49">
        <v>1760296</v>
      </c>
      <c r="E68" s="12" t="s">
        <v>71</v>
      </c>
      <c r="F68" s="49">
        <v>519844</v>
      </c>
      <c r="G68" t="s">
        <v>72</v>
      </c>
    </row>
    <row r="69" spans="1:7" x14ac:dyDescent="0.25">
      <c r="A69">
        <f t="shared" si="2"/>
        <v>61</v>
      </c>
      <c r="B69" t="s">
        <v>99</v>
      </c>
      <c r="D69" s="47">
        <f>SUM(D67:D68)</f>
        <v>11318246.783215689</v>
      </c>
      <c r="E69" s="47"/>
      <c r="F69" s="47">
        <f>SUM(F67:F68)</f>
        <v>5184671.2439370938</v>
      </c>
    </row>
    <row r="70" spans="1:7" x14ac:dyDescent="0.25">
      <c r="A70">
        <f t="shared" si="2"/>
        <v>62</v>
      </c>
      <c r="B70" t="s">
        <v>58</v>
      </c>
      <c r="D70" s="2">
        <f>-D69/D61</f>
        <v>-14985220.037780901</v>
      </c>
      <c r="F70" s="2">
        <f>-F69/F61</f>
        <v>-6862905.5876159305</v>
      </c>
    </row>
    <row r="71" spans="1:7" x14ac:dyDescent="0.25">
      <c r="A71">
        <f t="shared" si="2"/>
        <v>63</v>
      </c>
    </row>
    <row r="72" spans="1:7" x14ac:dyDescent="0.25">
      <c r="A72">
        <f t="shared" si="2"/>
        <v>64</v>
      </c>
      <c r="B72" t="s">
        <v>62</v>
      </c>
      <c r="D72" s="48">
        <f>SUM(D65,D70)</f>
        <v>-14561267.716521574</v>
      </c>
      <c r="F72" s="48">
        <f>SUM(F65,F70)</f>
        <v>-6618410.2222829256</v>
      </c>
    </row>
    <row r="73" spans="1:7" x14ac:dyDescent="0.25">
      <c r="A73">
        <f t="shared" si="2"/>
        <v>65</v>
      </c>
      <c r="D73" s="2"/>
      <c r="F73" s="2"/>
    </row>
    <row r="74" spans="1:7" x14ac:dyDescent="0.25">
      <c r="A74">
        <f t="shared" si="2"/>
        <v>66</v>
      </c>
      <c r="B74" s="51" t="s">
        <v>102</v>
      </c>
      <c r="C74" s="51"/>
      <c r="D74" s="50">
        <f>+D68/D61</f>
        <v>2330610.3318707682</v>
      </c>
      <c r="E74" s="50" t="s">
        <v>103</v>
      </c>
      <c r="F74" s="50">
        <f>+F68/F61</f>
        <v>688113.11738629162</v>
      </c>
      <c r="G74" s="50" t="s">
        <v>103</v>
      </c>
    </row>
    <row r="75" spans="1:7" x14ac:dyDescent="0.25">
      <c r="D75" s="34"/>
      <c r="F75" s="34"/>
    </row>
    <row r="77" spans="1:7" x14ac:dyDescent="0.25">
      <c r="C77" s="1" t="s">
        <v>55</v>
      </c>
      <c r="D77" s="1"/>
      <c r="E77" s="1" t="s">
        <v>55</v>
      </c>
    </row>
    <row r="78" spans="1:7" x14ac:dyDescent="0.25">
      <c r="B78" t="s">
        <v>59</v>
      </c>
      <c r="C78">
        <v>3.326E-3</v>
      </c>
      <c r="D78" s="2">
        <f>C78*$D$70</f>
        <v>-49840.841845659277</v>
      </c>
      <c r="E78">
        <v>3.326E-3</v>
      </c>
      <c r="F78" s="2">
        <f>E78*$F$70</f>
        <v>-22826.023984410585</v>
      </c>
    </row>
    <row r="79" spans="1:7" x14ac:dyDescent="0.25">
      <c r="B79" t="s">
        <v>60</v>
      </c>
      <c r="C79">
        <v>2E-3</v>
      </c>
      <c r="D79" s="2">
        <f>C79*$D$70</f>
        <v>-29970.440075561804</v>
      </c>
      <c r="E79">
        <v>2E-3</v>
      </c>
      <c r="F79" s="2">
        <f t="shared" ref="F79" si="8">E79*$F$70</f>
        <v>-13725.811175231862</v>
      </c>
    </row>
    <row r="80" spans="1:7" x14ac:dyDescent="0.25">
      <c r="B80" t="s">
        <v>61</v>
      </c>
      <c r="C80" s="36">
        <v>3.8605E-2</v>
      </c>
      <c r="D80" s="2">
        <f>C80*$D$70</f>
        <v>-578504.41955853172</v>
      </c>
      <c r="E80">
        <v>3.8392000000000003E-2</v>
      </c>
      <c r="F80" s="2">
        <f>E80*$F$70</f>
        <v>-263480.67131975084</v>
      </c>
    </row>
    <row r="81" spans="2:7" x14ac:dyDescent="0.25">
      <c r="C81">
        <f>SUM(C78:C80)</f>
        <v>4.3930999999999998E-2</v>
      </c>
      <c r="D81" s="2">
        <f>SUM(D78:D80)</f>
        <v>-658315.70147975278</v>
      </c>
      <c r="F81" s="3">
        <f>SUM(F78:F80)</f>
        <v>-300032.50647939328</v>
      </c>
    </row>
    <row r="82" spans="2:7" x14ac:dyDescent="0.25">
      <c r="D82" s="2"/>
    </row>
    <row r="83" spans="2:7" x14ac:dyDescent="0.25">
      <c r="D83" s="2"/>
    </row>
    <row r="84" spans="2:7" x14ac:dyDescent="0.25">
      <c r="B84" t="s">
        <v>25</v>
      </c>
      <c r="D84" s="32">
        <f>D70-D81</f>
        <v>-14326904.336301148</v>
      </c>
      <c r="F84" s="32">
        <f>F70-F81</f>
        <v>-6562873.0811365368</v>
      </c>
    </row>
    <row r="88" spans="2:7" x14ac:dyDescent="0.25">
      <c r="B88" t="s">
        <v>59</v>
      </c>
      <c r="C88">
        <v>3.326E-3</v>
      </c>
      <c r="F88">
        <f>+E78</f>
        <v>3.326E-3</v>
      </c>
    </row>
    <row r="89" spans="2:7" x14ac:dyDescent="0.25">
      <c r="B89" t="s">
        <v>60</v>
      </c>
      <c r="C89">
        <v>2E-3</v>
      </c>
      <c r="F89">
        <f>+E79</f>
        <v>2E-3</v>
      </c>
    </row>
    <row r="90" spans="2:7" x14ac:dyDescent="0.25">
      <c r="B90" t="s">
        <v>61</v>
      </c>
      <c r="C90" s="36">
        <v>3.8605E-2</v>
      </c>
      <c r="F90" s="36">
        <f>+E80</f>
        <v>3.8392000000000003E-2</v>
      </c>
    </row>
    <row r="91" spans="2:7" x14ac:dyDescent="0.25">
      <c r="B91" t="s">
        <v>65</v>
      </c>
      <c r="C91" s="38">
        <f>SUM(C88:C90)</f>
        <v>4.3930999999999998E-2</v>
      </c>
      <c r="F91" s="38">
        <f>SUM(F88:F90)</f>
        <v>4.3718E-2</v>
      </c>
    </row>
    <row r="92" spans="2:7" x14ac:dyDescent="0.25">
      <c r="C92">
        <f>1-C91</f>
        <v>0.95606900000000006</v>
      </c>
      <c r="F92">
        <f>1-F91</f>
        <v>0.95628199999999997</v>
      </c>
    </row>
    <row r="93" spans="2:7" x14ac:dyDescent="0.25">
      <c r="C93" s="36">
        <v>0.21</v>
      </c>
      <c r="F93" s="36">
        <v>0.21</v>
      </c>
    </row>
    <row r="94" spans="2:7" x14ac:dyDescent="0.25">
      <c r="C94">
        <f>+C92*C93</f>
        <v>0.20077449</v>
      </c>
      <c r="F94">
        <f>+F93*F92</f>
        <v>0.20081921999999999</v>
      </c>
    </row>
    <row r="95" spans="2:7" x14ac:dyDescent="0.25">
      <c r="C95">
        <f>+C92-C94</f>
        <v>0.75529451000000003</v>
      </c>
      <c r="D95" t="s">
        <v>64</v>
      </c>
      <c r="F95">
        <f>+F92-F94</f>
        <v>0.75546278</v>
      </c>
      <c r="G95" t="s">
        <v>64</v>
      </c>
    </row>
  </sheetData>
  <pageMargins left="0.7" right="0.7" top="0.75" bottom="0.75" header="0.3" footer="0.3"/>
  <pageSetup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U48"/>
  <sheetViews>
    <sheetView zoomScaleNormal="100" workbookViewId="0">
      <pane xSplit="2" ySplit="8" topLeftCell="K18" activePane="bottomRight" state="frozen"/>
      <selection pane="topRight" activeCell="C1" sqref="C1"/>
      <selection pane="bottomLeft" activeCell="A9" sqref="A9"/>
      <selection pane="bottomRight" activeCell="B36" sqref="B36"/>
    </sheetView>
  </sheetViews>
  <sheetFormatPr defaultRowHeight="15" outlineLevelCol="1" x14ac:dyDescent="0.25"/>
  <cols>
    <col min="1" max="1" width="5.42578125" bestFit="1" customWidth="1"/>
    <col min="2" max="2" width="28.42578125" customWidth="1"/>
    <col min="3" max="4" width="13.42578125" bestFit="1" customWidth="1"/>
    <col min="5" max="14" width="12.28515625" bestFit="1" customWidth="1" outlineLevel="1"/>
    <col min="15" max="15" width="11.28515625" bestFit="1" customWidth="1" outlineLevel="1"/>
    <col min="16" max="18" width="12.28515625" bestFit="1" customWidth="1" outlineLevel="1"/>
    <col min="20" max="21" width="12.28515625" bestFit="1" customWidth="1"/>
  </cols>
  <sheetData>
    <row r="1" spans="1:21" x14ac:dyDescent="0.25">
      <c r="A1" s="4" t="s">
        <v>94</v>
      </c>
      <c r="R1" s="45" t="s">
        <v>75</v>
      </c>
    </row>
    <row r="2" spans="1:21" x14ac:dyDescent="0.25">
      <c r="R2" s="45" t="s">
        <v>73</v>
      </c>
    </row>
    <row r="3" spans="1:21" x14ac:dyDescent="0.25">
      <c r="R3" s="45" t="s">
        <v>76</v>
      </c>
    </row>
    <row r="4" spans="1:21" x14ac:dyDescent="0.25">
      <c r="R4" s="45"/>
    </row>
    <row r="5" spans="1:21" x14ac:dyDescent="0.25">
      <c r="B5" s="1" t="s">
        <v>77</v>
      </c>
      <c r="C5" s="1" t="s">
        <v>78</v>
      </c>
      <c r="D5" s="1" t="s">
        <v>79</v>
      </c>
      <c r="E5" s="1" t="s">
        <v>80</v>
      </c>
      <c r="F5" s="1" t="s">
        <v>81</v>
      </c>
      <c r="G5" s="1" t="s">
        <v>82</v>
      </c>
      <c r="H5" s="1" t="s">
        <v>83</v>
      </c>
      <c r="I5" s="1" t="s">
        <v>84</v>
      </c>
      <c r="J5" s="1" t="s">
        <v>85</v>
      </c>
      <c r="K5" s="1" t="s">
        <v>86</v>
      </c>
      <c r="L5" s="1" t="s">
        <v>87</v>
      </c>
      <c r="M5" s="1" t="s">
        <v>88</v>
      </c>
      <c r="N5" s="1" t="s">
        <v>89</v>
      </c>
      <c r="O5" s="1" t="s">
        <v>90</v>
      </c>
      <c r="P5" s="1" t="s">
        <v>91</v>
      </c>
      <c r="Q5" s="1" t="s">
        <v>92</v>
      </c>
      <c r="R5" s="1" t="s">
        <v>93</v>
      </c>
    </row>
    <row r="6" spans="1:21" ht="15.75" thickBot="1" x14ac:dyDescent="0.3">
      <c r="A6" s="4"/>
      <c r="D6">
        <v>0.21</v>
      </c>
      <c r="G6">
        <v>0.65</v>
      </c>
      <c r="I6">
        <v>0.35</v>
      </c>
      <c r="M6">
        <v>0.7</v>
      </c>
      <c r="O6">
        <v>0.3</v>
      </c>
    </row>
    <row r="7" spans="1:21" s="4" customFormat="1" ht="15.75" thickBot="1" x14ac:dyDescent="0.3">
      <c r="C7" s="52" t="s">
        <v>0</v>
      </c>
      <c r="D7" s="53"/>
      <c r="E7" s="52" t="s">
        <v>1</v>
      </c>
      <c r="F7" s="53"/>
      <c r="G7" s="52" t="s">
        <v>2</v>
      </c>
      <c r="H7" s="53"/>
      <c r="I7" s="52" t="s">
        <v>3</v>
      </c>
      <c r="J7" s="53"/>
      <c r="K7" s="52" t="s">
        <v>4</v>
      </c>
      <c r="L7" s="53"/>
      <c r="M7" s="52" t="s">
        <v>5</v>
      </c>
      <c r="N7" s="53"/>
      <c r="O7" s="52" t="s">
        <v>6</v>
      </c>
      <c r="P7" s="53"/>
      <c r="Q7" s="52" t="s">
        <v>7</v>
      </c>
      <c r="R7" s="53"/>
    </row>
    <row r="8" spans="1:21" s="5" customFormat="1" ht="30" x14ac:dyDescent="0.25">
      <c r="A8" s="5" t="s">
        <v>8</v>
      </c>
      <c r="C8" s="5" t="s">
        <v>9</v>
      </c>
      <c r="D8" s="5" t="s">
        <v>10</v>
      </c>
      <c r="E8" s="5" t="s">
        <v>9</v>
      </c>
      <c r="F8" s="5" t="s">
        <v>10</v>
      </c>
      <c r="G8" s="18" t="s">
        <v>9</v>
      </c>
      <c r="H8" s="5" t="s">
        <v>10</v>
      </c>
      <c r="I8" s="18" t="s">
        <v>9</v>
      </c>
      <c r="J8" s="5" t="s">
        <v>10</v>
      </c>
      <c r="K8" s="18" t="s">
        <v>9</v>
      </c>
      <c r="L8" s="5" t="s">
        <v>10</v>
      </c>
      <c r="M8" s="18" t="s">
        <v>9</v>
      </c>
      <c r="N8" s="5" t="s">
        <v>10</v>
      </c>
      <c r="O8" s="18" t="s">
        <v>9</v>
      </c>
      <c r="P8" s="5" t="s">
        <v>10</v>
      </c>
      <c r="Q8" s="18" t="s">
        <v>9</v>
      </c>
      <c r="R8" s="5" t="s">
        <v>10</v>
      </c>
    </row>
    <row r="9" spans="1:21" s="7" customFormat="1" x14ac:dyDescent="0.25">
      <c r="A9" s="6">
        <v>1</v>
      </c>
      <c r="B9" s="7" t="s">
        <v>11</v>
      </c>
      <c r="C9" s="8">
        <f>-54185657.63*0.21</f>
        <v>-11378988.102299999</v>
      </c>
      <c r="D9" s="8">
        <f t="shared" ref="D9:D15" si="0">C9/(1-$D$6)</f>
        <v>-14403782.407974683</v>
      </c>
      <c r="E9" s="8">
        <f>-(30362348.71+1590429)*0.21</f>
        <v>-6710083.3191</v>
      </c>
      <c r="F9" s="8">
        <f t="shared" ref="F9:F16" si="1">E9/(1-$D$6)</f>
        <v>-8493776.353291139</v>
      </c>
      <c r="G9" s="19">
        <f t="shared" ref="G9:H15" si="2">E9*$G$6</f>
        <v>-4361554.1574149998</v>
      </c>
      <c r="H9" s="8">
        <f>F9*$G$6</f>
        <v>-5520954.6296392409</v>
      </c>
      <c r="I9" s="19">
        <f t="shared" ref="I9:J15" si="3">E9*$I$6</f>
        <v>-2348529.1616849997</v>
      </c>
      <c r="J9" s="8">
        <f>F9*$I$6</f>
        <v>-2972821.7236518986</v>
      </c>
      <c r="K9" s="19">
        <f>-(13446157.79+4510690.32)*0.21</f>
        <v>-3770938.1030999999</v>
      </c>
      <c r="L9" s="8">
        <f>K9/(1-$D$6)</f>
        <v>-4773339.3710126579</v>
      </c>
      <c r="M9" s="19">
        <f t="shared" ref="M9:N13" si="4">K9*$M$6</f>
        <v>-2639656.6721699997</v>
      </c>
      <c r="N9" s="8">
        <f>L9*$M$6</f>
        <v>-3341337.5597088602</v>
      </c>
      <c r="O9" s="19">
        <f t="shared" ref="O9:P16" si="5">K9*$O$6</f>
        <v>-1131281.43093</v>
      </c>
      <c r="P9" s="8">
        <f t="shared" si="5"/>
        <v>-1432001.8113037974</v>
      </c>
      <c r="Q9" s="19">
        <f>-4276031.81*0.21</f>
        <v>-897966.68009999988</v>
      </c>
      <c r="R9" s="8">
        <f t="shared" ref="R9:R16" si="6">Q9/(1-$D$6)</f>
        <v>-1136666.6836708859</v>
      </c>
      <c r="S9" s="8"/>
      <c r="T9" s="8">
        <f t="shared" ref="T9:U16" si="7">C9-G9-I9-M9-O9-Q9</f>
        <v>0</v>
      </c>
      <c r="U9" s="8">
        <f t="shared" si="7"/>
        <v>0</v>
      </c>
    </row>
    <row r="10" spans="1:21" s="7" customFormat="1" x14ac:dyDescent="0.25">
      <c r="A10" s="6">
        <f t="shared" ref="A10:A33" si="8">+A9+1</f>
        <v>2</v>
      </c>
      <c r="B10" s="7" t="s">
        <v>12</v>
      </c>
      <c r="C10" s="8">
        <f>-57506978.91*0.21</f>
        <v>-12076465.571099998</v>
      </c>
      <c r="D10" s="8">
        <f t="shared" si="0"/>
        <v>-15286665.279873416</v>
      </c>
      <c r="E10" s="8">
        <f>-13721595.65*0.21</f>
        <v>-2881535.0864999997</v>
      </c>
      <c r="F10" s="8">
        <f t="shared" si="1"/>
        <v>-3647512.7677215184</v>
      </c>
      <c r="G10" s="19">
        <f t="shared" si="2"/>
        <v>-1872997.8062249999</v>
      </c>
      <c r="H10" s="8">
        <f t="shared" si="2"/>
        <v>-2370883.299018987</v>
      </c>
      <c r="I10" s="19">
        <f t="shared" si="3"/>
        <v>-1008537.2802749998</v>
      </c>
      <c r="J10" s="8">
        <f>F10*$I$6</f>
        <v>-1276629.4687025314</v>
      </c>
      <c r="K10" s="19">
        <f>-29064913.19*0.21</f>
        <v>-6103631.7698999997</v>
      </c>
      <c r="L10" s="8">
        <f>K10/(1-$D$6)</f>
        <v>-7726116.1644303789</v>
      </c>
      <c r="M10" s="19">
        <f t="shared" si="4"/>
        <v>-4272542.23893</v>
      </c>
      <c r="N10" s="8">
        <f>L10*$M$6</f>
        <v>-5408281.315101265</v>
      </c>
      <c r="O10" s="19">
        <f t="shared" si="5"/>
        <v>-1831089.53097</v>
      </c>
      <c r="P10" s="8">
        <f t="shared" si="5"/>
        <v>-2317834.8493291135</v>
      </c>
      <c r="Q10" s="19">
        <f>-14720470.07*0.21</f>
        <v>-3091298.7146999999</v>
      </c>
      <c r="R10" s="8">
        <f t="shared" si="6"/>
        <v>-3913036.3477215185</v>
      </c>
      <c r="S10" s="8"/>
      <c r="T10" s="8">
        <f t="shared" si="7"/>
        <v>0</v>
      </c>
      <c r="U10" s="8">
        <f t="shared" si="7"/>
        <v>0</v>
      </c>
    </row>
    <row r="11" spans="1:21" s="7" customFormat="1" x14ac:dyDescent="0.25">
      <c r="A11" s="6">
        <f t="shared" si="8"/>
        <v>3</v>
      </c>
      <c r="B11" s="7" t="s">
        <v>14</v>
      </c>
      <c r="C11" s="8">
        <f>-21035476.13-C10-C9</f>
        <v>2419977.5433999989</v>
      </c>
      <c r="D11" s="8">
        <f t="shared" si="0"/>
        <v>3063262.7131645554</v>
      </c>
      <c r="E11" s="2">
        <f>-8357851.67-E10-E9</f>
        <v>1233766.7356000002</v>
      </c>
      <c r="F11" s="8">
        <f t="shared" si="1"/>
        <v>1561730.0450632914</v>
      </c>
      <c r="G11" s="19">
        <f t="shared" si="2"/>
        <v>801948.37814000016</v>
      </c>
      <c r="H11" s="8">
        <f t="shared" si="2"/>
        <v>1015124.5292911394</v>
      </c>
      <c r="I11" s="19">
        <f t="shared" si="3"/>
        <v>431818.35746000009</v>
      </c>
      <c r="J11" s="8">
        <f t="shared" si="3"/>
        <v>546605.51577215199</v>
      </c>
      <c r="K11" s="20">
        <f>-8941614.4-K10-K9</f>
        <v>932955.4729999993</v>
      </c>
      <c r="L11" s="8">
        <f t="shared" ref="L11" si="9">K11/(1-$D$6)</f>
        <v>1180956.2949367079</v>
      </c>
      <c r="M11" s="19">
        <f t="shared" si="4"/>
        <v>653068.83109999949</v>
      </c>
      <c r="N11" s="8">
        <f t="shared" si="4"/>
        <v>826669.40645569551</v>
      </c>
      <c r="O11" s="19">
        <f t="shared" si="5"/>
        <v>279886.64189999975</v>
      </c>
      <c r="P11" s="8">
        <f t="shared" si="5"/>
        <v>354286.88848101237</v>
      </c>
      <c r="Q11" s="20">
        <f>-3736010.06-Q10-Q9</f>
        <v>253255.33479999972</v>
      </c>
      <c r="R11" s="8">
        <f t="shared" si="6"/>
        <v>320576.37316455657</v>
      </c>
      <c r="S11" s="8"/>
      <c r="T11" s="8">
        <f t="shared" si="7"/>
        <v>-2.9103830456733704E-10</v>
      </c>
      <c r="U11" s="8">
        <f t="shared" si="7"/>
        <v>-5.2386894822120667E-10</v>
      </c>
    </row>
    <row r="12" spans="1:21" x14ac:dyDescent="0.25">
      <c r="A12" s="6">
        <f t="shared" si="8"/>
        <v>4</v>
      </c>
      <c r="B12" s="37" t="s">
        <v>16</v>
      </c>
      <c r="C12" s="8">
        <v>-2754680.93</v>
      </c>
      <c r="D12" s="2">
        <f t="shared" si="0"/>
        <v>-3486937.8860759493</v>
      </c>
      <c r="E12" s="2">
        <v>-407308.84</v>
      </c>
      <c r="F12" s="8">
        <f>E12/(1-$D$6)</f>
        <v>-515580.81012658228</v>
      </c>
      <c r="G12" s="39">
        <f>E12*$G$6</f>
        <v>-264750.74600000004</v>
      </c>
      <c r="H12" s="40">
        <f>F12*$G$6</f>
        <v>-335127.52658227849</v>
      </c>
      <c r="I12" s="19">
        <f>E12*$I$6</f>
        <v>-142558.09400000001</v>
      </c>
      <c r="J12" s="8">
        <f t="shared" si="3"/>
        <v>-180453.28354430379</v>
      </c>
      <c r="K12" s="20">
        <v>-1404734.06</v>
      </c>
      <c r="L12" s="8">
        <f>K12/(1-$D$6)</f>
        <v>-1778144.3797468354</v>
      </c>
      <c r="M12" s="39">
        <f t="shared" si="4"/>
        <v>-983313.84199999995</v>
      </c>
      <c r="N12" s="40">
        <f t="shared" si="4"/>
        <v>-1244701.0658227848</v>
      </c>
      <c r="O12" s="19">
        <f>K12*$O$6</f>
        <v>-421420.21799999999</v>
      </c>
      <c r="P12" s="8">
        <f>L12*$O$6</f>
        <v>-533443.31392405066</v>
      </c>
      <c r="Q12" s="20">
        <v>-942638.03</v>
      </c>
      <c r="R12" s="8">
        <f t="shared" si="6"/>
        <v>-1193212.6962025317</v>
      </c>
      <c r="S12" s="9"/>
      <c r="T12" s="2">
        <f t="shared" si="7"/>
        <v>0</v>
      </c>
      <c r="U12" s="2">
        <f t="shared" si="7"/>
        <v>0</v>
      </c>
    </row>
    <row r="13" spans="1:21" x14ac:dyDescent="0.25">
      <c r="A13" s="6">
        <f t="shared" si="8"/>
        <v>5</v>
      </c>
      <c r="B13" t="s">
        <v>17</v>
      </c>
      <c r="C13" s="2">
        <f>-29271475*0.21</f>
        <v>-6147009.75</v>
      </c>
      <c r="D13" s="2">
        <f t="shared" si="0"/>
        <v>-7781025</v>
      </c>
      <c r="E13" s="2">
        <f>-(11819826+7191393)*0.21</f>
        <v>-3992355.9899999998</v>
      </c>
      <c r="F13" s="2">
        <f t="shared" si="1"/>
        <v>-5053615.1772151897</v>
      </c>
      <c r="G13" s="20">
        <f t="shared" si="2"/>
        <v>-2595031.3934999998</v>
      </c>
      <c r="H13" s="2">
        <f t="shared" si="2"/>
        <v>-3284849.8651898736</v>
      </c>
      <c r="I13" s="20">
        <f t="shared" si="3"/>
        <v>-1397324.5964999998</v>
      </c>
      <c r="J13" s="2">
        <f t="shared" si="3"/>
        <v>-1768765.3120253163</v>
      </c>
      <c r="K13" s="20">
        <f>-(6695330+396634)*0.21</f>
        <v>-1489312.44</v>
      </c>
      <c r="L13" s="2">
        <f t="shared" ref="L13:L14" si="10">K13/(1-$D$6)</f>
        <v>-1885205.6202531643</v>
      </c>
      <c r="M13" s="20">
        <f t="shared" si="4"/>
        <v>-1042518.7079999999</v>
      </c>
      <c r="N13" s="2">
        <f t="shared" si="4"/>
        <v>-1319643.934177215</v>
      </c>
      <c r="O13" s="20">
        <f t="shared" si="5"/>
        <v>-446793.73199999996</v>
      </c>
      <c r="P13" s="2">
        <f t="shared" si="5"/>
        <v>-565561.68607594923</v>
      </c>
      <c r="Q13" s="20">
        <f>-3168292*0.21</f>
        <v>-665341.31999999995</v>
      </c>
      <c r="R13" s="2">
        <f t="shared" si="6"/>
        <v>-842204.20253164542</v>
      </c>
      <c r="S13" s="2"/>
      <c r="T13" s="2">
        <f t="shared" si="7"/>
        <v>-9.3132257461547852E-10</v>
      </c>
      <c r="U13" s="2">
        <f t="shared" si="7"/>
        <v>0</v>
      </c>
    </row>
    <row r="14" spans="1:21" x14ac:dyDescent="0.25">
      <c r="A14" s="6">
        <f t="shared" si="8"/>
        <v>6</v>
      </c>
      <c r="B14" t="s">
        <v>18</v>
      </c>
      <c r="C14" s="2">
        <f>-337734920.18*0.21</f>
        <v>-70924333.237800002</v>
      </c>
      <c r="D14" s="2">
        <f t="shared" si="0"/>
        <v>-89777637.00987342</v>
      </c>
      <c r="E14" s="2">
        <f>-226044355.99*0.21</f>
        <v>-47469314.7579</v>
      </c>
      <c r="F14" s="2">
        <f t="shared" si="1"/>
        <v>-60087740.199873418</v>
      </c>
      <c r="G14" s="20">
        <f>E14*$G$6</f>
        <v>-30855054.592635002</v>
      </c>
      <c r="H14" s="2">
        <f t="shared" si="2"/>
        <v>-39057031.129917726</v>
      </c>
      <c r="I14" s="20">
        <f t="shared" si="3"/>
        <v>-16614260.165264999</v>
      </c>
      <c r="J14" s="2">
        <f t="shared" si="3"/>
        <v>-21030709.069955695</v>
      </c>
      <c r="K14" s="20">
        <f>-70750560.3*0.21</f>
        <v>-14857617.662999999</v>
      </c>
      <c r="L14" s="2">
        <f t="shared" si="10"/>
        <v>-18807110.965822782</v>
      </c>
      <c r="M14" s="20">
        <f>K14*$M$6</f>
        <v>-10400332.364099998</v>
      </c>
      <c r="N14" s="2">
        <f>L14*$M$6</f>
        <v>-13164977.676075947</v>
      </c>
      <c r="O14" s="20">
        <f>K14*$O$6</f>
        <v>-4457285.2988999998</v>
      </c>
      <c r="P14" s="2">
        <f t="shared" si="5"/>
        <v>-5642133.2897468349</v>
      </c>
      <c r="Q14" s="20">
        <f>-40940003.9*0.21</f>
        <v>-8597400.8190000001</v>
      </c>
      <c r="R14" s="2">
        <f t="shared" si="6"/>
        <v>-10882785.846835442</v>
      </c>
      <c r="S14" s="2"/>
      <c r="T14" s="2">
        <f t="shared" si="7"/>
        <v>2.1000038832426071E-3</v>
      </c>
      <c r="U14" s="2">
        <f t="shared" si="7"/>
        <v>2.6582255959510803E-3</v>
      </c>
    </row>
    <row r="15" spans="1:21" x14ac:dyDescent="0.25">
      <c r="A15" s="6">
        <f t="shared" si="8"/>
        <v>7</v>
      </c>
      <c r="B15" t="s">
        <v>19</v>
      </c>
      <c r="C15" s="8">
        <f>-63632376.56-C14-C13</f>
        <v>13438966.4278</v>
      </c>
      <c r="D15" s="2">
        <f t="shared" si="0"/>
        <v>17011349.908607595</v>
      </c>
      <c r="E15" s="2">
        <f>C15-K15-Q15</f>
        <v>9621385.9458000027</v>
      </c>
      <c r="F15" s="2">
        <f t="shared" si="1"/>
        <v>12178969.551645573</v>
      </c>
      <c r="G15" s="20">
        <f>E15*$G$6</f>
        <v>6253900.8647700017</v>
      </c>
      <c r="H15" s="2">
        <f t="shared" si="2"/>
        <v>7916330.2085696226</v>
      </c>
      <c r="I15" s="20">
        <f t="shared" si="3"/>
        <v>3367485.0810300009</v>
      </c>
      <c r="J15" s="2">
        <f>F15*$I$6</f>
        <v>4262639.3430759506</v>
      </c>
      <c r="K15" s="20">
        <f>-13683632.46-K14-K13</f>
        <v>2663297.6429999978</v>
      </c>
      <c r="L15" s="2">
        <f>K15/(1-$D$6)</f>
        <v>3371262.8392405035</v>
      </c>
      <c r="M15" s="20">
        <f t="shared" ref="M15" si="11">K15*$M$6</f>
        <v>1864308.3500999983</v>
      </c>
      <c r="N15" s="2">
        <f>L15*$M$6</f>
        <v>2359883.9874683521</v>
      </c>
      <c r="O15" s="20">
        <f>K15*$O$6</f>
        <v>798989.2928999993</v>
      </c>
      <c r="P15" s="2">
        <f t="shared" si="5"/>
        <v>1011378.851772151</v>
      </c>
      <c r="Q15" s="20">
        <f>-8108459.3-Q14-Q13</f>
        <v>1154282.8390000002</v>
      </c>
      <c r="R15" s="2">
        <f t="shared" si="6"/>
        <v>1461117.5177215191</v>
      </c>
      <c r="S15" s="2"/>
      <c r="T15" s="2">
        <f t="shared" si="7"/>
        <v>0</v>
      </c>
      <c r="U15" s="2">
        <f t="shared" si="7"/>
        <v>0</v>
      </c>
    </row>
    <row r="16" spans="1:21" x14ac:dyDescent="0.25">
      <c r="A16" s="6">
        <f t="shared" si="8"/>
        <v>8</v>
      </c>
      <c r="B16" s="37" t="s">
        <v>20</v>
      </c>
      <c r="C16" s="8">
        <v>-18786789.719999999</v>
      </c>
      <c r="D16" s="2">
        <f>C16/(1-$D$6)</f>
        <v>-23780746.481012657</v>
      </c>
      <c r="E16" s="2">
        <v>-12084266.609999999</v>
      </c>
      <c r="F16" s="2">
        <f t="shared" si="1"/>
        <v>-15296540.012658227</v>
      </c>
      <c r="G16" s="39">
        <f>E16*$G$6</f>
        <v>-7854773.2965000002</v>
      </c>
      <c r="H16" s="40">
        <f>F16*$G$6</f>
        <v>-9942751.0082278475</v>
      </c>
      <c r="I16" s="20">
        <f>E16*$I$6</f>
        <v>-4229493.3134999992</v>
      </c>
      <c r="J16" s="2">
        <f>F16*$I$6</f>
        <v>-5353789.0044303788</v>
      </c>
      <c r="K16" s="20">
        <v>-4046150.57</v>
      </c>
      <c r="L16" s="2">
        <f>K16/(1-$D$6)</f>
        <v>-5121709.5822784808</v>
      </c>
      <c r="M16" s="39">
        <f>K16*$M$6</f>
        <v>-2832305.3989999997</v>
      </c>
      <c r="N16" s="40">
        <f>L16*$M$6</f>
        <v>-3585196.7075949362</v>
      </c>
      <c r="O16" s="20">
        <f>K16*$O$6</f>
        <v>-1213845.1709999999</v>
      </c>
      <c r="P16" s="2">
        <f t="shared" si="5"/>
        <v>-1536512.8746835443</v>
      </c>
      <c r="Q16" s="20">
        <v>-2656372.54</v>
      </c>
      <c r="R16" s="2">
        <f t="shared" si="6"/>
        <v>-3362496.8860759493</v>
      </c>
      <c r="S16" s="9"/>
      <c r="T16" s="2">
        <f t="shared" si="7"/>
        <v>0</v>
      </c>
      <c r="U16" s="2">
        <f t="shared" si="7"/>
        <v>0</v>
      </c>
    </row>
    <row r="17" spans="1:21" ht="14.25" customHeight="1" x14ac:dyDescent="0.25">
      <c r="A17" s="6">
        <f t="shared" si="8"/>
        <v>9</v>
      </c>
      <c r="C17" s="2"/>
      <c r="D17" s="2"/>
      <c r="E17" s="2"/>
      <c r="F17" s="2"/>
      <c r="G17" s="20"/>
      <c r="H17" s="2"/>
      <c r="I17" s="20"/>
      <c r="J17" s="2"/>
      <c r="K17" s="20"/>
      <c r="L17" s="2"/>
      <c r="M17" s="20"/>
      <c r="N17" s="2"/>
      <c r="O17" s="20"/>
      <c r="P17" s="2"/>
      <c r="Q17" s="20"/>
      <c r="R17" s="2"/>
      <c r="S17" s="2"/>
      <c r="T17" s="2"/>
      <c r="U17" s="2"/>
    </row>
    <row r="18" spans="1:21" x14ac:dyDescent="0.25">
      <c r="A18" s="6">
        <f t="shared" si="8"/>
        <v>10</v>
      </c>
      <c r="B18" t="s">
        <v>21</v>
      </c>
      <c r="C18" s="10">
        <f t="shared" ref="C18:R18" si="12">SUM(C9:C17)</f>
        <v>-106209323.34</v>
      </c>
      <c r="D18" s="10">
        <f t="shared" si="12"/>
        <v>-134442181.44303799</v>
      </c>
      <c r="E18" s="10">
        <f t="shared" si="12"/>
        <v>-62689711.922099993</v>
      </c>
      <c r="F18" s="10">
        <f t="shared" si="12"/>
        <v>-79354065.724177197</v>
      </c>
      <c r="G18" s="21">
        <f t="shared" si="12"/>
        <v>-40748312.749364994</v>
      </c>
      <c r="H18" s="10">
        <f t="shared" si="12"/>
        <v>-51580142.720715195</v>
      </c>
      <c r="I18" s="21">
        <f t="shared" si="12"/>
        <v>-21941399.172734998</v>
      </c>
      <c r="J18" s="10">
        <f t="shared" si="12"/>
        <v>-27773923.003462024</v>
      </c>
      <c r="K18" s="21">
        <f t="shared" si="12"/>
        <v>-28076131.490000002</v>
      </c>
      <c r="L18" s="10">
        <f t="shared" si="12"/>
        <v>-35539406.949367091</v>
      </c>
      <c r="M18" s="21">
        <f t="shared" si="12"/>
        <v>-19653292.042999998</v>
      </c>
      <c r="N18" s="10">
        <f t="shared" si="12"/>
        <v>-24877584.864556961</v>
      </c>
      <c r="O18" s="21">
        <f t="shared" si="12"/>
        <v>-8422839.4470000006</v>
      </c>
      <c r="P18" s="10">
        <f t="shared" si="12"/>
        <v>-10661822.084810127</v>
      </c>
      <c r="Q18" s="21">
        <f t="shared" si="12"/>
        <v>-15443479.93</v>
      </c>
      <c r="R18" s="10">
        <f t="shared" si="12"/>
        <v>-19548708.772151895</v>
      </c>
      <c r="S18" s="2"/>
      <c r="T18" s="2"/>
      <c r="U18" s="2"/>
    </row>
    <row r="19" spans="1:21" x14ac:dyDescent="0.25">
      <c r="A19" s="6">
        <f t="shared" si="8"/>
        <v>11</v>
      </c>
      <c r="G19" s="22"/>
      <c r="I19" s="22"/>
      <c r="K19" s="22"/>
      <c r="M19" s="22"/>
      <c r="O19" s="22"/>
      <c r="Q19" s="22"/>
    </row>
    <row r="20" spans="1:21" x14ac:dyDescent="0.25">
      <c r="A20" s="6">
        <f t="shared" si="8"/>
        <v>12</v>
      </c>
      <c r="B20" t="s">
        <v>22</v>
      </c>
      <c r="C20" s="2"/>
      <c r="D20" s="2"/>
      <c r="E20" s="2"/>
      <c r="F20" s="2"/>
      <c r="G20" s="20"/>
      <c r="H20" s="2"/>
      <c r="I20" s="20"/>
      <c r="J20" s="2"/>
      <c r="K20" s="20"/>
      <c r="L20" s="2"/>
      <c r="M20" s="20"/>
      <c r="N20" s="2"/>
      <c r="O20" s="20"/>
      <c r="P20" s="2"/>
      <c r="Q20" s="20"/>
      <c r="R20" s="2"/>
      <c r="S20" s="2"/>
      <c r="T20" s="2"/>
      <c r="U20" s="2"/>
    </row>
    <row r="21" spans="1:21" x14ac:dyDescent="0.25">
      <c r="A21" s="6">
        <f t="shared" si="8"/>
        <v>13</v>
      </c>
      <c r="B21" s="11" t="s">
        <v>23</v>
      </c>
      <c r="C21" s="2">
        <f>MAX(C13,-((24678568+26355580+36907699+29271475)/4)*0.21)</f>
        <v>-6147009.75</v>
      </c>
      <c r="D21" s="2">
        <f>C21/(1-$D$6)</f>
        <v>-7781025</v>
      </c>
      <c r="E21" s="2">
        <f>$C21*(E13/$C13)</f>
        <v>-3992355.9899999998</v>
      </c>
      <c r="F21" s="2">
        <f t="shared" ref="F21:F22" si="13">E21/(1-$D$6)</f>
        <v>-5053615.1772151897</v>
      </c>
      <c r="G21" s="20">
        <f t="shared" ref="G21:H23" si="14">E21*$G$6</f>
        <v>-2595031.3934999998</v>
      </c>
      <c r="H21" s="2">
        <f>F21*$G$6</f>
        <v>-3284849.8651898736</v>
      </c>
      <c r="I21" s="20">
        <f t="shared" ref="I21:J23" si="15">E21*$I$6</f>
        <v>-1397324.5964999998</v>
      </c>
      <c r="J21" s="2">
        <f t="shared" si="15"/>
        <v>-1768765.3120253163</v>
      </c>
      <c r="K21" s="20">
        <f>$C21*(K13/$C13)</f>
        <v>-1489312.44</v>
      </c>
      <c r="L21" s="2">
        <f t="shared" ref="L21" si="16">K21/(1-$D$6)</f>
        <v>-1885205.6202531643</v>
      </c>
      <c r="M21" s="20">
        <f t="shared" ref="M21:N21" si="17">K21*$M$6</f>
        <v>-1042518.7079999999</v>
      </c>
      <c r="N21" s="2">
        <f t="shared" si="17"/>
        <v>-1319643.934177215</v>
      </c>
      <c r="O21" s="20">
        <f t="shared" ref="O21:P21" si="18">K21*$O$6</f>
        <v>-446793.73199999996</v>
      </c>
      <c r="P21" s="2">
        <f t="shared" si="18"/>
        <v>-565561.68607594923</v>
      </c>
      <c r="Q21" s="20">
        <f>$C21*(Q13/$C13)</f>
        <v>-665341.31999999995</v>
      </c>
      <c r="R21" s="2">
        <f t="shared" ref="R21:R23" si="19">Q21/(1-$D$6)</f>
        <v>-842204.20253164542</v>
      </c>
      <c r="S21" s="2"/>
      <c r="T21" s="2">
        <f t="shared" ref="T21:U25" si="20">C21-G21-I21-M21-O21-Q21</f>
        <v>-9.3132257461547852E-10</v>
      </c>
      <c r="U21" s="2">
        <f t="shared" si="20"/>
        <v>0</v>
      </c>
    </row>
    <row r="22" spans="1:21" x14ac:dyDescent="0.25">
      <c r="A22" s="6">
        <f t="shared" si="8"/>
        <v>14</v>
      </c>
      <c r="B22" s="11" t="s">
        <v>24</v>
      </c>
      <c r="C22" s="2">
        <v>-9648925.3822499979</v>
      </c>
      <c r="D22" s="2">
        <f>C22/(1-$D$6)</f>
        <v>-12213829.597784806</v>
      </c>
      <c r="E22" s="2">
        <v>-5721117.1132499985</v>
      </c>
      <c r="F22" s="2">
        <f t="shared" si="13"/>
        <v>-7241920.3965189848</v>
      </c>
      <c r="G22" s="20">
        <f t="shared" si="14"/>
        <v>-3718726.1236124993</v>
      </c>
      <c r="H22" s="2">
        <f t="shared" si="14"/>
        <v>-4707248.2577373404</v>
      </c>
      <c r="I22" s="20">
        <f t="shared" si="15"/>
        <v>-2002390.9896374994</v>
      </c>
      <c r="J22" s="2">
        <f t="shared" si="15"/>
        <v>-2534672.1387816444</v>
      </c>
      <c r="K22" s="20">
        <v>-3081643.7872499996</v>
      </c>
      <c r="L22" s="2">
        <f>K22/(1-$D$6)</f>
        <v>-3900814.9205696196</v>
      </c>
      <c r="M22" s="20">
        <f>K22*$M$6</f>
        <v>-2157150.6510749995</v>
      </c>
      <c r="N22" s="2">
        <f>L22*$M$6</f>
        <v>-2730570.4443987338</v>
      </c>
      <c r="O22" s="20">
        <f>K22*$O$6</f>
        <v>-924493.13617499988</v>
      </c>
      <c r="P22" s="2">
        <f>L22*$O$6</f>
        <v>-1170244.4761708858</v>
      </c>
      <c r="Q22" s="20">
        <v>-846164.48175000004</v>
      </c>
      <c r="R22" s="2">
        <f t="shared" si="19"/>
        <v>-1071094.2806962025</v>
      </c>
      <c r="S22" s="2"/>
      <c r="T22" s="2">
        <f t="shared" si="20"/>
        <v>0</v>
      </c>
      <c r="U22" s="2">
        <f t="shared" si="20"/>
        <v>0</v>
      </c>
    </row>
    <row r="23" spans="1:21" x14ac:dyDescent="0.25">
      <c r="A23" s="6">
        <f t="shared" si="8"/>
        <v>15</v>
      </c>
      <c r="B23" s="11" t="s">
        <v>25</v>
      </c>
      <c r="C23" s="2">
        <f>C11+C15-(62009121.85*0.21)</f>
        <v>2837028.3826999981</v>
      </c>
      <c r="D23" s="2">
        <f>C23/(1-$D$6)</f>
        <v>3591175.1679746811</v>
      </c>
      <c r="E23" s="2">
        <f>SUM(E21:E22)/SUM($C$21:$C$22)*$C23</f>
        <v>1744588.0005071883</v>
      </c>
      <c r="F23" s="2">
        <f>E23/(1-$D$6)</f>
        <v>2208339.2411483396</v>
      </c>
      <c r="G23" s="20">
        <f>E23*$G$6</f>
        <v>1133982.2003296723</v>
      </c>
      <c r="H23" s="2">
        <f t="shared" si="14"/>
        <v>1435420.5067464209</v>
      </c>
      <c r="I23" s="20">
        <f t="shared" si="15"/>
        <v>610605.80017751583</v>
      </c>
      <c r="J23" s="2">
        <f t="shared" si="15"/>
        <v>772918.73440191883</v>
      </c>
      <c r="K23" s="20">
        <f>SUM(K21:K22)/SUM($C$21:$C$22)*$C23</f>
        <v>820966.43498563033</v>
      </c>
      <c r="L23" s="2">
        <f>K23/(1-$D$6)</f>
        <v>1039198.0189691522</v>
      </c>
      <c r="M23" s="20">
        <f>K23*$M$6</f>
        <v>574676.50448994117</v>
      </c>
      <c r="N23" s="2">
        <f>L23*$M$6</f>
        <v>727438.61327840656</v>
      </c>
      <c r="O23" s="20">
        <f>K23*$O$6</f>
        <v>246289.9304956891</v>
      </c>
      <c r="P23" s="2">
        <f>L23*$O$6</f>
        <v>311759.40569074568</v>
      </c>
      <c r="Q23" s="20">
        <f>SUM(Q21:Q22)/SUM($C$21:$C$22)*$C23</f>
        <v>271473.94720717944</v>
      </c>
      <c r="R23" s="2">
        <f t="shared" si="19"/>
        <v>343637.90785718913</v>
      </c>
      <c r="S23" s="2"/>
      <c r="T23" s="2">
        <f>C23-G23-I23-M23-O23-Q23</f>
        <v>0</v>
      </c>
      <c r="U23" s="2">
        <f t="shared" si="20"/>
        <v>0</v>
      </c>
    </row>
    <row r="24" spans="1:21" x14ac:dyDescent="0.25">
      <c r="A24" s="6">
        <f t="shared" si="8"/>
        <v>16</v>
      </c>
      <c r="B24" s="11"/>
      <c r="C24" s="2"/>
      <c r="D24" s="2"/>
      <c r="E24" s="2"/>
      <c r="F24" s="2"/>
      <c r="G24" s="20"/>
      <c r="H24" s="2"/>
      <c r="I24" s="20"/>
      <c r="J24" s="2"/>
      <c r="K24" s="20"/>
      <c r="L24" s="2"/>
      <c r="M24" s="20"/>
      <c r="N24" s="2"/>
      <c r="O24" s="20"/>
      <c r="P24" s="2"/>
      <c r="Q24" s="20"/>
      <c r="R24" s="2"/>
      <c r="S24" s="2"/>
      <c r="T24" s="2">
        <f>C24-G24-I24-M24-O24-Q24</f>
        <v>0</v>
      </c>
      <c r="U24" s="2">
        <f t="shared" si="20"/>
        <v>0</v>
      </c>
    </row>
    <row r="25" spans="1:21" x14ac:dyDescent="0.25">
      <c r="A25" s="6">
        <f t="shared" si="8"/>
        <v>17</v>
      </c>
      <c r="C25" s="10">
        <f>SUM(C20:C24)</f>
        <v>-12958906.74955</v>
      </c>
      <c r="D25" s="10">
        <f t="shared" ref="D25:R25" si="21">SUM(D20:D24)</f>
        <v>-16403679.429810125</v>
      </c>
      <c r="E25" s="10">
        <f t="shared" si="21"/>
        <v>-7968885.1027428107</v>
      </c>
      <c r="F25" s="10">
        <f t="shared" si="21"/>
        <v>-10087196.332585836</v>
      </c>
      <c r="G25" s="21">
        <f t="shared" si="21"/>
        <v>-5179775.3167828266</v>
      </c>
      <c r="H25" s="10">
        <f t="shared" si="21"/>
        <v>-6556677.6161807934</v>
      </c>
      <c r="I25" s="21">
        <f t="shared" si="21"/>
        <v>-2789109.7859599832</v>
      </c>
      <c r="J25" s="10">
        <f t="shared" si="21"/>
        <v>-3530518.7164050415</v>
      </c>
      <c r="K25" s="21">
        <f t="shared" si="21"/>
        <v>-3749989.7922643693</v>
      </c>
      <c r="L25" s="10">
        <f t="shared" si="21"/>
        <v>-4746822.5218536314</v>
      </c>
      <c r="M25" s="21">
        <f t="shared" si="21"/>
        <v>-2624992.8545850585</v>
      </c>
      <c r="N25" s="10">
        <f t="shared" si="21"/>
        <v>-3322775.7652975423</v>
      </c>
      <c r="O25" s="21">
        <f t="shared" si="21"/>
        <v>-1124996.9376793108</v>
      </c>
      <c r="P25" s="10">
        <f t="shared" si="21"/>
        <v>-1424046.7565560893</v>
      </c>
      <c r="Q25" s="21">
        <f t="shared" si="21"/>
        <v>-1240031.8545428207</v>
      </c>
      <c r="R25" s="10">
        <f t="shared" si="21"/>
        <v>-1569660.5753706589</v>
      </c>
      <c r="S25" s="2"/>
      <c r="T25" s="2">
        <f>C25-G25-I25-M25-O25-Q25</f>
        <v>0</v>
      </c>
      <c r="U25" s="2">
        <f t="shared" si="20"/>
        <v>0</v>
      </c>
    </row>
    <row r="26" spans="1:21" x14ac:dyDescent="0.25">
      <c r="A26" s="6">
        <f t="shared" si="8"/>
        <v>18</v>
      </c>
      <c r="C26" s="12"/>
      <c r="D26" s="12"/>
      <c r="E26" s="12"/>
      <c r="F26" s="12"/>
      <c r="G26" s="20"/>
      <c r="H26" s="12"/>
      <c r="I26" s="20"/>
      <c r="J26" s="12"/>
      <c r="K26" s="20"/>
      <c r="L26" s="12"/>
      <c r="M26" s="20"/>
      <c r="N26" s="12"/>
      <c r="O26" s="20"/>
      <c r="P26" s="12"/>
      <c r="Q26" s="20"/>
      <c r="R26" s="12"/>
      <c r="S26" s="2"/>
      <c r="T26" s="2"/>
      <c r="U26" s="2"/>
    </row>
    <row r="27" spans="1:21" ht="15.75" thickBot="1" x14ac:dyDescent="0.3">
      <c r="A27" s="6">
        <f t="shared" si="8"/>
        <v>19</v>
      </c>
      <c r="B27" s="11" t="s">
        <v>26</v>
      </c>
      <c r="C27" s="13">
        <f>C18+C25</f>
        <v>-119168230.08955</v>
      </c>
      <c r="D27" s="13">
        <f t="shared" ref="D27:R27" si="22">D18+D25</f>
        <v>-150845860.87284812</v>
      </c>
      <c r="E27" s="13">
        <f t="shared" si="22"/>
        <v>-70658597.024842799</v>
      </c>
      <c r="F27" s="13">
        <f t="shared" si="22"/>
        <v>-89441262.056763038</v>
      </c>
      <c r="G27" s="23">
        <f t="shared" si="22"/>
        <v>-45928088.066147819</v>
      </c>
      <c r="H27" s="13">
        <f t="shared" si="22"/>
        <v>-58136820.336895987</v>
      </c>
      <c r="I27" s="23">
        <f t="shared" si="22"/>
        <v>-24730508.95869498</v>
      </c>
      <c r="J27" s="13">
        <f t="shared" si="22"/>
        <v>-31304441.719867066</v>
      </c>
      <c r="K27" s="23">
        <f t="shared" si="22"/>
        <v>-31826121.28226437</v>
      </c>
      <c r="L27" s="13">
        <f t="shared" si="22"/>
        <v>-40286229.471220724</v>
      </c>
      <c r="M27" s="23">
        <f t="shared" si="22"/>
        <v>-22278284.897585057</v>
      </c>
      <c r="N27" s="13">
        <f t="shared" si="22"/>
        <v>-28200360.629854504</v>
      </c>
      <c r="O27" s="23">
        <f t="shared" si="22"/>
        <v>-9547836.3846793119</v>
      </c>
      <c r="P27" s="13">
        <f t="shared" si="22"/>
        <v>-12085868.841366217</v>
      </c>
      <c r="Q27" s="23">
        <f t="shared" si="22"/>
        <v>-16683511.784542821</v>
      </c>
      <c r="R27" s="13">
        <f t="shared" si="22"/>
        <v>-21118369.347522553</v>
      </c>
      <c r="S27" s="2"/>
      <c r="T27" s="2"/>
      <c r="U27" s="2"/>
    </row>
    <row r="28" spans="1:21" ht="15.75" thickTop="1" x14ac:dyDescent="0.25">
      <c r="A28" s="6">
        <f t="shared" si="8"/>
        <v>20</v>
      </c>
      <c r="B28" s="11"/>
      <c r="C28" s="12"/>
      <c r="D28" s="12"/>
      <c r="E28" s="12"/>
      <c r="F28" s="12"/>
      <c r="G28" s="12"/>
      <c r="H28" s="12"/>
      <c r="I28" s="12"/>
      <c r="J28" s="12"/>
      <c r="K28" s="12"/>
      <c r="L28" s="12"/>
      <c r="M28" s="12"/>
      <c r="N28" s="12"/>
      <c r="O28" s="12"/>
      <c r="P28" s="12"/>
      <c r="Q28" s="12"/>
      <c r="R28" s="12"/>
      <c r="S28" s="2"/>
      <c r="T28" s="2"/>
      <c r="U28" s="2"/>
    </row>
    <row r="29" spans="1:21" x14ac:dyDescent="0.25">
      <c r="A29" s="6">
        <f t="shared" si="8"/>
        <v>21</v>
      </c>
      <c r="B29" s="37" t="s">
        <v>67</v>
      </c>
      <c r="C29" s="41"/>
      <c r="D29" s="41"/>
      <c r="E29" s="41"/>
      <c r="F29" s="41"/>
      <c r="G29" s="41">
        <f>+G16+G12</f>
        <v>-8119524.0425000004</v>
      </c>
      <c r="H29" s="41">
        <f>+H16+H12</f>
        <v>-10277878.534810126</v>
      </c>
      <c r="I29" s="41"/>
      <c r="J29" s="41"/>
      <c r="K29" s="41"/>
      <c r="L29" s="41"/>
      <c r="M29" s="41">
        <f>+M16+M12</f>
        <v>-3815619.2409999995</v>
      </c>
      <c r="N29" s="41">
        <f>+N16+N12</f>
        <v>-4829897.7734177206</v>
      </c>
      <c r="O29" s="12"/>
      <c r="P29" s="12"/>
      <c r="Q29" s="12"/>
      <c r="R29" s="12"/>
      <c r="S29" s="2"/>
      <c r="T29" s="2"/>
      <c r="U29" s="2"/>
    </row>
    <row r="30" spans="1:21" x14ac:dyDescent="0.25">
      <c r="A30" s="6">
        <f t="shared" si="8"/>
        <v>22</v>
      </c>
      <c r="B30" t="s">
        <v>68</v>
      </c>
      <c r="C30" s="12"/>
      <c r="D30" s="12"/>
      <c r="E30" s="12"/>
      <c r="F30" s="12"/>
      <c r="G30" s="12">
        <f>(G9+G10+G11+G22)+(G23*577160/1679064)</f>
        <v>-8761535.6531728357</v>
      </c>
      <c r="H30" s="12">
        <f>(H9+H10+H11+H22)+(H23*577160/1679064)</f>
        <v>-11090551.459712451</v>
      </c>
      <c r="I30" s="12"/>
      <c r="J30" s="12"/>
      <c r="K30" s="12"/>
      <c r="L30" s="12"/>
      <c r="M30" s="12">
        <f>(M9+M10+M11+M22)+(M23*577160/1679064)</f>
        <v>-8218741.928902233</v>
      </c>
      <c r="N30" s="12">
        <f>(N9+N10+N11+N22)+(N23*577160/1679064)</f>
        <v>-10403470.796078777</v>
      </c>
      <c r="O30" s="12"/>
      <c r="P30" s="12"/>
      <c r="Q30" s="12"/>
      <c r="R30" s="12"/>
      <c r="S30" s="2"/>
      <c r="T30" s="2"/>
      <c r="U30" s="2"/>
    </row>
    <row r="31" spans="1:21" x14ac:dyDescent="0.25">
      <c r="A31" s="6">
        <f t="shared" si="8"/>
        <v>23</v>
      </c>
      <c r="B31" t="s">
        <v>69</v>
      </c>
      <c r="C31" s="12"/>
      <c r="D31" s="12"/>
      <c r="E31" s="12"/>
      <c r="F31" s="12"/>
      <c r="G31" s="12">
        <f>(G13+G14+G15+G21)+(G23*1101904/1679064)</f>
        <v>-29047028.37047499</v>
      </c>
      <c r="H31" s="12">
        <f>(H13+H14+H15+H21)+(H23*1101904/1679064)</f>
        <v>-36768390.342373408</v>
      </c>
      <c r="I31" s="12"/>
      <c r="J31" s="12"/>
      <c r="K31" s="12"/>
      <c r="L31" s="12"/>
      <c r="M31" s="12">
        <f>(M13+M14+M15+M21)+(M23*1101904/1679064)</f>
        <v>-10243923.727682827</v>
      </c>
      <c r="N31" s="12">
        <f>(N13+N14+N15+N21)+(N23*1101904/1679064)</f>
        <v>-12966992.060358005</v>
      </c>
      <c r="O31" s="12"/>
      <c r="P31" s="12"/>
      <c r="Q31" s="12"/>
      <c r="R31" s="12"/>
      <c r="S31" s="2"/>
      <c r="T31" s="2"/>
      <c r="U31" s="2"/>
    </row>
    <row r="32" spans="1:21" ht="15.75" thickBot="1" x14ac:dyDescent="0.3">
      <c r="A32" s="6">
        <f t="shared" si="8"/>
        <v>24</v>
      </c>
      <c r="C32" s="12"/>
      <c r="D32" s="12"/>
      <c r="E32" s="12"/>
      <c r="F32" s="12"/>
      <c r="G32" s="24">
        <f>SUM(G29:G31)</f>
        <v>-45928088.066147827</v>
      </c>
      <c r="H32" s="24">
        <f>SUM(H29:H31)</f>
        <v>-58136820.336895987</v>
      </c>
      <c r="I32" s="12"/>
      <c r="J32" s="12"/>
      <c r="K32" s="12"/>
      <c r="L32" s="12"/>
      <c r="M32" s="24">
        <f>SUM(M29:M31)</f>
        <v>-22278284.897585057</v>
      </c>
      <c r="N32" s="24">
        <f>SUM(N29:N31)</f>
        <v>-28200360.6298545</v>
      </c>
      <c r="O32" s="12"/>
      <c r="P32" s="12"/>
      <c r="Q32" s="12"/>
      <c r="R32" s="12"/>
      <c r="S32" s="2"/>
      <c r="T32" s="2"/>
      <c r="U32" s="2"/>
    </row>
    <row r="33" spans="1:21" x14ac:dyDescent="0.25">
      <c r="A33" s="6">
        <f t="shared" si="8"/>
        <v>25</v>
      </c>
      <c r="C33" s="12"/>
      <c r="D33" s="12"/>
      <c r="E33" s="12"/>
      <c r="F33" s="12"/>
      <c r="G33" s="12"/>
      <c r="H33" s="12"/>
      <c r="I33" s="12"/>
      <c r="J33" s="12"/>
      <c r="K33" s="12"/>
      <c r="L33" s="12"/>
      <c r="M33" s="12"/>
      <c r="N33" s="12"/>
      <c r="O33" s="12"/>
      <c r="P33" s="12"/>
      <c r="Q33" s="12"/>
      <c r="R33" s="12"/>
      <c r="S33" s="2"/>
      <c r="T33" s="2"/>
      <c r="U33" s="2"/>
    </row>
    <row r="34" spans="1:21" x14ac:dyDescent="0.25">
      <c r="A34" s="6">
        <f t="shared" ref="A34:A37" si="23">+A33+1</f>
        <v>26</v>
      </c>
      <c r="B34" s="37" t="s">
        <v>70</v>
      </c>
      <c r="C34" s="42"/>
      <c r="D34" s="41"/>
      <c r="E34" s="41"/>
      <c r="F34" s="41"/>
      <c r="G34" s="41">
        <f>+G16+G12</f>
        <v>-8119524.0425000004</v>
      </c>
      <c r="H34" s="41">
        <f>+H16+H12</f>
        <v>-10277878.534810126</v>
      </c>
      <c r="I34" s="41"/>
      <c r="J34" s="41"/>
      <c r="K34" s="41"/>
      <c r="L34" s="41"/>
      <c r="M34" s="41">
        <f>+M16+M12</f>
        <v>-3815619.2409999995</v>
      </c>
      <c r="N34" s="41">
        <f>+N16+N12</f>
        <v>-4829897.7734177206</v>
      </c>
      <c r="O34" s="12"/>
      <c r="P34" s="12"/>
      <c r="Q34" s="12"/>
      <c r="R34" s="12"/>
      <c r="S34" s="2"/>
      <c r="T34" s="2"/>
      <c r="U34" s="2"/>
    </row>
    <row r="35" spans="1:21" x14ac:dyDescent="0.25">
      <c r="A35" s="6">
        <f t="shared" si="23"/>
        <v>27</v>
      </c>
      <c r="B35" t="s">
        <v>68</v>
      </c>
      <c r="C35" s="25">
        <v>15</v>
      </c>
      <c r="D35" s="12" t="s">
        <v>29</v>
      </c>
      <c r="E35" s="12"/>
      <c r="F35" s="12"/>
      <c r="G35" s="12">
        <f>G30/$C$35</f>
        <v>-584102.37687818904</v>
      </c>
      <c r="H35" s="12">
        <f>H30/$C$35</f>
        <v>-739370.09731416346</v>
      </c>
      <c r="I35" s="12"/>
      <c r="J35" s="12"/>
      <c r="K35" s="12"/>
      <c r="L35" s="12"/>
      <c r="M35" s="12">
        <f>M30/$C$35</f>
        <v>-547916.12859348219</v>
      </c>
      <c r="N35" s="12">
        <f>N30/$C$35</f>
        <v>-693564.71973858518</v>
      </c>
      <c r="O35" s="12"/>
      <c r="P35" s="12"/>
      <c r="Q35" s="12"/>
      <c r="R35" s="12"/>
      <c r="S35" s="2"/>
      <c r="T35" s="2"/>
      <c r="U35" s="2"/>
    </row>
    <row r="36" spans="1:21" x14ac:dyDescent="0.25">
      <c r="A36" s="6">
        <f t="shared" si="23"/>
        <v>28</v>
      </c>
      <c r="B36" t="s">
        <v>69</v>
      </c>
      <c r="C36" s="25">
        <v>34</v>
      </c>
      <c r="D36" s="12" t="s">
        <v>29</v>
      </c>
      <c r="E36" s="12"/>
      <c r="F36" s="12"/>
      <c r="G36" s="12">
        <f>G31/$C$36</f>
        <v>-854324.36383749975</v>
      </c>
      <c r="H36" s="12">
        <f>H31/$C$36</f>
        <v>-1081423.2453639237</v>
      </c>
      <c r="I36" s="12"/>
      <c r="J36" s="12"/>
      <c r="K36" s="12"/>
      <c r="L36" s="12"/>
      <c r="M36" s="12">
        <f>M31/$C$36</f>
        <v>-301291.87434361258</v>
      </c>
      <c r="N36" s="12">
        <f>N31/$C$36</f>
        <v>-381382.11942229426</v>
      </c>
      <c r="O36" s="12"/>
      <c r="P36" s="12"/>
      <c r="Q36" s="12"/>
      <c r="R36" s="12"/>
      <c r="S36" s="2"/>
      <c r="T36" s="2"/>
      <c r="U36" s="2"/>
    </row>
    <row r="37" spans="1:21" ht="15.75" thickBot="1" x14ac:dyDescent="0.3">
      <c r="A37" s="6">
        <f t="shared" si="23"/>
        <v>29</v>
      </c>
      <c r="C37" s="12"/>
      <c r="D37" s="12"/>
      <c r="E37" s="12"/>
      <c r="F37" s="12"/>
      <c r="G37" s="33">
        <f>SUM(G34:G36)</f>
        <v>-9557950.7832156885</v>
      </c>
      <c r="H37" s="24">
        <f>SUM(H34:H36)</f>
        <v>-12098671.877488215</v>
      </c>
      <c r="I37" s="12"/>
      <c r="J37" s="12"/>
      <c r="K37" s="12"/>
      <c r="L37" s="12"/>
      <c r="M37" s="33">
        <f>SUM(M34:M36)</f>
        <v>-4664827.2439370938</v>
      </c>
      <c r="N37" s="24">
        <f>SUM(N34:N36)</f>
        <v>-5904844.6125785997</v>
      </c>
      <c r="O37" s="12"/>
      <c r="P37" s="12"/>
      <c r="Q37" s="12"/>
      <c r="R37" s="12"/>
      <c r="S37" s="2"/>
      <c r="T37" s="2"/>
      <c r="U37" s="2"/>
    </row>
    <row r="38" spans="1:21" x14ac:dyDescent="0.25">
      <c r="C38" s="12"/>
      <c r="D38" s="12"/>
      <c r="E38" s="12"/>
      <c r="F38" s="12"/>
      <c r="G38" s="12"/>
      <c r="H38" s="12"/>
      <c r="I38" s="12"/>
      <c r="J38" s="12"/>
      <c r="K38" s="12"/>
      <c r="L38" s="12"/>
      <c r="M38" s="12"/>
      <c r="N38" s="12"/>
      <c r="O38" s="12"/>
      <c r="P38" s="12"/>
      <c r="Q38" s="12"/>
      <c r="R38" s="12"/>
      <c r="S38" s="2"/>
      <c r="T38" s="2"/>
      <c r="U38" s="2"/>
    </row>
    <row r="39" spans="1:21" x14ac:dyDescent="0.25">
      <c r="C39" s="12"/>
      <c r="D39" s="12"/>
      <c r="E39" s="12"/>
      <c r="F39" s="12"/>
      <c r="G39" s="12"/>
      <c r="H39" s="12">
        <f>+H36+H35</f>
        <v>-1820793.3426780873</v>
      </c>
      <c r="I39" s="12"/>
      <c r="J39" s="12"/>
      <c r="K39" s="12"/>
      <c r="L39" s="12"/>
      <c r="M39" s="12"/>
      <c r="N39" s="12"/>
      <c r="O39" s="12"/>
      <c r="P39" s="12"/>
      <c r="Q39" s="12"/>
      <c r="R39" s="12"/>
      <c r="S39" s="2"/>
      <c r="T39" s="2"/>
      <c r="U39" s="2"/>
    </row>
    <row r="40" spans="1:21" x14ac:dyDescent="0.25">
      <c r="C40" s="12"/>
      <c r="D40" s="12"/>
      <c r="E40" s="12"/>
      <c r="F40" s="12"/>
      <c r="G40" s="12"/>
      <c r="H40" s="12"/>
      <c r="I40" s="12"/>
      <c r="J40" s="12"/>
      <c r="K40" s="12"/>
      <c r="L40" s="12"/>
      <c r="M40" s="12"/>
      <c r="N40" s="12"/>
      <c r="O40" s="12"/>
      <c r="P40" s="12"/>
      <c r="Q40" s="12"/>
      <c r="R40" s="12"/>
      <c r="S40" s="2"/>
      <c r="T40" s="2"/>
      <c r="U40" s="2"/>
    </row>
    <row r="41" spans="1:21" x14ac:dyDescent="0.25">
      <c r="C41" s="12"/>
      <c r="D41" s="12"/>
      <c r="E41" s="12"/>
      <c r="F41" s="12"/>
      <c r="G41" s="12"/>
      <c r="H41" s="12"/>
      <c r="I41" s="12"/>
      <c r="J41" s="12"/>
      <c r="K41" s="12"/>
      <c r="L41" s="12"/>
      <c r="M41" s="12"/>
      <c r="N41" s="12"/>
      <c r="O41" s="12"/>
      <c r="P41" s="12"/>
      <c r="Q41" s="12"/>
      <c r="R41" s="12"/>
      <c r="S41" s="2"/>
      <c r="T41" s="2"/>
      <c r="U41" s="2"/>
    </row>
    <row r="42" spans="1:21" x14ac:dyDescent="0.25">
      <c r="C42" s="12"/>
      <c r="D42" s="12"/>
      <c r="E42" s="12"/>
      <c r="F42" s="12"/>
      <c r="G42" s="12"/>
      <c r="H42" s="12"/>
      <c r="I42" s="12"/>
      <c r="J42" s="12"/>
      <c r="K42" s="12"/>
      <c r="L42" s="12"/>
      <c r="M42" s="12"/>
      <c r="N42" s="12"/>
      <c r="O42" s="12"/>
      <c r="P42" s="12"/>
      <c r="Q42" s="12"/>
      <c r="R42" s="12"/>
      <c r="S42" s="2"/>
      <c r="T42" s="2"/>
      <c r="U42" s="2"/>
    </row>
    <row r="44" spans="1:21" ht="54.6" customHeight="1" x14ac:dyDescent="0.25">
      <c r="C44" s="14" t="s">
        <v>13</v>
      </c>
      <c r="D44" s="54" t="s">
        <v>27</v>
      </c>
      <c r="E44" s="54"/>
      <c r="F44" s="54"/>
      <c r="G44" s="54"/>
      <c r="H44" s="54"/>
      <c r="I44" s="54"/>
      <c r="J44" s="54"/>
    </row>
    <row r="45" spans="1:21" ht="16.149999999999999" customHeight="1" x14ac:dyDescent="0.25">
      <c r="C45" s="15"/>
      <c r="D45" s="16"/>
      <c r="E45" s="16"/>
      <c r="F45" s="16"/>
      <c r="G45" s="16"/>
      <c r="H45" s="16"/>
      <c r="I45" s="16"/>
      <c r="J45" s="16"/>
    </row>
    <row r="46" spans="1:21" ht="66" customHeight="1" x14ac:dyDescent="0.25">
      <c r="C46" s="14" t="s">
        <v>15</v>
      </c>
      <c r="D46" s="54" t="s">
        <v>28</v>
      </c>
      <c r="E46" s="54"/>
      <c r="F46" s="54"/>
      <c r="G46" s="54"/>
      <c r="H46" s="54"/>
      <c r="I46" s="54"/>
      <c r="J46" s="54"/>
    </row>
    <row r="47" spans="1:21" x14ac:dyDescent="0.25">
      <c r="B47" s="16"/>
      <c r="C47" s="16"/>
      <c r="D47" s="16"/>
      <c r="E47" s="16"/>
      <c r="F47" s="16"/>
      <c r="G47" s="16"/>
      <c r="H47" s="16"/>
      <c r="I47" s="16"/>
      <c r="J47" s="16"/>
    </row>
    <row r="48" spans="1:21" x14ac:dyDescent="0.25">
      <c r="B48" s="17"/>
      <c r="C48" s="17"/>
      <c r="D48" s="17"/>
      <c r="E48" s="17"/>
      <c r="F48" s="17"/>
      <c r="G48" s="17"/>
      <c r="H48" s="17"/>
      <c r="I48" s="17"/>
      <c r="J48" s="17"/>
    </row>
  </sheetData>
  <mergeCells count="10">
    <mergeCell ref="O7:P7"/>
    <mergeCell ref="Q7:R7"/>
    <mergeCell ref="D44:J44"/>
    <mergeCell ref="D46:J46"/>
    <mergeCell ref="C7:D7"/>
    <mergeCell ref="E7:F7"/>
    <mergeCell ref="G7:H7"/>
    <mergeCell ref="I7:J7"/>
    <mergeCell ref="K7:L7"/>
    <mergeCell ref="M7:N7"/>
  </mergeCells>
  <pageMargins left="0.25" right="0.25" top="0.75" bottom="0.75" header="0.3" footer="0.3"/>
  <pageSetup scale="50" fitToHeight="0" orientation="landscape" r:id="rId1"/>
  <headerFooter scaleWithDoc="0"/>
  <colBreaks count="1" manualBreakCount="1">
    <brk id="10"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Visibility xmlns="dc463f71-b30c-4ab2-9473-d307f9d35888">Full Visibility</Visibility>
    <DocumentSetType xmlns="dc463f71-b30c-4ab2-9473-d307f9d35888">Testimony</DocumentSetType>
    <IsConfidential xmlns="dc463f71-b30c-4ab2-9473-d307f9d35888">false</IsConfidential>
    <CaseType xmlns="dc463f71-b30c-4ab2-9473-d307f9d35888">Tariff Revision</CaseType>
    <IndustryCode xmlns="dc463f71-b30c-4ab2-9473-d307f9d35888">140</IndustryCode>
    <CaseStatus xmlns="dc463f71-b30c-4ab2-9473-d307f9d35888">Formal</CaseStatus>
    <OpenedDate xmlns="dc463f71-b30c-4ab2-9473-d307f9d35888">2020-10-30T07:00:00+00:00</OpenedDate>
    <Date1 xmlns="dc463f71-b30c-4ab2-9473-d307f9d35888">2021-04-21T07:00:00+00:00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200900</DocketNumber>
    <AgendaOrder xmlns="dc463f71-b30c-4ab2-9473-d307f9d35888">false</AgendaOrder>
    <SignificantOrder xmlns="dc463f71-b30c-4ab2-9473-d307f9d35888">false</SignificantOrder>
    <DelegatedOrder xmlns="dc463f71-b30c-4ab2-9473-d307f9d35888">false</Delegated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A77B5ED84937743973E7F67CD421E1E" ma:contentTypeVersion="52" ma:contentTypeDescription="" ma:contentTypeScope="" ma:versionID="5c3423d3119d0c9e52915902aa2dcee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8373B414-214B-444E-9C06-20E82A0CCA32}">
  <ds:schemaRefs>
    <ds:schemaRef ds:uri="http://purl.org/dc/dcmitype/"/>
    <ds:schemaRef ds:uri="24f70c62-691b-492e-ba59-9d389529a97e"/>
    <ds:schemaRef ds:uri="http://schemas.microsoft.com/office/2006/documentManagement/types"/>
    <ds:schemaRef ds:uri="a0689114-bdb9-4146-803a-240f5368dce0"/>
    <ds:schemaRef ds:uri="http://purl.org/dc/terms/"/>
    <ds:schemaRef ds:uri="http://schemas.microsoft.com/sharepoint/v3/field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63D1E577-BCD1-40AD-B51D-B9B44BB6544A}"/>
</file>

<file path=customXml/itemProps3.xml><?xml version="1.0" encoding="utf-8"?>
<ds:datastoreItem xmlns:ds="http://schemas.openxmlformats.org/officeDocument/2006/customXml" ds:itemID="{46E7D2EC-6C93-43D6-8AC2-FBC36578E21F}">
  <ds:schemaRefs>
    <ds:schemaRef ds:uri="http://schemas.microsoft.com/sharepoint/v3/contenttype/forms"/>
  </ds:schemaRefs>
</ds:datastoreItem>
</file>

<file path=customXml/itemProps4.xml><?xml version="1.0" encoding="utf-8"?>
<ds:datastoreItem xmlns:ds="http://schemas.openxmlformats.org/officeDocument/2006/customXml" ds:itemID="{4B2C5E40-9BC3-49D1-924E-193C3871EAD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Exh BAE-7 Year 1 Calc Pg 1 of 2</vt:lpstr>
      <vt:lpstr>Exh BAE-7 Refund Amt Pg 2 of 2</vt:lpstr>
      <vt:lpstr>'Exh BAE-7 Refund Amt Pg 2 of 2'!Print_Area</vt:lpstr>
      <vt:lpstr>'Exh BAE-7 Year 1 Calc Pg 1 of 2'!Print_Area</vt:lpstr>
      <vt:lpstr>'Exh BAE-7 Refund Amt Pg 2 of 2'!Print_Titles</vt:lpstr>
    </vt:vector>
  </TitlesOfParts>
  <Company>Avista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Exh. BAE-7 Calculation of Refund Year 1</dc:title>
  <dc:creator>Pluth, Jeanne</dc:creator>
  <dc:description/>
  <cp:lastModifiedBy>Erdahl, Betty Ann (UTC)</cp:lastModifiedBy>
  <cp:lastPrinted>2021-03-26T21:09:07Z</cp:lastPrinted>
  <dcterms:created xsi:type="dcterms:W3CDTF">2021-03-10T15:58:07Z</dcterms:created>
  <dcterms:modified xsi:type="dcterms:W3CDTF">2021-04-09T01:09:16Z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0x0101006E56B4D1795A2E4DB2F0B01679ED314A00EA77B5ED84937743973E7F67CD421E1E</vt:lpwstr>
  </property>
  <property fmtid="{D5CDD505-2E9C-101B-9397-08002B2CF9AE}" pid="4" name="EfsecDocumentType">
    <vt:lpwstr>Documents</vt:lpwstr>
  </property>
  <property fmtid="{D5CDD505-2E9C-101B-9397-08002B2CF9AE}" pid="10" name="IsOfficialRecord">
    <vt:bool>false</vt:bool>
  </property>
  <property fmtid="{D5CDD505-2E9C-101B-9397-08002B2CF9AE}" pid="11" name="IsVisibleToEfsecCouncil">
    <vt:bool>false</vt:bool>
  </property>
  <property fmtid="{D5CDD505-2E9C-101B-9397-08002B2CF9AE}" pid="18" name="_docset_NoMedatataSyncRequired">
    <vt:lpwstr>False</vt:lpwstr>
  </property>
  <property fmtid="{D5CDD505-2E9C-101B-9397-08002B2CF9AE}" pid="19" name="IsEFSEC">
    <vt:bool>false</vt:bool>
  </property>
</Properties>
</file>