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S:\GHG\WA\2024 (Reporting Year 2023)\1_ 2024 UTC Energy &amp; Emissions Intensity Report\5_Final Filing\"/>
    </mc:Choice>
  </mc:AlternateContent>
  <xr:revisionPtr revIDLastSave="0" documentId="13_ncr:1_{DF752CB4-8CBE-4A4E-ABF9-779B24F33D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 2016" sheetId="1" r:id="rId1"/>
    <sheet name="Known Resources" sheetId="4" r:id="rId2"/>
    <sheet name="Unknown Resources" sheetId="3" r:id="rId3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D34" i="3" l="1"/>
  <c r="E4" i="4" l="1"/>
  <c r="E5" i="4"/>
  <c r="E6" i="4"/>
  <c r="E7" i="4"/>
  <c r="C3" i="4"/>
  <c r="C7" i="4" s="1"/>
  <c r="C4" i="4" l="1"/>
  <c r="C5" i="4"/>
  <c r="C6" i="4"/>
  <c r="H1" i="3" l="1"/>
  <c r="H42" i="4" l="1"/>
  <c r="G33" i="4"/>
  <c r="G30" i="4"/>
  <c r="G7" i="4"/>
  <c r="G6" i="4" l="1"/>
  <c r="B1" i="4" l="1"/>
  <c r="B35" i="4" l="1"/>
  <c r="B36" i="3" l="1"/>
  <c r="B13" i="3" l="1"/>
  <c r="C13" i="3" s="1"/>
  <c r="D13" i="3" s="1"/>
  <c r="B4" i="3"/>
  <c r="C4" i="3" s="1"/>
  <c r="B7" i="3"/>
  <c r="C7" i="3" l="1"/>
  <c r="D7" i="3" s="1"/>
  <c r="G2" i="3" l="1"/>
  <c r="E15" i="1" l="1"/>
  <c r="E5" i="1" s="1"/>
  <c r="B10" i="4" l="1"/>
  <c r="B9" i="4"/>
  <c r="B8" i="4"/>
  <c r="B6" i="4"/>
  <c r="B5" i="4"/>
  <c r="B4" i="4"/>
  <c r="B14" i="3"/>
  <c r="C14" i="3" s="1"/>
  <c r="B11" i="3"/>
  <c r="B6" i="3"/>
  <c r="C6" i="3" s="1"/>
  <c r="B8" i="3"/>
  <c r="B9" i="3"/>
  <c r="B10" i="3"/>
  <c r="C10" i="3" s="1"/>
  <c r="D10" i="3" s="1"/>
  <c r="B12" i="3"/>
  <c r="B5" i="3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E34" i="4" s="1"/>
  <c r="B36" i="4"/>
  <c r="B37" i="4"/>
  <c r="B38" i="4"/>
  <c r="E38" i="4" s="1"/>
  <c r="B39" i="4"/>
  <c r="B40" i="4"/>
  <c r="B41" i="4"/>
  <c r="B3" i="4"/>
  <c r="F34" i="3" l="1"/>
  <c r="D14" i="3"/>
  <c r="G42" i="4"/>
  <c r="B7" i="4"/>
  <c r="E36" i="4" l="1"/>
  <c r="E37" i="4"/>
  <c r="E39" i="4"/>
  <c r="E40" i="4"/>
  <c r="E41" i="4"/>
  <c r="E11" i="4"/>
  <c r="E12" i="4"/>
  <c r="E13" i="4"/>
  <c r="E14" i="4"/>
  <c r="E15" i="4"/>
  <c r="E16" i="4"/>
  <c r="E17" i="4"/>
  <c r="E18" i="4"/>
  <c r="E19" i="4"/>
  <c r="E20" i="4"/>
  <c r="D4" i="3"/>
  <c r="C5" i="3"/>
  <c r="D5" i="3" s="1"/>
  <c r="D6" i="3"/>
  <c r="C8" i="3"/>
  <c r="D8" i="3" s="1"/>
  <c r="C9" i="3"/>
  <c r="D9" i="3" s="1"/>
  <c r="E22" i="4" l="1"/>
  <c r="E10" i="4"/>
  <c r="E9" i="4"/>
  <c r="E8" i="4"/>
  <c r="B42" i="4" l="1"/>
  <c r="E20" i="1" s="1"/>
  <c r="H12" i="1"/>
  <c r="H13" i="1"/>
  <c r="H14" i="1"/>
  <c r="H24" i="1" l="1"/>
  <c r="F14" i="1"/>
  <c r="F13" i="1"/>
  <c r="B3" i="3" l="1"/>
  <c r="B1" i="3"/>
  <c r="D2" i="4"/>
  <c r="E22" i="1"/>
  <c r="H11" i="1"/>
  <c r="H10" i="1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2" i="3"/>
  <c r="C11" i="3"/>
  <c r="F10" i="1" l="1"/>
  <c r="F12" i="1"/>
  <c r="F11" i="1"/>
  <c r="B34" i="3"/>
  <c r="B38" i="3" s="1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2" i="3"/>
  <c r="D11" i="3"/>
  <c r="E33" i="4"/>
  <c r="E32" i="4"/>
  <c r="E31" i="4"/>
  <c r="E30" i="4"/>
  <c r="E29" i="4"/>
  <c r="E28" i="4"/>
  <c r="E27" i="4"/>
  <c r="E26" i="4"/>
  <c r="E25" i="4"/>
  <c r="E24" i="4"/>
  <c r="E23" i="4"/>
  <c r="E21" i="1" l="1"/>
  <c r="G21" i="1"/>
  <c r="F20" i="1" l="1"/>
  <c r="F21" i="1"/>
  <c r="E35" i="4"/>
  <c r="E42" i="4" l="1"/>
  <c r="G20" i="1" l="1"/>
  <c r="G22" i="1" l="1"/>
  <c r="H22" i="1" s="1"/>
  <c r="I20" i="1"/>
  <c r="I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Avcisert, Tuba {Mkt Function}</author>
  </authors>
  <commentList>
    <comment ref="G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
</t>
        </r>
      </text>
    </comment>
    <comment ref="G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  <comment ref="G3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  <comment ref="G3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Avcisert, Tuba {Mkt Function}:</t>
        </r>
        <r>
          <rPr>
            <sz val="9"/>
            <color indexed="81"/>
            <rFont val="Tahoma"/>
            <family val="2"/>
          </rPr>
          <t xml:space="preserve">
Generation minus EIM sales</t>
        </r>
      </text>
    </comment>
  </commentList>
</comments>
</file>

<file path=xl/sharedStrings.xml><?xml version="1.0" encoding="utf-8"?>
<sst xmlns="http://schemas.openxmlformats.org/spreadsheetml/2006/main" count="150" uniqueCount="111">
  <si>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</si>
  <si>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</si>
  <si>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</si>
  <si>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</si>
  <si>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</si>
  <si>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</si>
  <si>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</si>
  <si>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</si>
  <si>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</si>
  <si>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</si>
  <si>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</si>
  <si>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</si>
  <si>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</si>
  <si>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</si>
  <si>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</si>
  <si>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</si>
  <si>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</si>
  <si>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</si>
  <si>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</si>
  <si>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</si>
  <si>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</si>
  <si>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</si>
  <si>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</si>
  <si>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</si>
  <si>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</si>
  <si>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</si>
  <si>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</si>
  <si>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</si>
  <si>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</si>
  <si>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</si>
  <si>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</si>
  <si>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</si>
  <si>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</si>
  <si>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</si>
  <si>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</si>
  <si>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</si>
  <si>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</si>
  <si>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</si>
  <si>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</si>
  <si>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</si>
  <si>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</si>
  <si>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</si>
  <si>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</si>
  <si>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</si>
  <si>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</si>
  <si>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</si>
  <si>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</si>
  <si>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</si>
  <si>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</si>
  <si>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</si>
  <si>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</si>
  <si>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</si>
  <si>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</si>
  <si>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</si>
  <si>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</si>
  <si>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</si>
  <si>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</si>
  <si>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</si>
  <si>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</si>
  <si>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</si>
  <si>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</si>
  <si>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</si>
  <si>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</si>
  <si>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</si>
  <si>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</si>
  <si>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</si>
  <si>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</si>
  <si>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</si>
  <si>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</si>
  <si>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</si>
  <si>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</si>
  <si>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</si>
  <si>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</si>
  <si>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</si>
  <si>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</si>
  <si>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</si>
  <si>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</si>
  <si>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</si>
  <si>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Grant PUD - Wanapum</t>
  </si>
  <si>
    <t>Grant PUD - Priest Rapids</t>
  </si>
  <si>
    <t>Yakima Tieton</t>
  </si>
  <si>
    <t>Hermiston (Total; Owned and Purchase)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</si>
  <si>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</si>
  <si>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</si>
  <si>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</si>
  <si>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</si>
  <si>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</si>
  <si>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</si>
  <si>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</si>
  <si>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</si>
  <si>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</si>
  <si>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</si>
  <si>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</si>
  <si>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</si>
  <si>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</si>
  <si>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</si>
  <si>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Market Purchases - Nevada-Oregon Border</t>
  </si>
  <si>
    <t>Annual (Unallocated) MWh 2016</t>
  </si>
  <si>
    <t>Summary Energy and Emissions Intensity Report - 2016</t>
  </si>
  <si>
    <t>Updated 5/11/2017</t>
  </si>
  <si>
    <t>2016 Washington - WCA Allocation Factor</t>
  </si>
  <si>
    <t>Other Firm Purchases (1)</t>
  </si>
  <si>
    <t>(1) Third party imbalance , transmission losses, misc exchanges. Per FERC accounting booked to purchase power</t>
  </si>
  <si>
    <t>EIM Purchases</t>
  </si>
  <si>
    <t>EIM Sales</t>
  </si>
  <si>
    <t>Dept. of Ecology Unspecified Electricity EF =</t>
  </si>
  <si>
    <t>MT CO2e / MWh</t>
  </si>
  <si>
    <t>MT to lbs Converstion</t>
  </si>
  <si>
    <t>Transmission Loss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</si>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</sst>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0.000%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4" fillId="0" borderId="0" applyFont="0" applyFill="0" applyBorder="0" applyProtection="0">
      <alignment horizontal="right"/>
    </xf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8" fontId="15" fillId="0" borderId="0" applyNumberFormat="0" applyFill="0" applyBorder="0" applyAlignment="0" applyProtection="0"/>
    <xf numFmtId="0" fontId="16" fillId="0" borderId="35" applyNumberFormat="0" applyBorder="0" applyAlignment="0"/>
    <xf numFmtId="12" fontId="13" fillId="3" borderId="20">
      <alignment horizontal="left"/>
    </xf>
    <xf numFmtId="37" fontId="16" fillId="4" borderId="0" applyNumberFormat="0" applyBorder="0" applyAlignment="0" applyProtection="0"/>
    <xf numFmtId="37" fontId="16" fillId="0" borderId="0"/>
    <xf numFmtId="3" fontId="17" fillId="5" borderId="36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0" borderId="0"/>
    <xf numFmtId="169" fontId="20" fillId="0" borderId="0"/>
    <xf numFmtId="0" fontId="19" fillId="0" borderId="0"/>
    <xf numFmtId="0" fontId="11" fillId="0" borderId="0"/>
    <xf numFmtId="0" fontId="1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top"/>
      <protection locked="0"/>
    </xf>
    <xf numFmtId="165" fontId="26" fillId="0" borderId="0" applyFont="0" applyAlignment="0" applyProtection="0"/>
    <xf numFmtId="0" fontId="18" fillId="0" borderId="0"/>
    <xf numFmtId="0" fontId="18" fillId="0" borderId="0"/>
    <xf numFmtId="0" fontId="1" fillId="0" borderId="0"/>
    <xf numFmtId="0" fontId="27" fillId="0" borderId="0" applyNumberFormat="0" applyFill="0" applyBorder="0" applyAlignment="0" applyProtection="0"/>
    <xf numFmtId="170" fontId="28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NumberFormat="0" applyFill="0" applyBorder="0" applyAlignment="0">
      <protection locked="0"/>
    </xf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41" fontId="12" fillId="0" borderId="0"/>
    <xf numFmtId="43" fontId="1" fillId="0" borderId="0" applyFont="0" applyFill="0" applyBorder="0" applyAlignment="0" applyProtection="0"/>
    <xf numFmtId="0" fontId="18" fillId="0" borderId="0"/>
    <xf numFmtId="0" fontId="11" fillId="0" borderId="0">
      <alignment wrapText="1"/>
    </xf>
    <xf numFmtId="0" fontId="1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" fontId="4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5" fillId="0" borderId="0"/>
    <xf numFmtId="0" fontId="45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0" fontId="45" fillId="0" borderId="0"/>
    <xf numFmtId="5" fontId="45" fillId="0" borderId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45" fillId="0" borderId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73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16" fillId="33" borderId="0" applyNumberFormat="0" applyBorder="0" applyAlignment="0" applyProtection="0"/>
    <xf numFmtId="0" fontId="46" fillId="0" borderId="0"/>
    <xf numFmtId="0" fontId="13" fillId="0" borderId="40" applyNumberFormat="0" applyAlignment="0" applyProtection="0">
      <alignment horizontal="left" vertical="center"/>
    </xf>
    <xf numFmtId="0" fontId="13" fillId="0" borderId="34">
      <alignment horizontal="left"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0" fontId="16" fillId="34" borderId="2" applyNumberFormat="0" applyBorder="0" applyAlignment="0" applyProtection="0"/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16" fillId="0" borderId="35" applyNumberFormat="0" applyBorder="0" applyAlignment="0"/>
    <xf numFmtId="0" fontId="16" fillId="0" borderId="35" applyNumberFormat="0" applyBorder="0" applyAlignment="0"/>
    <xf numFmtId="0" fontId="16" fillId="0" borderId="35" applyNumberFormat="0" applyBorder="0" applyAlignment="0"/>
    <xf numFmtId="174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0" fontId="47" fillId="0" borderId="0"/>
    <xf numFmtId="0" fontId="11" fillId="0" borderId="0"/>
    <xf numFmtId="0" fontId="36" fillId="0" borderId="0"/>
    <xf numFmtId="37" fontId="45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5" fillId="0" borderId="0"/>
    <xf numFmtId="0" fontId="45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/>
    <xf numFmtId="37" fontId="49" fillId="35" borderId="0" applyNumberFormat="0" applyFont="0" applyBorder="0" applyAlignment="0" applyProtection="0"/>
    <xf numFmtId="176" fontId="11" fillId="0" borderId="4">
      <alignment horizontal="justify" vertical="top" wrapText="1"/>
    </xf>
    <xf numFmtId="0" fontId="32" fillId="0" borderId="2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5" fillId="0" borderId="41"/>
    <xf numFmtId="0" fontId="45" fillId="0" borderId="42"/>
    <xf numFmtId="38" fontId="18" fillId="0" borderId="43" applyFill="0" applyBorder="0" applyAlignment="0" applyProtection="0">
      <protection locked="0"/>
    </xf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37" fontId="16" fillId="4" borderId="0" applyNumberFormat="0" applyBorder="0" applyAlignment="0" applyProtection="0"/>
  </cellStyleXfs>
  <cellXfs count="118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ill="1" applyBorder="1"/>
    <xf numFmtId="0" fontId="0" fillId="2" borderId="5" xfId="0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166" fontId="2" fillId="0" borderId="2" xfId="2" applyNumberFormat="1" applyFont="1" applyBorder="1" applyAlignment="1">
      <alignment horizontal="center"/>
    </xf>
    <xf numFmtId="0" fontId="10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2" borderId="28" xfId="0" applyFill="1" applyBorder="1"/>
    <xf numFmtId="165" fontId="0" fillId="2" borderId="2" xfId="1" applyNumberFormat="1" applyFont="1" applyFill="1" applyBorder="1" applyAlignment="1"/>
    <xf numFmtId="165" fontId="0" fillId="0" borderId="19" xfId="0" applyNumberFormat="1" applyBorder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5" fontId="0" fillId="2" borderId="3" xfId="1" applyNumberFormat="1" applyFont="1" applyFill="1" applyBorder="1" applyAlignment="1"/>
    <xf numFmtId="0" fontId="0" fillId="0" borderId="29" xfId="0" applyBorder="1"/>
    <xf numFmtId="0" fontId="0" fillId="0" borderId="33" xfId="0" applyBorder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0" xfId="0" applyNumberFormat="1" applyBorder="1"/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6" xfId="0" applyNumberFormat="1" applyBorder="1"/>
    <xf numFmtId="0" fontId="0" fillId="0" borderId="27" xfId="0" applyBorder="1"/>
    <xf numFmtId="165" fontId="0" fillId="0" borderId="0" xfId="0" applyNumberFormat="1"/>
    <xf numFmtId="0" fontId="0" fillId="0" borderId="37" xfId="0" applyBorder="1"/>
    <xf numFmtId="0" fontId="33" fillId="2" borderId="2" xfId="0" applyFont="1" applyFill="1" applyBorder="1"/>
    <xf numFmtId="165" fontId="33" fillId="2" borderId="2" xfId="1" applyNumberFormat="1" applyFont="1" applyFill="1" applyBorder="1"/>
    <xf numFmtId="165" fontId="0" fillId="0" borderId="0" xfId="0" applyNumberFormat="1" applyAlignment="1">
      <alignment horizontal="center"/>
    </xf>
    <xf numFmtId="37" fontId="33" fillId="2" borderId="2" xfId="1" applyNumberFormat="1" applyFont="1" applyFill="1" applyBorder="1" applyAlignment="1">
      <alignment horizontal="center" vertical="center"/>
    </xf>
    <xf numFmtId="165" fontId="33" fillId="2" borderId="2" xfId="1" applyNumberFormat="1" applyFont="1" applyFill="1" applyBorder="1" applyAlignment="1"/>
    <xf numFmtId="0" fontId="0" fillId="0" borderId="2" xfId="0" applyBorder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/>
    <xf numFmtId="165" fontId="33" fillId="0" borderId="2" xfId="1" applyNumberFormat="1" applyFont="1" applyBorder="1"/>
    <xf numFmtId="0" fontId="37" fillId="0" borderId="1" xfId="0" applyFont="1" applyBorder="1"/>
    <xf numFmtId="0" fontId="38" fillId="0" borderId="4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33" fillId="0" borderId="0" xfId="0" applyFont="1"/>
    <xf numFmtId="165" fontId="33" fillId="0" borderId="2" xfId="1" applyNumberFormat="1" applyFont="1" applyBorder="1" applyAlignment="1"/>
    <xf numFmtId="171" fontId="33" fillId="0" borderId="0" xfId="31" applyNumberFormat="1" applyFont="1" applyFill="1" applyBorder="1" applyAlignment="1"/>
    <xf numFmtId="1" fontId="33" fillId="0" borderId="2" xfId="0" applyNumberFormat="1" applyFont="1" applyBorder="1"/>
    <xf numFmtId="3" fontId="0" fillId="0" borderId="0" xfId="0" applyNumberFormat="1"/>
    <xf numFmtId="3" fontId="50" fillId="0" borderId="20" xfId="0" applyNumberFormat="1" applyFont="1" applyBorder="1" applyAlignment="1">
      <alignment horizontal="center"/>
    </xf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2" fillId="0" borderId="29" xfId="0" applyNumberFormat="1" applyFont="1" applyBorder="1"/>
    <xf numFmtId="37" fontId="33" fillId="2" borderId="5" xfId="1" applyNumberFormat="1" applyFont="1" applyFill="1" applyBorder="1" applyAlignment="1">
      <alignment horizontal="center" vertical="center"/>
    </xf>
    <xf numFmtId="37" fontId="0" fillId="0" borderId="6" xfId="0" applyNumberFormat="1" applyBorder="1" applyAlignment="1">
      <alignment horizontal="center"/>
    </xf>
    <xf numFmtId="165" fontId="33" fillId="2" borderId="5" xfId="1" applyNumberFormat="1" applyFont="1" applyFill="1" applyBorder="1"/>
    <xf numFmtId="43" fontId="0" fillId="0" borderId="0" xfId="0" applyNumberFormat="1"/>
    <xf numFmtId="43" fontId="0" fillId="0" borderId="16" xfId="0" applyNumberFormat="1" applyBorder="1"/>
    <xf numFmtId="10" fontId="0" fillId="0" borderId="0" xfId="0" applyNumberFormat="1"/>
    <xf numFmtId="10" fontId="2" fillId="0" borderId="31" xfId="2" applyNumberFormat="1" applyFont="1" applyBorder="1" applyAlignment="1"/>
    <xf numFmtId="0" fontId="51" fillId="0" borderId="0" xfId="0" applyFont="1"/>
    <xf numFmtId="0" fontId="52" fillId="0" borderId="0" xfId="0" applyFont="1"/>
    <xf numFmtId="165" fontId="33" fillId="2" borderId="44" xfId="1" applyNumberFormat="1" applyFont="1" applyFill="1" applyBorder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165" fontId="0" fillId="0" borderId="46" xfId="1" applyNumberFormat="1" applyFont="1" applyBorder="1" applyAlignment="1">
      <alignment horizontal="center"/>
    </xf>
    <xf numFmtId="165" fontId="2" fillId="0" borderId="46" xfId="1" applyNumberFormat="1" applyFont="1" applyBorder="1" applyAlignment="1">
      <alignment horizontal="center"/>
    </xf>
    <xf numFmtId="165" fontId="2" fillId="0" borderId="47" xfId="0" applyNumberFormat="1" applyFont="1" applyBorder="1"/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32"/>
  <sheetViews>
    <sheetView tabSelected="1" zoomScaleNormal="100" workbookViewId="0"/>
  </sheetViews>
  <sheetFormatPr defaultRowHeight="14.5"/>
  <cols>
    <col min="2" max="4" width="10.453125" customWidth="1"/>
    <col min="5" max="5" width="15.54296875" customWidth="1"/>
    <col min="6" max="6" width="16.26953125" customWidth="1"/>
    <col min="7" max="8" width="15" customWidth="1"/>
    <col min="9" max="9" width="13.54296875" customWidth="1"/>
    <col min="10" max="10" width="13.26953125" bestFit="1" customWidth="1"/>
    <col min="12" max="12" width="14.54296875" customWidth="1"/>
  </cols>
  <sheetData>
    <row r="1" spans="2:8" ht="18.5">
      <c r="B1" s="1" t="s">
        <v>98</v>
      </c>
    </row>
    <row r="2" spans="2:8" ht="15" thickBot="1"/>
    <row r="3" spans="2:8">
      <c r="B3" s="38"/>
      <c r="C3" s="39" t="s">
        <v>13</v>
      </c>
      <c r="D3" s="40" t="s">
        <v>41</v>
      </c>
      <c r="E3" s="41"/>
      <c r="F3" s="2"/>
    </row>
    <row r="4" spans="2:8">
      <c r="B4" s="110" t="s">
        <v>14</v>
      </c>
      <c r="C4" s="112"/>
      <c r="D4" s="23">
        <v>2016</v>
      </c>
      <c r="E4" s="44" t="s">
        <v>37</v>
      </c>
      <c r="F4" s="2"/>
    </row>
    <row r="5" spans="2:8" ht="15" thickBot="1">
      <c r="B5" s="113" t="s">
        <v>19</v>
      </c>
      <c r="C5" s="114"/>
      <c r="D5" s="82">
        <v>301905</v>
      </c>
      <c r="E5" s="83">
        <f>+E15/D5</f>
        <v>14.680353091204189</v>
      </c>
    </row>
    <row r="6" spans="2:8">
      <c r="D6" s="12"/>
      <c r="F6" s="11"/>
    </row>
    <row r="7" spans="2:8" ht="19" thickBot="1">
      <c r="C7" s="37" t="s">
        <v>34</v>
      </c>
      <c r="D7" s="12"/>
      <c r="F7" s="11"/>
    </row>
    <row r="8" spans="2:8">
      <c r="B8" s="26"/>
      <c r="C8" s="27"/>
      <c r="D8" s="27"/>
      <c r="E8" s="27"/>
      <c r="F8" s="27"/>
      <c r="G8" s="28" t="s">
        <v>18</v>
      </c>
      <c r="H8" s="54" t="s">
        <v>38</v>
      </c>
    </row>
    <row r="9" spans="2:8">
      <c r="B9" s="29"/>
      <c r="C9" s="7"/>
      <c r="D9" s="7"/>
      <c r="E9" s="9" t="s">
        <v>12</v>
      </c>
      <c r="F9" s="18" t="s">
        <v>26</v>
      </c>
      <c r="G9" s="14" t="s">
        <v>33</v>
      </c>
      <c r="H9" s="55" t="s">
        <v>18</v>
      </c>
    </row>
    <row r="10" spans="2:8">
      <c r="B10" s="110" t="s">
        <v>10</v>
      </c>
      <c r="C10" s="111"/>
      <c r="D10" s="112"/>
      <c r="E10" s="42">
        <v>1749590.0788588659</v>
      </c>
      <c r="F10" s="8">
        <f>+E10/E15</f>
        <v>0.39475669142082204</v>
      </c>
      <c r="G10" s="50">
        <v>108342.08333333299</v>
      </c>
      <c r="H10" s="97">
        <f>+E10/G10</f>
        <v>16.148757943632596</v>
      </c>
    </row>
    <row r="11" spans="2:8">
      <c r="B11" s="110" t="s">
        <v>15</v>
      </c>
      <c r="C11" s="111"/>
      <c r="D11" s="112"/>
      <c r="E11" s="42">
        <v>1612645.2623654904</v>
      </c>
      <c r="F11" s="8">
        <f>+E11/E15</f>
        <v>0.36385809218927179</v>
      </c>
      <c r="G11" s="51">
        <v>15765.166666666701</v>
      </c>
      <c r="H11" s="56">
        <f>+E11/G11</f>
        <v>102.29167229644386</v>
      </c>
    </row>
    <row r="12" spans="2:8">
      <c r="B12" s="110" t="s">
        <v>16</v>
      </c>
      <c r="C12" s="111"/>
      <c r="D12" s="112"/>
      <c r="E12" s="42">
        <v>868534.03721118195</v>
      </c>
      <c r="F12" s="8">
        <f>+E12/E15</f>
        <v>0.19596568765380656</v>
      </c>
      <c r="G12" s="52">
        <v>491.83333333333297</v>
      </c>
      <c r="H12" s="56">
        <f>+E12/G12</f>
        <v>1765.9112921948815</v>
      </c>
    </row>
    <row r="13" spans="2:8">
      <c r="B13" s="110" t="s">
        <v>39</v>
      </c>
      <c r="C13" s="111"/>
      <c r="D13" s="112"/>
      <c r="E13" s="46">
        <v>190139.3389133884</v>
      </c>
      <c r="F13" s="8">
        <f>+E13/E15</f>
        <v>4.2900778442540727E-2</v>
      </c>
      <c r="G13" s="52">
        <v>5058</v>
      </c>
      <c r="H13" s="56">
        <f>+E13/G13</f>
        <v>37.591802869392723</v>
      </c>
    </row>
    <row r="14" spans="2:8">
      <c r="B14" s="115" t="s">
        <v>40</v>
      </c>
      <c r="C14" s="116"/>
      <c r="D14" s="117"/>
      <c r="E14" s="46">
        <v>11163.28265107424</v>
      </c>
      <c r="F14" s="8">
        <f>+E14/E15</f>
        <v>2.5187502935589126E-3</v>
      </c>
      <c r="G14" s="52">
        <v>241</v>
      </c>
      <c r="H14" s="56">
        <f>+E14/G14</f>
        <v>46.320674900722985</v>
      </c>
    </row>
    <row r="15" spans="2:8" ht="15" thickBot="1">
      <c r="B15" s="31"/>
      <c r="C15" s="47" t="s">
        <v>11</v>
      </c>
      <c r="D15" s="48"/>
      <c r="E15" s="43">
        <f>SUM(E10:E14)</f>
        <v>4432072.0000000009</v>
      </c>
      <c r="F15" s="49"/>
      <c r="G15" s="53"/>
      <c r="H15" s="57"/>
    </row>
    <row r="17" spans="2:9" ht="19" thickBot="1">
      <c r="C17" s="37" t="s">
        <v>35</v>
      </c>
    </row>
    <row r="18" spans="2:9">
      <c r="B18" s="26"/>
      <c r="C18" s="27"/>
      <c r="D18" s="27"/>
      <c r="E18" s="27"/>
      <c r="F18" s="28" t="s">
        <v>27</v>
      </c>
      <c r="G18" s="33" t="s">
        <v>4</v>
      </c>
      <c r="H18" s="34"/>
      <c r="I18" s="105" t="s">
        <v>109</v>
      </c>
    </row>
    <row r="19" spans="2:9" ht="16.5">
      <c r="B19" s="35"/>
      <c r="E19" s="18" t="s">
        <v>17</v>
      </c>
      <c r="F19" s="14" t="s">
        <v>28</v>
      </c>
      <c r="G19" s="10" t="s">
        <v>110</v>
      </c>
      <c r="H19" s="30"/>
      <c r="I19" s="106" t="s">
        <v>110</v>
      </c>
    </row>
    <row r="20" spans="2:9" ht="15" thickBot="1">
      <c r="B20" s="110" t="s">
        <v>31</v>
      </c>
      <c r="C20" s="111"/>
      <c r="D20" s="112"/>
      <c r="E20" s="85">
        <f>+'Known Resources'!B42</f>
        <v>3448690.1641142471</v>
      </c>
      <c r="F20" s="8">
        <f>+E20/(E20+E21)</f>
        <v>0.80265382222283144</v>
      </c>
      <c r="G20" s="85">
        <f>+'Known Resources'!E42</f>
        <v>2507712.8028616952</v>
      </c>
      <c r="H20" s="84"/>
      <c r="I20" s="107">
        <f>G20*0.907185</f>
        <v>2274959.4390640869</v>
      </c>
    </row>
    <row r="21" spans="2:9" ht="16.5">
      <c r="B21" s="110" t="s">
        <v>32</v>
      </c>
      <c r="C21" s="111"/>
      <c r="D21" s="112"/>
      <c r="E21" s="86">
        <f>+'Unknown Resources'!B34</f>
        <v>847919.4932890007</v>
      </c>
      <c r="F21" s="36">
        <f>+E21/(E20+E21)</f>
        <v>0.19734617777716859</v>
      </c>
      <c r="G21" s="87">
        <f>+'Unknown Resources'!D34</f>
        <v>408450.849714913</v>
      </c>
      <c r="H21" s="45" t="s">
        <v>36</v>
      </c>
      <c r="I21" s="108">
        <f>G21*0.907185</f>
        <v>370540.48409862333</v>
      </c>
    </row>
    <row r="22" spans="2:9" ht="17" thickBot="1">
      <c r="B22" s="31"/>
      <c r="C22" s="32"/>
      <c r="D22" s="32"/>
      <c r="E22" s="47">
        <f>+D4</f>
        <v>2016</v>
      </c>
      <c r="F22" s="32" t="s">
        <v>3</v>
      </c>
      <c r="G22" s="92">
        <f>SUM(G20:G21)</f>
        <v>2916163.6525766081</v>
      </c>
      <c r="H22" s="99">
        <f>+G22/H24</f>
        <v>1.215535156662938</v>
      </c>
      <c r="I22" s="109">
        <f>SUM(I20:I21)</f>
        <v>2645499.9231627104</v>
      </c>
    </row>
    <row r="24" spans="2:9" ht="16.5">
      <c r="G24" s="13" t="s">
        <v>25</v>
      </c>
      <c r="H24" s="19">
        <f>H30</f>
        <v>2399078</v>
      </c>
      <c r="I24" s="17"/>
    </row>
    <row r="26" spans="2:9">
      <c r="F26" s="17" t="s">
        <v>20</v>
      </c>
      <c r="G26" s="15"/>
      <c r="H26" s="15"/>
    </row>
    <row r="27" spans="2:9">
      <c r="F27" s="15"/>
      <c r="G27" s="15"/>
      <c r="H27" s="88" t="s">
        <v>24</v>
      </c>
    </row>
    <row r="28" spans="2:9" ht="16.5">
      <c r="F28" s="15"/>
      <c r="G28" s="15"/>
      <c r="H28" s="89" t="s">
        <v>2</v>
      </c>
    </row>
    <row r="29" spans="2:9">
      <c r="F29" s="15"/>
      <c r="G29" s="16" t="s">
        <v>21</v>
      </c>
      <c r="H29" s="90">
        <v>1131957</v>
      </c>
    </row>
    <row r="30" spans="2:9">
      <c r="F30" s="15"/>
      <c r="G30" s="16" t="s">
        <v>22</v>
      </c>
      <c r="H30" s="90">
        <v>2399078</v>
      </c>
    </row>
    <row r="31" spans="2:9">
      <c r="F31" s="15"/>
      <c r="G31" s="16" t="s">
        <v>23</v>
      </c>
      <c r="H31" s="90">
        <v>6946064</v>
      </c>
    </row>
    <row r="32" spans="2:9">
      <c r="H32" s="91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46"/>
  <sheetViews>
    <sheetView zoomScaleNormal="100" workbookViewId="0"/>
  </sheetViews>
  <sheetFormatPr defaultRowHeight="14.5"/>
  <cols>
    <col min="1" max="1" width="47.54296875" customWidth="1"/>
    <col min="2" max="5" width="14.81640625" customWidth="1"/>
    <col min="6" max="6" width="23.81640625" style="2" customWidth="1"/>
    <col min="7" max="7" width="31.453125" style="2" customWidth="1"/>
    <col min="8" max="8" width="18.26953125" customWidth="1"/>
    <col min="9" max="9" width="9.7265625" customWidth="1"/>
    <col min="10" max="10" width="10.54296875" customWidth="1"/>
  </cols>
  <sheetData>
    <row r="1" spans="1:8" ht="18.5">
      <c r="A1" s="1" t="s">
        <v>9</v>
      </c>
      <c r="B1" s="22">
        <f>+'Summary 2016'!D4</f>
        <v>2016</v>
      </c>
    </row>
    <row r="2" spans="1:8" ht="30">
      <c r="A2" s="1"/>
      <c r="B2" s="5" t="s">
        <v>29</v>
      </c>
      <c r="C2" s="103" t="s">
        <v>108</v>
      </c>
      <c r="D2" s="5">
        <f>+'Summary 2016'!D4</f>
        <v>2016</v>
      </c>
      <c r="E2" s="5" t="s">
        <v>4</v>
      </c>
      <c r="G2" s="2" t="s">
        <v>99</v>
      </c>
    </row>
    <row r="3" spans="1:8" ht="18.5">
      <c r="A3" s="3" t="s">
        <v>0</v>
      </c>
      <c r="B3" s="6">
        <f>+'Summary 2016'!D4</f>
        <v>2016</v>
      </c>
      <c r="C3" s="104">
        <f>3.503%</f>
        <v>3.5029999999999999E-2</v>
      </c>
      <c r="D3" s="6" t="s">
        <v>6</v>
      </c>
      <c r="E3" s="6" t="s">
        <v>7</v>
      </c>
      <c r="F3" s="4"/>
      <c r="G3" s="2" t="s">
        <v>97</v>
      </c>
      <c r="H3" s="2" t="s">
        <v>104</v>
      </c>
    </row>
    <row r="4" spans="1:8">
      <c r="A4" s="60" t="s">
        <v>46</v>
      </c>
      <c r="B4" s="61">
        <f t="shared" ref="B4:B41" si="0">G4*$B$44</f>
        <v>110919.87076850767</v>
      </c>
      <c r="C4" s="61">
        <f>B4*(1+$C$3)</f>
        <v>114805.39384152848</v>
      </c>
      <c r="D4" s="61">
        <v>2375.500837276184</v>
      </c>
      <c r="E4" s="73">
        <f>(+C4*D4)/2000</f>
        <v>136360.15459718648</v>
      </c>
      <c r="F4" s="2" t="s">
        <v>82</v>
      </c>
      <c r="G4" s="63">
        <v>487733.526084046</v>
      </c>
    </row>
    <row r="5" spans="1:8">
      <c r="A5" s="60" t="s">
        <v>45</v>
      </c>
      <c r="B5" s="61">
        <f t="shared" si="0"/>
        <v>1816892.540543739</v>
      </c>
      <c r="C5" s="61">
        <f t="shared" ref="C5:C7" si="1">B5*(1+$C$3)</f>
        <v>1880538.2862389861</v>
      </c>
      <c r="D5" s="61">
        <v>2213.2616474450756</v>
      </c>
      <c r="E5" s="73">
        <f t="shared" ref="E5:E7" si="2">(+C5*D5)/2000</f>
        <v>2081061.6327424187</v>
      </c>
      <c r="F5" s="2" t="s">
        <v>82</v>
      </c>
      <c r="G5" s="63">
        <v>7989185.3387084585</v>
      </c>
    </row>
    <row r="6" spans="1:8">
      <c r="A6" s="60" t="s">
        <v>44</v>
      </c>
      <c r="B6" s="61">
        <f t="shared" si="0"/>
        <v>313217.36613000004</v>
      </c>
      <c r="C6" s="61">
        <f t="shared" si="1"/>
        <v>324189.37046553392</v>
      </c>
      <c r="D6" s="61">
        <v>916.98838028987427</v>
      </c>
      <c r="E6" s="73">
        <f t="shared" si="2"/>
        <v>148638.94286519196</v>
      </c>
      <c r="F6" s="2" t="s">
        <v>83</v>
      </c>
      <c r="G6" s="63">
        <f>1420028-42758</f>
        <v>1377270</v>
      </c>
      <c r="H6" s="58">
        <v>42758</v>
      </c>
    </row>
    <row r="7" spans="1:8">
      <c r="A7" s="60" t="s">
        <v>81</v>
      </c>
      <c r="B7" s="61">
        <f t="shared" si="0"/>
        <v>307817.30197500001</v>
      </c>
      <c r="C7" s="61">
        <f t="shared" si="1"/>
        <v>318600.14206318423</v>
      </c>
      <c r="D7" s="61">
        <v>889.21537661339619</v>
      </c>
      <c r="E7" s="73">
        <f t="shared" si="2"/>
        <v>141652.07265689797</v>
      </c>
      <c r="F7" s="2" t="s">
        <v>83</v>
      </c>
      <c r="G7" s="63">
        <f>547251+1145656-339382</f>
        <v>1353525</v>
      </c>
      <c r="H7" s="58">
        <v>339382</v>
      </c>
    </row>
    <row r="8" spans="1:8">
      <c r="A8" s="60" t="s">
        <v>42</v>
      </c>
      <c r="B8" s="61">
        <f t="shared" si="0"/>
        <v>50918.886681000004</v>
      </c>
      <c r="C8" s="61"/>
      <c r="D8" s="61">
        <v>0</v>
      </c>
      <c r="E8" s="73">
        <f t="shared" ref="E8:E20" si="3">(+B8*D8)/2000</f>
        <v>0</v>
      </c>
      <c r="F8" s="2" t="s">
        <v>84</v>
      </c>
      <c r="G8" s="63">
        <v>223899</v>
      </c>
    </row>
    <row r="9" spans="1:8">
      <c r="A9" s="60" t="s">
        <v>43</v>
      </c>
      <c r="B9" s="61">
        <f t="shared" si="0"/>
        <v>46076.226495000003</v>
      </c>
      <c r="C9" s="61"/>
      <c r="D9" s="61">
        <v>0</v>
      </c>
      <c r="E9" s="73">
        <f t="shared" si="3"/>
        <v>0</v>
      </c>
      <c r="F9" s="2" t="s">
        <v>84</v>
      </c>
      <c r="G9" s="63">
        <v>202605</v>
      </c>
      <c r="H9" s="81"/>
    </row>
    <row r="10" spans="1:8">
      <c r="A10" s="60" t="s">
        <v>47</v>
      </c>
      <c r="B10" s="61">
        <f t="shared" si="0"/>
        <v>119718.364818</v>
      </c>
      <c r="C10" s="61"/>
      <c r="D10" s="61">
        <v>0</v>
      </c>
      <c r="E10" s="73">
        <f t="shared" si="3"/>
        <v>0</v>
      </c>
      <c r="F10" s="2" t="s">
        <v>84</v>
      </c>
      <c r="G10" s="63">
        <v>526422</v>
      </c>
      <c r="H10" s="81"/>
    </row>
    <row r="11" spans="1:8">
      <c r="A11" s="60" t="s">
        <v>53</v>
      </c>
      <c r="B11" s="61">
        <f t="shared" si="0"/>
        <v>445.28640200000001</v>
      </c>
      <c r="C11" s="61"/>
      <c r="D11" s="61">
        <v>0</v>
      </c>
      <c r="E11" s="73">
        <f t="shared" si="3"/>
        <v>0</v>
      </c>
      <c r="F11" s="2" t="s">
        <v>85</v>
      </c>
      <c r="G11" s="63">
        <v>1958</v>
      </c>
      <c r="H11" s="81"/>
    </row>
    <row r="12" spans="1:8">
      <c r="A12" s="60" t="s">
        <v>54</v>
      </c>
      <c r="B12" s="61">
        <f t="shared" si="0"/>
        <v>9201.145321</v>
      </c>
      <c r="C12" s="61"/>
      <c r="D12" s="61">
        <v>0</v>
      </c>
      <c r="E12" s="73">
        <f t="shared" si="3"/>
        <v>0</v>
      </c>
      <c r="F12" s="2" t="s">
        <v>85</v>
      </c>
      <c r="G12" s="63">
        <v>40459</v>
      </c>
    </row>
    <row r="13" spans="1:8">
      <c r="A13" s="60" t="s">
        <v>55</v>
      </c>
      <c r="B13" s="61">
        <f t="shared" si="0"/>
        <v>10333.691941000001</v>
      </c>
      <c r="C13" s="61"/>
      <c r="D13" s="61">
        <v>0</v>
      </c>
      <c r="E13" s="73">
        <f t="shared" si="3"/>
        <v>0</v>
      </c>
      <c r="F13" s="2" t="s">
        <v>85</v>
      </c>
      <c r="G13" s="63">
        <v>45439</v>
      </c>
    </row>
    <row r="14" spans="1:8">
      <c r="A14" s="60" t="s">
        <v>56</v>
      </c>
      <c r="B14" s="61">
        <f t="shared" si="0"/>
        <v>18412.751916000001</v>
      </c>
      <c r="C14" s="61"/>
      <c r="D14" s="61">
        <v>0</v>
      </c>
      <c r="E14" s="73">
        <f t="shared" si="3"/>
        <v>0</v>
      </c>
      <c r="F14" s="2" t="s">
        <v>85</v>
      </c>
      <c r="G14" s="63">
        <v>80964</v>
      </c>
    </row>
    <row r="15" spans="1:8">
      <c r="A15" s="60" t="s">
        <v>57</v>
      </c>
      <c r="B15" s="61">
        <f t="shared" si="0"/>
        <v>23831.691848000002</v>
      </c>
      <c r="C15" s="61"/>
      <c r="D15" s="61">
        <v>0</v>
      </c>
      <c r="E15" s="73">
        <f t="shared" si="3"/>
        <v>0</v>
      </c>
      <c r="F15" s="2" t="s">
        <v>85</v>
      </c>
      <c r="G15" s="63">
        <v>104792</v>
      </c>
    </row>
    <row r="16" spans="1:8">
      <c r="A16" s="60" t="s">
        <v>58</v>
      </c>
      <c r="B16" s="61">
        <f t="shared" si="0"/>
        <v>4213.1643940000004</v>
      </c>
      <c r="C16" s="61"/>
      <c r="D16" s="61">
        <v>0</v>
      </c>
      <c r="E16" s="73">
        <f t="shared" si="3"/>
        <v>0</v>
      </c>
      <c r="F16" s="2" t="s">
        <v>85</v>
      </c>
      <c r="G16" s="63">
        <v>18526</v>
      </c>
    </row>
    <row r="17" spans="1:8">
      <c r="A17" s="60" t="s">
        <v>59</v>
      </c>
      <c r="B17" s="61">
        <f t="shared" si="0"/>
        <v>2307.3931740000003</v>
      </c>
      <c r="C17" s="61"/>
      <c r="D17" s="61">
        <v>0</v>
      </c>
      <c r="E17" s="73">
        <f t="shared" si="3"/>
        <v>0</v>
      </c>
      <c r="F17" s="2" t="s">
        <v>85</v>
      </c>
      <c r="G17" s="63">
        <v>10146</v>
      </c>
    </row>
    <row r="18" spans="1:8">
      <c r="A18" s="60" t="s">
        <v>60</v>
      </c>
      <c r="B18" s="61">
        <f t="shared" si="0"/>
        <v>7923.0505410000005</v>
      </c>
      <c r="C18" s="61"/>
      <c r="D18" s="61">
        <v>0</v>
      </c>
      <c r="E18" s="73">
        <f t="shared" si="3"/>
        <v>0</v>
      </c>
      <c r="F18" s="2" t="s">
        <v>85</v>
      </c>
      <c r="G18" s="63">
        <v>34839</v>
      </c>
    </row>
    <row r="19" spans="1:8">
      <c r="A19" s="60" t="s">
        <v>61</v>
      </c>
      <c r="B19" s="61">
        <f t="shared" si="0"/>
        <v>22912.919088000002</v>
      </c>
      <c r="C19" s="61"/>
      <c r="D19" s="61">
        <v>0</v>
      </c>
      <c r="E19" s="73">
        <f t="shared" si="3"/>
        <v>0</v>
      </c>
      <c r="F19" s="2" t="s">
        <v>85</v>
      </c>
      <c r="G19" s="63">
        <v>100752</v>
      </c>
    </row>
    <row r="20" spans="1:8">
      <c r="A20" s="60" t="s">
        <v>62</v>
      </c>
      <c r="B20" s="61">
        <f t="shared" si="0"/>
        <v>48844.143144000001</v>
      </c>
      <c r="C20" s="61"/>
      <c r="D20" s="61">
        <v>0</v>
      </c>
      <c r="E20" s="73">
        <f t="shared" si="3"/>
        <v>0</v>
      </c>
      <c r="F20" s="2" t="s">
        <v>85</v>
      </c>
      <c r="G20" s="63">
        <v>214776</v>
      </c>
    </row>
    <row r="21" spans="1:8">
      <c r="A21" s="60" t="s">
        <v>63</v>
      </c>
      <c r="B21" s="61">
        <f t="shared" si="0"/>
        <v>30489.383073000001</v>
      </c>
      <c r="C21" s="61"/>
      <c r="D21" s="61">
        <v>0</v>
      </c>
      <c r="E21" s="73"/>
      <c r="F21" s="2" t="s">
        <v>85</v>
      </c>
      <c r="G21" s="63">
        <v>134067</v>
      </c>
    </row>
    <row r="22" spans="1:8">
      <c r="A22" s="60" t="s">
        <v>64</v>
      </c>
      <c r="B22" s="61">
        <f t="shared" si="0"/>
        <v>33354.407635000003</v>
      </c>
      <c r="C22" s="61"/>
      <c r="D22" s="61">
        <v>0</v>
      </c>
      <c r="E22" s="73">
        <f t="shared" ref="E22:E35" si="4">(+B22*D22)/2000</f>
        <v>0</v>
      </c>
      <c r="F22" s="2" t="s">
        <v>85</v>
      </c>
      <c r="G22" s="63">
        <v>146665</v>
      </c>
    </row>
    <row r="23" spans="1:8">
      <c r="A23" s="60" t="s">
        <v>65</v>
      </c>
      <c r="B23" s="61">
        <f t="shared" si="0"/>
        <v>127381.020604</v>
      </c>
      <c r="C23" s="61"/>
      <c r="D23" s="61">
        <v>0</v>
      </c>
      <c r="E23" s="73">
        <f t="shared" si="4"/>
        <v>0</v>
      </c>
      <c r="F23" s="2" t="s">
        <v>85</v>
      </c>
      <c r="G23" s="63">
        <v>560116</v>
      </c>
    </row>
    <row r="24" spans="1:8">
      <c r="A24" s="60" t="s">
        <v>66</v>
      </c>
      <c r="B24" s="61">
        <f t="shared" si="0"/>
        <v>0</v>
      </c>
      <c r="C24" s="61"/>
      <c r="D24" s="61">
        <v>0</v>
      </c>
      <c r="E24" s="73">
        <f t="shared" si="4"/>
        <v>0</v>
      </c>
      <c r="F24" s="2" t="s">
        <v>85</v>
      </c>
      <c r="G24" s="63">
        <v>0</v>
      </c>
    </row>
    <row r="25" spans="1:8">
      <c r="A25" s="60" t="s">
        <v>75</v>
      </c>
      <c r="B25" s="61">
        <f t="shared" si="0"/>
        <v>54555.998748000005</v>
      </c>
      <c r="C25" s="61"/>
      <c r="D25" s="61">
        <v>0</v>
      </c>
      <c r="E25" s="73">
        <f t="shared" si="4"/>
        <v>0</v>
      </c>
      <c r="F25" s="2" t="s">
        <v>85</v>
      </c>
      <c r="G25" s="63">
        <v>239892</v>
      </c>
    </row>
    <row r="26" spans="1:8">
      <c r="A26" s="60" t="s">
        <v>74</v>
      </c>
      <c r="B26" s="61">
        <f t="shared" si="0"/>
        <v>7504.1447430000007</v>
      </c>
      <c r="C26" s="61"/>
      <c r="D26" s="61">
        <v>0</v>
      </c>
      <c r="E26" s="73">
        <f t="shared" si="4"/>
        <v>0</v>
      </c>
      <c r="F26" s="2" t="s">
        <v>85</v>
      </c>
      <c r="G26" s="63">
        <v>32997</v>
      </c>
    </row>
    <row r="27" spans="1:8">
      <c r="A27" s="60" t="s">
        <v>73</v>
      </c>
      <c r="B27" s="61">
        <f t="shared" si="0"/>
        <v>0</v>
      </c>
      <c r="C27" s="61"/>
      <c r="D27" s="61">
        <v>0</v>
      </c>
      <c r="E27" s="73">
        <f t="shared" si="4"/>
        <v>0</v>
      </c>
      <c r="F27" s="2" t="s">
        <v>85</v>
      </c>
      <c r="G27" s="63">
        <v>0</v>
      </c>
    </row>
    <row r="28" spans="1:8">
      <c r="A28" s="60" t="s">
        <v>72</v>
      </c>
      <c r="B28" s="61">
        <f t="shared" si="0"/>
        <v>17198.561874999999</v>
      </c>
      <c r="C28" s="61"/>
      <c r="D28" s="61">
        <v>0</v>
      </c>
      <c r="E28" s="73">
        <f t="shared" si="4"/>
        <v>0</v>
      </c>
      <c r="F28" s="2" t="s">
        <v>85</v>
      </c>
      <c r="G28" s="63">
        <v>75625</v>
      </c>
    </row>
    <row r="29" spans="1:8">
      <c r="A29" s="60" t="s">
        <v>71</v>
      </c>
      <c r="B29" s="61">
        <f t="shared" si="0"/>
        <v>13893.708967</v>
      </c>
      <c r="C29" s="61"/>
      <c r="D29" s="61">
        <v>0</v>
      </c>
      <c r="E29" s="73">
        <f t="shared" si="4"/>
        <v>0</v>
      </c>
      <c r="F29" s="2" t="s">
        <v>85</v>
      </c>
      <c r="G29" s="63">
        <v>61093</v>
      </c>
    </row>
    <row r="30" spans="1:8">
      <c r="A30" s="60" t="s">
        <v>70</v>
      </c>
      <c r="B30" s="61">
        <f t="shared" si="0"/>
        <v>32632.579729000001</v>
      </c>
      <c r="C30" s="61"/>
      <c r="D30" s="61">
        <v>0</v>
      </c>
      <c r="E30" s="73">
        <f t="shared" si="4"/>
        <v>0</v>
      </c>
      <c r="F30" s="2" t="s">
        <v>85</v>
      </c>
      <c r="G30" s="63">
        <f>761595-618104</f>
        <v>143491</v>
      </c>
      <c r="H30">
        <v>618104</v>
      </c>
    </row>
    <row r="31" spans="1:8">
      <c r="A31" s="60" t="s">
        <v>69</v>
      </c>
      <c r="B31" s="61">
        <f t="shared" si="0"/>
        <v>52947.691579999999</v>
      </c>
      <c r="C31" s="61"/>
      <c r="D31" s="61">
        <v>0</v>
      </c>
      <c r="E31" s="73">
        <f t="shared" si="4"/>
        <v>0</v>
      </c>
      <c r="F31" s="2" t="s">
        <v>85</v>
      </c>
      <c r="G31" s="63">
        <v>232820</v>
      </c>
    </row>
    <row r="32" spans="1:8">
      <c r="A32" s="60" t="s">
        <v>68</v>
      </c>
      <c r="B32" s="61">
        <f t="shared" si="0"/>
        <v>986.99846000000002</v>
      </c>
      <c r="C32" s="61"/>
      <c r="D32" s="61">
        <v>0</v>
      </c>
      <c r="E32" s="73">
        <f t="shared" si="4"/>
        <v>0</v>
      </c>
      <c r="F32" s="2" t="s">
        <v>85</v>
      </c>
      <c r="G32" s="63">
        <v>4340</v>
      </c>
    </row>
    <row r="33" spans="1:8">
      <c r="A33" s="60" t="s">
        <v>67</v>
      </c>
      <c r="B33" s="61">
        <f t="shared" si="0"/>
        <v>55284.876643000003</v>
      </c>
      <c r="C33" s="61"/>
      <c r="D33" s="61">
        <v>0</v>
      </c>
      <c r="E33" s="73">
        <f t="shared" si="4"/>
        <v>0</v>
      </c>
      <c r="F33" s="2" t="s">
        <v>85</v>
      </c>
      <c r="G33" s="63">
        <f>645247-402150</f>
        <v>243097</v>
      </c>
      <c r="H33">
        <v>402150</v>
      </c>
    </row>
    <row r="34" spans="1:8">
      <c r="A34" s="60" t="s">
        <v>80</v>
      </c>
      <c r="B34" s="61">
        <f t="shared" si="0"/>
        <v>1630.821649</v>
      </c>
      <c r="C34" s="61"/>
      <c r="D34" s="61">
        <v>0</v>
      </c>
      <c r="E34" s="73">
        <f t="shared" si="4"/>
        <v>0</v>
      </c>
      <c r="F34" s="2" t="s">
        <v>85</v>
      </c>
      <c r="G34" s="63">
        <v>7171</v>
      </c>
    </row>
    <row r="35" spans="1:8">
      <c r="A35" s="60" t="s">
        <v>76</v>
      </c>
      <c r="B35" s="61">
        <f t="shared" si="0"/>
        <v>222.643201</v>
      </c>
      <c r="C35" s="61"/>
      <c r="D35" s="61">
        <v>0</v>
      </c>
      <c r="E35" s="73">
        <f t="shared" si="4"/>
        <v>0</v>
      </c>
      <c r="F35" s="2" t="s">
        <v>87</v>
      </c>
      <c r="G35" s="63">
        <v>979</v>
      </c>
    </row>
    <row r="36" spans="1:8">
      <c r="A36" s="60" t="s">
        <v>77</v>
      </c>
      <c r="B36" s="61">
        <f t="shared" si="0"/>
        <v>56548.871445000004</v>
      </c>
      <c r="C36" s="61"/>
      <c r="D36" s="61">
        <v>0</v>
      </c>
      <c r="E36" s="73">
        <f t="shared" ref="E36:E41" si="5">(+B36*D36)/2000</f>
        <v>0</v>
      </c>
      <c r="F36" s="2" t="s">
        <v>85</v>
      </c>
      <c r="G36" s="63">
        <v>248655</v>
      </c>
    </row>
    <row r="37" spans="1:8">
      <c r="A37" s="60" t="s">
        <v>78</v>
      </c>
      <c r="B37" s="61">
        <f t="shared" si="0"/>
        <v>10411.469239</v>
      </c>
      <c r="C37" s="61"/>
      <c r="D37" s="61">
        <v>0</v>
      </c>
      <c r="E37" s="73">
        <f t="shared" si="5"/>
        <v>0</v>
      </c>
      <c r="F37" s="2" t="s">
        <v>85</v>
      </c>
      <c r="G37" s="63">
        <v>45781</v>
      </c>
    </row>
    <row r="38" spans="1:8">
      <c r="A38" s="60" t="s">
        <v>79</v>
      </c>
      <c r="B38" s="61">
        <f t="shared" si="0"/>
        <v>10391.456367000001</v>
      </c>
      <c r="C38" s="61"/>
      <c r="D38" s="61">
        <v>0</v>
      </c>
      <c r="E38" s="73">
        <f t="shared" si="5"/>
        <v>0</v>
      </c>
      <c r="F38" s="2" t="s">
        <v>85</v>
      </c>
      <c r="G38" s="63">
        <v>45693</v>
      </c>
    </row>
    <row r="39" spans="1:8">
      <c r="A39" s="60" t="s">
        <v>49</v>
      </c>
      <c r="B39" s="61">
        <f t="shared" si="0"/>
        <v>26554.124697000003</v>
      </c>
      <c r="C39" s="61"/>
      <c r="D39" s="61">
        <v>0</v>
      </c>
      <c r="E39" s="73">
        <f t="shared" si="5"/>
        <v>0</v>
      </c>
      <c r="F39" s="2" t="s">
        <v>85</v>
      </c>
      <c r="G39" s="63">
        <v>116763</v>
      </c>
    </row>
    <row r="40" spans="1:8">
      <c r="A40" s="60" t="s">
        <v>51</v>
      </c>
      <c r="B40" s="61">
        <f t="shared" si="0"/>
        <v>0</v>
      </c>
      <c r="C40" s="61"/>
      <c r="D40" s="61">
        <v>0</v>
      </c>
      <c r="E40" s="73">
        <f t="shared" si="5"/>
        <v>0</v>
      </c>
      <c r="F40" s="2" t="s">
        <v>86</v>
      </c>
      <c r="G40" s="63">
        <v>0</v>
      </c>
    </row>
    <row r="41" spans="1:8" ht="15" thickBot="1">
      <c r="A41" s="60" t="s">
        <v>52</v>
      </c>
      <c r="B41" s="61">
        <f t="shared" si="0"/>
        <v>2715.610279</v>
      </c>
      <c r="C41" s="61"/>
      <c r="D41" s="61">
        <v>0</v>
      </c>
      <c r="E41" s="73">
        <f t="shared" si="5"/>
        <v>0</v>
      </c>
      <c r="F41" s="2" t="s">
        <v>85</v>
      </c>
      <c r="G41" s="93">
        <v>11941</v>
      </c>
    </row>
    <row r="42" spans="1:8" ht="15.5" thickTop="1" thickBot="1">
      <c r="B42" s="72">
        <f>SUM(B4:B41)</f>
        <v>3448690.1641142471</v>
      </c>
      <c r="C42" s="61"/>
      <c r="E42" s="72">
        <f>SUM(E4:E41)</f>
        <v>2507712.8028616952</v>
      </c>
      <c r="F42"/>
      <c r="G42" s="94">
        <f>SUM(G4:G41)</f>
        <v>15164476.864792505</v>
      </c>
      <c r="H42" s="94">
        <f>SUM(H4:H41)</f>
        <v>1402394</v>
      </c>
    </row>
    <row r="43" spans="1:8">
      <c r="F43"/>
      <c r="G43"/>
    </row>
    <row r="44" spans="1:8">
      <c r="A44" t="s">
        <v>100</v>
      </c>
      <c r="B44" s="79">
        <v>0.22741900000000001</v>
      </c>
      <c r="F44"/>
      <c r="G44"/>
    </row>
    <row r="45" spans="1:8">
      <c r="F45" s="62"/>
      <c r="G45" s="62"/>
    </row>
    <row r="46" spans="1:8">
      <c r="G46" s="62"/>
    </row>
  </sheetData>
  <pageMargins left="0.7" right="0.7" top="0.75" bottom="0.75" header="0.3" footer="0.3"/>
  <pageSetup scale="5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40"/>
  <sheetViews>
    <sheetView zoomScaleNormal="100" workbookViewId="0"/>
  </sheetViews>
  <sheetFormatPr defaultRowHeight="14.5"/>
  <cols>
    <col min="1" max="1" width="46.1796875" customWidth="1"/>
    <col min="2" max="2" width="13.7265625" customWidth="1"/>
    <col min="3" max="3" width="12.54296875" customWidth="1"/>
    <col min="4" max="4" width="13.54296875" customWidth="1"/>
    <col min="5" max="5" width="17.54296875" customWidth="1"/>
    <col min="6" max="6" width="11.54296875" customWidth="1"/>
    <col min="7" max="7" width="9.1796875" customWidth="1"/>
    <col min="8" max="8" width="8" customWidth="1"/>
    <col min="9" max="9" width="9.54296875" bestFit="1" customWidth="1"/>
  </cols>
  <sheetData>
    <row r="1" spans="1:12" ht="18.5">
      <c r="A1" s="1" t="s">
        <v>30</v>
      </c>
      <c r="B1" s="1">
        <f>+'Summary 2016'!D4</f>
        <v>2016</v>
      </c>
      <c r="D1" s="101" t="s">
        <v>105</v>
      </c>
      <c r="H1" s="102">
        <f>K1*K2</f>
        <v>963.41893999999991</v>
      </c>
      <c r="I1" t="s">
        <v>5</v>
      </c>
      <c r="K1">
        <v>0.437</v>
      </c>
      <c r="L1" s="58" t="s">
        <v>106</v>
      </c>
    </row>
    <row r="2" spans="1:12" ht="18.5">
      <c r="A2" s="1"/>
      <c r="B2" s="5" t="s">
        <v>29</v>
      </c>
      <c r="C2" s="5" t="s">
        <v>1</v>
      </c>
      <c r="D2" s="5" t="s">
        <v>4</v>
      </c>
      <c r="E2" s="2"/>
      <c r="F2" s="24" t="s">
        <v>8</v>
      </c>
      <c r="G2" s="23">
        <f>'Summary 2016'!D4</f>
        <v>2016</v>
      </c>
      <c r="H2" s="25"/>
      <c r="K2">
        <v>2204.62</v>
      </c>
      <c r="L2" s="58" t="s">
        <v>107</v>
      </c>
    </row>
    <row r="3" spans="1:12" ht="18.5">
      <c r="A3" s="74" t="s">
        <v>0</v>
      </c>
      <c r="B3" s="75">
        <f>+'Summary 2016'!D4</f>
        <v>2016</v>
      </c>
      <c r="C3" s="75" t="s">
        <v>94</v>
      </c>
      <c r="D3" s="75" t="s">
        <v>95</v>
      </c>
      <c r="E3" s="76"/>
      <c r="F3" s="77"/>
      <c r="H3" s="100"/>
      <c r="I3" s="96"/>
    </row>
    <row r="4" spans="1:12">
      <c r="A4" s="60" t="s">
        <v>91</v>
      </c>
      <c r="B4" s="64">
        <f>F4*$B$36</f>
        <v>2159.5708239999999</v>
      </c>
      <c r="C4" s="80">
        <f>IF(B4&lt;&gt;0,$H$1,0)</f>
        <v>963.41893999999991</v>
      </c>
      <c r="D4" s="78">
        <f>(+B4*C4)/2000</f>
        <v>1040.2857170565032</v>
      </c>
      <c r="E4" s="77"/>
      <c r="F4" s="61">
        <v>9496</v>
      </c>
    </row>
    <row r="5" spans="1:12">
      <c r="A5" s="60" t="s">
        <v>89</v>
      </c>
      <c r="B5" s="64">
        <f t="shared" ref="B5:B14" si="0">F5*$B$36</f>
        <v>1441.83646</v>
      </c>
      <c r="C5" s="80">
        <f t="shared" ref="C5:C33" si="1">IF(B5&lt;&gt;0,$H$1,0)</f>
        <v>963.41893999999991</v>
      </c>
      <c r="D5" s="78">
        <f t="shared" ref="D5:D33" si="2">(+B5*C5)/2000</f>
        <v>694.54627697327612</v>
      </c>
      <c r="E5" s="77"/>
      <c r="F5" s="61">
        <v>6340</v>
      </c>
    </row>
    <row r="6" spans="1:12">
      <c r="A6" s="60" t="s">
        <v>90</v>
      </c>
      <c r="B6" s="64">
        <f t="shared" si="0"/>
        <v>1238448.4847932435</v>
      </c>
      <c r="C6" s="80">
        <f t="shared" si="1"/>
        <v>963.41893999999991</v>
      </c>
      <c r="D6" s="78">
        <f t="shared" si="2"/>
        <v>596572.36323205626</v>
      </c>
      <c r="E6" s="77"/>
      <c r="F6" s="61">
        <v>5445668.5008431282</v>
      </c>
    </row>
    <row r="7" spans="1:12">
      <c r="A7" s="60" t="s">
        <v>96</v>
      </c>
      <c r="B7" s="64">
        <f t="shared" si="0"/>
        <v>0</v>
      </c>
      <c r="C7" s="80">
        <f t="shared" ref="C7" si="3">IF(B7&lt;&gt;0,$H$1,0)</f>
        <v>0</v>
      </c>
      <c r="D7" s="78">
        <f t="shared" ref="D7" si="4">(+B7*C7)/2000</f>
        <v>0</v>
      </c>
      <c r="E7" s="77"/>
      <c r="F7" s="61">
        <v>0</v>
      </c>
      <c r="H7" s="96"/>
    </row>
    <row r="8" spans="1:12">
      <c r="A8" s="60" t="s">
        <v>92</v>
      </c>
      <c r="B8" s="64">
        <f t="shared" si="0"/>
        <v>13924.865370000001</v>
      </c>
      <c r="C8" s="80">
        <f t="shared" si="1"/>
        <v>963.41893999999991</v>
      </c>
      <c r="D8" s="78">
        <f t="shared" si="2"/>
        <v>6707.7395172040533</v>
      </c>
      <c r="E8" s="77"/>
      <c r="F8" s="61">
        <v>61230</v>
      </c>
    </row>
    <row r="9" spans="1:12">
      <c r="A9" s="60" t="s">
        <v>101</v>
      </c>
      <c r="B9" s="64">
        <f t="shared" si="0"/>
        <v>-6485.4261082989924</v>
      </c>
      <c r="C9" s="80">
        <f t="shared" si="1"/>
        <v>963.41893999999991</v>
      </c>
      <c r="D9" s="78">
        <f t="shared" si="2"/>
        <v>-3124.0911733528701</v>
      </c>
      <c r="E9" s="77"/>
      <c r="F9" s="61">
        <v>-28517.520999999964</v>
      </c>
    </row>
    <row r="10" spans="1:12">
      <c r="A10" s="60" t="s">
        <v>50</v>
      </c>
      <c r="B10" s="64">
        <f t="shared" si="0"/>
        <v>14187.306896</v>
      </c>
      <c r="C10" s="80">
        <f t="shared" ref="C10" si="5">IF(B10&lt;&gt;0,$H$1,0)</f>
        <v>963.41893999999991</v>
      </c>
      <c r="D10" s="78">
        <f t="shared" ref="D10" si="6">(+B10*C10)/2000</f>
        <v>6834.1600855995048</v>
      </c>
      <c r="E10" s="77"/>
      <c r="F10" s="61">
        <v>62384</v>
      </c>
    </row>
    <row r="11" spans="1:12">
      <c r="A11" s="60" t="s">
        <v>48</v>
      </c>
      <c r="B11" s="64">
        <f t="shared" si="0"/>
        <v>-599041.17999782669</v>
      </c>
      <c r="C11" s="80">
        <f>IF(B11&lt;&gt;0,$H$1,0)</f>
        <v>963.41893999999991</v>
      </c>
      <c r="D11" s="78">
        <f>(+B11*C11)/2000</f>
        <v>-288563.80932492769</v>
      </c>
      <c r="E11" s="77"/>
      <c r="F11" s="61">
        <v>-2634085.8943088599</v>
      </c>
    </row>
    <row r="12" spans="1:12">
      <c r="A12" s="60" t="s">
        <v>88</v>
      </c>
      <c r="B12" s="64">
        <f t="shared" si="0"/>
        <v>0</v>
      </c>
      <c r="C12" s="80">
        <f t="shared" si="1"/>
        <v>0</v>
      </c>
      <c r="D12" s="78">
        <f t="shared" si="2"/>
        <v>0</v>
      </c>
      <c r="E12" s="77"/>
      <c r="F12" s="61">
        <v>0</v>
      </c>
    </row>
    <row r="13" spans="1:12">
      <c r="A13" s="60" t="s">
        <v>103</v>
      </c>
      <c r="B13" s="64">
        <f>F13*$B$36</f>
        <v>189342.69166800001</v>
      </c>
      <c r="C13" s="80">
        <f t="shared" ref="C13" si="7">IF(B13&lt;&gt;0,$H$1,0)</f>
        <v>963.41893999999991</v>
      </c>
      <c r="D13" s="78">
        <f t="shared" ref="D13" si="8">(+B13*C13)/2000</f>
        <v>91208.167651765689</v>
      </c>
      <c r="E13" s="77"/>
      <c r="F13" s="61">
        <v>832572</v>
      </c>
    </row>
    <row r="14" spans="1:12">
      <c r="A14" s="60" t="s">
        <v>93</v>
      </c>
      <c r="B14" s="64">
        <f t="shared" si="0"/>
        <v>-6058.6566161170012</v>
      </c>
      <c r="C14" s="80">
        <f t="shared" si="1"/>
        <v>963.41893999999991</v>
      </c>
      <c r="D14" s="78">
        <f t="shared" si="2"/>
        <v>-2918.5122674617137</v>
      </c>
      <c r="E14" s="77"/>
      <c r="F14" s="61">
        <v>-26640.943000000003</v>
      </c>
    </row>
    <row r="15" spans="1:12">
      <c r="A15" s="20"/>
      <c r="B15" s="42"/>
      <c r="C15" s="65">
        <f t="shared" si="1"/>
        <v>0</v>
      </c>
      <c r="D15" s="66">
        <f t="shared" si="2"/>
        <v>0</v>
      </c>
      <c r="F15" s="61"/>
    </row>
    <row r="16" spans="1:12">
      <c r="A16" s="20"/>
      <c r="B16" s="42"/>
      <c r="C16" s="65">
        <f t="shared" si="1"/>
        <v>0</v>
      </c>
      <c r="D16" s="66">
        <f t="shared" si="2"/>
        <v>0</v>
      </c>
      <c r="F16" s="61"/>
    </row>
    <row r="17" spans="1:6">
      <c r="A17" s="20"/>
      <c r="B17" s="42"/>
      <c r="C17" s="65">
        <f t="shared" si="1"/>
        <v>0</v>
      </c>
      <c r="D17" s="66">
        <f t="shared" si="2"/>
        <v>0</v>
      </c>
      <c r="F17" s="61"/>
    </row>
    <row r="18" spans="1:6">
      <c r="A18" s="20"/>
      <c r="B18" s="42"/>
      <c r="C18" s="65">
        <f t="shared" si="1"/>
        <v>0</v>
      </c>
      <c r="D18" s="66">
        <f t="shared" si="2"/>
        <v>0</v>
      </c>
      <c r="F18" s="61"/>
    </row>
    <row r="19" spans="1:6">
      <c r="A19" s="20"/>
      <c r="B19" s="42"/>
      <c r="C19" s="65">
        <f t="shared" si="1"/>
        <v>0</v>
      </c>
      <c r="D19" s="66">
        <f t="shared" si="2"/>
        <v>0</v>
      </c>
      <c r="F19" s="61"/>
    </row>
    <row r="20" spans="1:6">
      <c r="A20" s="20"/>
      <c r="B20" s="42"/>
      <c r="C20" s="65">
        <f t="shared" si="1"/>
        <v>0</v>
      </c>
      <c r="D20" s="66">
        <f t="shared" si="2"/>
        <v>0</v>
      </c>
      <c r="F20" s="61"/>
    </row>
    <row r="21" spans="1:6">
      <c r="A21" s="20"/>
      <c r="B21" s="42"/>
      <c r="C21" s="65">
        <f t="shared" si="1"/>
        <v>0</v>
      </c>
      <c r="D21" s="66">
        <f t="shared" si="2"/>
        <v>0</v>
      </c>
      <c r="F21" s="61"/>
    </row>
    <row r="22" spans="1:6">
      <c r="A22" s="20"/>
      <c r="B22" s="42"/>
      <c r="C22" s="65">
        <f t="shared" si="1"/>
        <v>0</v>
      </c>
      <c r="D22" s="66">
        <f t="shared" si="2"/>
        <v>0</v>
      </c>
      <c r="F22" s="61"/>
    </row>
    <row r="23" spans="1:6">
      <c r="A23" s="20"/>
      <c r="B23" s="42"/>
      <c r="C23" s="65">
        <f t="shared" si="1"/>
        <v>0</v>
      </c>
      <c r="D23" s="66">
        <f t="shared" si="2"/>
        <v>0</v>
      </c>
      <c r="F23" s="61"/>
    </row>
    <row r="24" spans="1:6">
      <c r="A24" s="20"/>
      <c r="B24" s="42"/>
      <c r="C24" s="65">
        <f t="shared" si="1"/>
        <v>0</v>
      </c>
      <c r="D24" s="66">
        <f t="shared" si="2"/>
        <v>0</v>
      </c>
      <c r="F24" s="61"/>
    </row>
    <row r="25" spans="1:6">
      <c r="A25" s="20"/>
      <c r="B25" s="42"/>
      <c r="C25" s="65">
        <f t="shared" si="1"/>
        <v>0</v>
      </c>
      <c r="D25" s="66">
        <f t="shared" si="2"/>
        <v>0</v>
      </c>
      <c r="F25" s="61"/>
    </row>
    <row r="26" spans="1:6">
      <c r="A26" s="20"/>
      <c r="B26" s="42"/>
      <c r="C26" s="65">
        <f t="shared" si="1"/>
        <v>0</v>
      </c>
      <c r="D26" s="66">
        <f t="shared" si="2"/>
        <v>0</v>
      </c>
      <c r="F26" s="61"/>
    </row>
    <row r="27" spans="1:6">
      <c r="A27" s="20"/>
      <c r="B27" s="42"/>
      <c r="C27" s="65">
        <f t="shared" si="1"/>
        <v>0</v>
      </c>
      <c r="D27" s="66">
        <f t="shared" si="2"/>
        <v>0</v>
      </c>
      <c r="F27" s="61"/>
    </row>
    <row r="28" spans="1:6">
      <c r="A28" s="20"/>
      <c r="B28" s="42"/>
      <c r="C28" s="65">
        <f t="shared" si="1"/>
        <v>0</v>
      </c>
      <c r="D28" s="66">
        <f t="shared" si="2"/>
        <v>0</v>
      </c>
      <c r="F28" s="61"/>
    </row>
    <row r="29" spans="1:6">
      <c r="A29" s="20"/>
      <c r="B29" s="42"/>
      <c r="C29" s="65">
        <f t="shared" si="1"/>
        <v>0</v>
      </c>
      <c r="D29" s="66">
        <f t="shared" si="2"/>
        <v>0</v>
      </c>
      <c r="F29" s="61"/>
    </row>
    <row r="30" spans="1:6">
      <c r="A30" s="20"/>
      <c r="B30" s="42"/>
      <c r="C30" s="65">
        <f t="shared" si="1"/>
        <v>0</v>
      </c>
      <c r="D30" s="66">
        <f t="shared" si="2"/>
        <v>0</v>
      </c>
      <c r="F30" s="61"/>
    </row>
    <row r="31" spans="1:6">
      <c r="A31" s="20"/>
      <c r="B31" s="42"/>
      <c r="C31" s="65">
        <f t="shared" si="1"/>
        <v>0</v>
      </c>
      <c r="D31" s="66">
        <f t="shared" si="2"/>
        <v>0</v>
      </c>
      <c r="F31" s="61"/>
    </row>
    <row r="32" spans="1:6">
      <c r="A32" s="20"/>
      <c r="B32" s="42"/>
      <c r="C32" s="65">
        <f t="shared" si="1"/>
        <v>0</v>
      </c>
      <c r="D32" s="66">
        <f t="shared" si="2"/>
        <v>0</v>
      </c>
      <c r="F32" s="61"/>
    </row>
    <row r="33" spans="1:6" ht="15" thickBot="1">
      <c r="A33" s="21"/>
      <c r="B33" s="67"/>
      <c r="C33" s="68">
        <f t="shared" si="1"/>
        <v>0</v>
      </c>
      <c r="D33" s="69">
        <f t="shared" si="2"/>
        <v>0</v>
      </c>
      <c r="F33" s="95"/>
    </row>
    <row r="34" spans="1:6" ht="15.5" thickTop="1" thickBot="1">
      <c r="A34" s="59"/>
      <c r="B34" s="70">
        <f>SUM(B4:B33)</f>
        <v>847919.4932890007</v>
      </c>
      <c r="C34" s="71"/>
      <c r="D34" s="72">
        <f>SUM(D4:D33)</f>
        <v>408450.849714913</v>
      </c>
      <c r="F34" s="72">
        <f>SUM(F4:F15)</f>
        <v>3728446.1425342686</v>
      </c>
    </row>
    <row r="36" spans="1:6">
      <c r="A36" t="s">
        <v>100</v>
      </c>
      <c r="B36" s="79">
        <f>'Known Resources'!B44</f>
        <v>0.22741900000000001</v>
      </c>
    </row>
    <row r="38" spans="1:6">
      <c r="B38" s="98">
        <f>B34/'Summary 2016'!E15</f>
        <v>0.19131446720382714</v>
      </c>
    </row>
    <row r="40" spans="1:6">
      <c r="A40" t="s">
        <v>102</v>
      </c>
    </row>
  </sheetData>
  <pageMargins left="0.7" right="0.7" top="0.75" bottom="0.75" header="0.3" footer="0.3"/>
  <pageSetup scale="4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0CC507776B9C4697021EA0E258AB02" ma:contentTypeVersion="16" ma:contentTypeDescription="" ma:contentTypeScope="" ma:versionID="489fe484080392562d233d5329bb34b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2024-05-28T07:00:00+00:00</OpenedDate>
    <SignificantOrder xmlns="dc463f71-b30c-4ab2-9473-d307f9d35888">false</SignificantOrder>
    <Date1 xmlns="dc463f71-b30c-4ab2-9473-d307f9d35888">2024-05-28T07:00:00+00:00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240399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5345E08-4AEB-4D3C-BFDA-49598E4D6CA3}"/>
</file>

<file path=customXml/itemProps2.xml><?xml version="1.0" encoding="utf-8"?>
<ds:datastoreItem xmlns:ds="http://schemas.openxmlformats.org/officeDocument/2006/customXml" ds:itemID="{E54F4026-5968-422A-9FED-C96CE0C6FFD5}"/>
</file>

<file path=customXml/itemProps3.xml><?xml version="1.0" encoding="utf-8"?>
<ds:datastoreItem xmlns:ds="http://schemas.openxmlformats.org/officeDocument/2006/customXml" ds:itemID="{505FFBC5-1122-401C-9E6A-D78C3A9002A7}"/>
</file>

<file path=customXml/itemProps4.xml><?xml version="1.0" encoding="utf-8"?>
<ds:datastoreItem xmlns:ds="http://schemas.openxmlformats.org/officeDocument/2006/customXml" ds:itemID="{72732A08-4104-4DA2-8233-5DB799C916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2016</vt:lpstr>
      <vt:lpstr>Known Resources</vt:lpstr>
      <vt:lpstr>Unknown Resources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Ikeda, Teri (PacifiCorp)</cp:lastModifiedBy>
  <dcterms:created xsi:type="dcterms:W3CDTF">2016-02-08T23:38:12Z</dcterms:created>
  <dcterms:modified xsi:type="dcterms:W3CDTF">2024-05-21T00:59:00Z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0x0101006E56B4D1795A2E4DB2F0B01679ED314A00240CC507776B9C4697021EA0E258AB02</vt:lpwstr>
  </property>
  <property fmtid="{D5CDD505-2E9C-101B-9397-08002B2CF9AE}" pid="3" name="_docset_NoMedatataSyncRequired">
    <vt:lpwstr>False</vt:lpwstr>
  </property>
</Properties>
</file>