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-12" windowWidth="14520" windowHeight="6012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2" sheetId="11" r:id="rId6"/>
    <sheet name="2022 AllocM" sheetId="17" r:id="rId7"/>
    <sheet name="2021 AllocFct" sheetId="16" r:id="rId8"/>
    <sheet name="2020 AllocFactrs" sheetId="15" r:id="rId9"/>
    <sheet name="2019 Allocation Factors" sheetId="14" r:id="rId10"/>
  </sheets>
  <externalReferences>
    <externalReference r:id="rId11"/>
    <externalReference r:id="rId12"/>
    <externalReference r:id="rId13"/>
  </externalReferences>
  <definedNames>
    <definedName name="__123Graph_D" localSheetId="9" hidden="1">#REF!</definedName>
    <definedName name="__123Graph_D" localSheetId="8" hidden="1">#REF!</definedName>
    <definedName name="__123Graph_D" localSheetId="7" hidden="1">#REF!</definedName>
    <definedName name="__123Graph_D" hidden="1">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hidden="1">#REF!</definedName>
    <definedName name="_Key1" localSheetId="9" hidden="1">#REF!</definedName>
    <definedName name="_Key1" localSheetId="8" hidden="1">#REF!</definedName>
    <definedName name="_Key1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9" hidden="1">#REF!</definedName>
    <definedName name="_Sort" hidden="1">#REF!</definedName>
    <definedName name="_www1" localSheetId="9" hidden="1">{#N/A,#N/A,FALSE,"schA"}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9" hidden="1">{#N/A,#N/A,FALSE,"schA"}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localSheetId="7" hidden="1">{#N/A,#N/A,FALSE,"Pg 6b CustCount_Gas";#N/A,#N/A,FALSE,"QA";#N/A,#N/A,FALSE,"Report";#N/A,#N/A,FALSE,"forecast"}</definedName>
    <definedName name="re" localSheetId="6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9" hidden="1">#REF!</definedName>
    <definedName name="Transfer" localSheetId="8" hidden="1">#REF!</definedName>
    <definedName name="Transfer" hidden="1">#REF!</definedName>
    <definedName name="Transfers" localSheetId="9" hidden="1">#REF!</definedName>
    <definedName name="Transfers" hidden="1">#REF!</definedName>
    <definedName name="u" localSheetId="9" hidden="1">{#N/A,#N/A,FALSE,"Summ";#N/A,#N/A,FALSE,"General"}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7" hidden="1">{#N/A,#N/A,FALSE,"2002 Small Tool OH";#N/A,#N/A,FALSE,"QA"}</definedName>
    <definedName name="XXXX" localSheetId="6" hidden="1">{#N/A,#N/A,FALSE,"2002 Small Tool OH";#N/A,#N/A,FALSE,"QA"}</definedName>
    <definedName name="XXXX" hidden="1">{#N/A,#N/A,FALSE,"2002 Small Tool OH";#N/A,#N/A,FALSE,"QA"}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6" i="1" l="1"/>
  <c r="B15" i="1"/>
  <c r="B14" i="1"/>
  <c r="A16" i="2" l="1"/>
  <c r="A17" i="2"/>
  <c r="B19" i="3"/>
  <c r="E11" i="4"/>
  <c r="D23" i="4"/>
  <c r="D22" i="4"/>
  <c r="D21" i="4"/>
  <c r="D20" i="4"/>
  <c r="D19" i="4"/>
  <c r="D18" i="4"/>
  <c r="D17" i="4"/>
  <c r="D16" i="4"/>
  <c r="D15" i="4"/>
  <c r="D14" i="4"/>
  <c r="D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D12" i="4"/>
  <c r="E12" i="4" s="1"/>
  <c r="B13" i="3"/>
  <c r="B11" i="3"/>
  <c r="B14" i="3" s="1"/>
  <c r="B9" i="3"/>
  <c r="D25" i="4" l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7" i="4" s="1"/>
  <c r="C13" i="11"/>
  <c r="D13" i="11"/>
  <c r="E13" i="11"/>
  <c r="F13" i="11"/>
  <c r="D19" i="11"/>
  <c r="D21" i="11" s="1"/>
  <c r="E19" i="11"/>
  <c r="E21" i="11" s="1"/>
  <c r="F19" i="11"/>
  <c r="D27" i="11"/>
  <c r="E27" i="11"/>
  <c r="F27" i="11"/>
  <c r="G45" i="17"/>
  <c r="F45" i="17"/>
  <c r="G44" i="17"/>
  <c r="F44" i="17"/>
  <c r="G43" i="17"/>
  <c r="F43" i="17"/>
  <c r="D42" i="17"/>
  <c r="F38" i="17"/>
  <c r="F39" i="17" s="1"/>
  <c r="E38" i="17"/>
  <c r="E39" i="17" s="1"/>
  <c r="D38" i="17"/>
  <c r="F31" i="17"/>
  <c r="E31" i="17"/>
  <c r="D31" i="17"/>
  <c r="F28" i="17"/>
  <c r="E28" i="17"/>
  <c r="D28" i="17"/>
  <c r="F25" i="17"/>
  <c r="E25" i="17"/>
  <c r="D25" i="17"/>
  <c r="D22" i="17"/>
  <c r="F17" i="17"/>
  <c r="E17" i="17"/>
  <c r="F16" i="17"/>
  <c r="E16" i="17"/>
  <c r="F15" i="17"/>
  <c r="E15" i="17"/>
  <c r="D15" i="17"/>
  <c r="D16" i="17" s="1"/>
  <c r="D17" i="17" s="1"/>
  <c r="F11" i="17"/>
  <c r="E11" i="17"/>
  <c r="G11" i="17" s="1"/>
  <c r="F12" i="17" s="1"/>
  <c r="F8" i="17"/>
  <c r="F22" i="17" s="1"/>
  <c r="E8" i="17"/>
  <c r="E22" i="17" s="1"/>
  <c r="G15" i="17" l="1"/>
  <c r="G46" i="17"/>
  <c r="G28" i="17"/>
  <c r="E29" i="17" s="1"/>
  <c r="E18" i="17"/>
  <c r="F46" i="17"/>
  <c r="G8" i="17"/>
  <c r="F9" i="17" s="1"/>
  <c r="B15" i="3" s="1"/>
  <c r="B16" i="3" s="1"/>
  <c r="E12" i="17"/>
  <c r="G12" i="17" s="1"/>
  <c r="G16" i="17"/>
  <c r="F18" i="17"/>
  <c r="G17" i="17"/>
  <c r="G25" i="17"/>
  <c r="F26" i="17" s="1"/>
  <c r="C27" i="11"/>
  <c r="F21" i="11"/>
  <c r="C19" i="11"/>
  <c r="C21" i="11" s="1"/>
  <c r="C29" i="11" s="1"/>
  <c r="C33" i="11" s="1"/>
  <c r="F29" i="11"/>
  <c r="F33" i="11" s="1"/>
  <c r="E29" i="11"/>
  <c r="E33" i="11" s="1"/>
  <c r="D29" i="11"/>
  <c r="D33" i="11" s="1"/>
  <c r="G22" i="17"/>
  <c r="F23" i="17" s="1"/>
  <c r="F29" i="17"/>
  <c r="G38" i="17"/>
  <c r="G39" i="17" s="1"/>
  <c r="E40" i="17" s="1"/>
  <c r="G31" i="17"/>
  <c r="F32" i="17" s="1"/>
  <c r="F31" i="16"/>
  <c r="E31" i="16"/>
  <c r="F28" i="16"/>
  <c r="E28" i="16"/>
  <c r="F46" i="16"/>
  <c r="G45" i="16"/>
  <c r="F45" i="16"/>
  <c r="G44" i="16"/>
  <c r="F44" i="16"/>
  <c r="G43" i="16"/>
  <c r="F43" i="16"/>
  <c r="F38" i="16"/>
  <c r="E38" i="16"/>
  <c r="F25" i="16"/>
  <c r="E25" i="16"/>
  <c r="F17" i="16"/>
  <c r="F16" i="16"/>
  <c r="F15" i="16"/>
  <c r="E17" i="16"/>
  <c r="E16" i="16"/>
  <c r="E15" i="16"/>
  <c r="F11" i="16"/>
  <c r="E11" i="16"/>
  <c r="F8" i="16"/>
  <c r="E8" i="16"/>
  <c r="E20" i="1"/>
  <c r="D20" i="1"/>
  <c r="G29" i="17" l="1"/>
  <c r="G18" i="17"/>
  <c r="E19" i="17" s="1"/>
  <c r="E9" i="17"/>
  <c r="G9" i="17" s="1"/>
  <c r="E26" i="17"/>
  <c r="G26" i="17" s="1"/>
  <c r="E23" i="17"/>
  <c r="G23" i="17" s="1"/>
  <c r="B18" i="3"/>
  <c r="B20" i="3" s="1"/>
  <c r="B27" i="2" s="1"/>
  <c r="F27" i="1"/>
  <c r="F40" i="17"/>
  <c r="G40" i="17" s="1"/>
  <c r="E32" i="17"/>
  <c r="F34" i="17"/>
  <c r="F35" i="17" s="1"/>
  <c r="D26" i="2"/>
  <c r="B37" i="3"/>
  <c r="E47" i="4"/>
  <c r="D45" i="4"/>
  <c r="D43" i="4"/>
  <c r="D42" i="4"/>
  <c r="D41" i="4"/>
  <c r="D40" i="4"/>
  <c r="D39" i="4"/>
  <c r="D38" i="4"/>
  <c r="D37" i="4"/>
  <c r="D36" i="4"/>
  <c r="D35" i="4"/>
  <c r="D34" i="4"/>
  <c r="D33" i="4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D32" i="4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B32" i="3"/>
  <c r="F39" i="16"/>
  <c r="G38" i="16"/>
  <c r="G39" i="16" s="1"/>
  <c r="G17" i="16"/>
  <c r="F22" i="16"/>
  <c r="E22" i="16"/>
  <c r="B31" i="3"/>
  <c r="B29" i="3"/>
  <c r="B27" i="3"/>
  <c r="D27" i="2"/>
  <c r="F19" i="17" l="1"/>
  <c r="G19" i="17" s="1"/>
  <c r="G32" i="17"/>
  <c r="G34" i="17" s="1"/>
  <c r="G35" i="17" s="1"/>
  <c r="E34" i="17"/>
  <c r="E35" i="17" s="1"/>
  <c r="G16" i="16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22" i="16"/>
  <c r="F23" i="16" s="1"/>
  <c r="G8" i="16"/>
  <c r="G11" i="16"/>
  <c r="F12" i="16" s="1"/>
  <c r="B27" i="11"/>
  <c r="B19" i="11"/>
  <c r="B13" i="11"/>
  <c r="G18" i="16" l="1"/>
  <c r="F19" i="16" s="1"/>
  <c r="F32" i="16"/>
  <c r="E29" i="16"/>
  <c r="G29" i="16" s="1"/>
  <c r="F26" i="16"/>
  <c r="G26" i="16" s="1"/>
  <c r="G40" i="16"/>
  <c r="E19" i="16"/>
  <c r="B21" i="11"/>
  <c r="B29" i="11" s="1"/>
  <c r="B33" i="11" s="1"/>
  <c r="C27" i="2" s="1"/>
  <c r="E27" i="2" s="1"/>
  <c r="E12" i="16"/>
  <c r="G12" i="16" s="1"/>
  <c r="E9" i="16"/>
  <c r="F9" i="16"/>
  <c r="B33" i="3" s="1"/>
  <c r="B34" i="3" s="1"/>
  <c r="E23" i="16"/>
  <c r="G23" i="16" s="1"/>
  <c r="G19" i="16" l="1"/>
  <c r="B36" i="3"/>
  <c r="B38" i="3" s="1"/>
  <c r="F34" i="16"/>
  <c r="F35" i="16" s="1"/>
  <c r="G32" i="16"/>
  <c r="G34" i="16" s="1"/>
  <c r="G35" i="16" s="1"/>
  <c r="E34" i="16"/>
  <c r="E35" i="16" s="1"/>
  <c r="G9" i="16"/>
  <c r="A4" i="2"/>
  <c r="F27" i="2" l="1"/>
  <c r="B26" i="2"/>
  <c r="C26" i="2"/>
  <c r="E26" i="2" s="1"/>
  <c r="B56" i="3"/>
  <c r="E50" i="4"/>
  <c r="D62" i="4"/>
  <c r="D61" i="4"/>
  <c r="D60" i="4"/>
  <c r="D59" i="4"/>
  <c r="D58" i="4"/>
  <c r="D57" i="4"/>
  <c r="D56" i="4"/>
  <c r="D55" i="4"/>
  <c r="D54" i="4"/>
  <c r="D53" i="4"/>
  <c r="D52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D51" i="4"/>
  <c r="B49" i="3"/>
  <c r="B47" i="3"/>
  <c r="B51" i="3" s="1"/>
  <c r="B45" i="3"/>
  <c r="F39" i="15"/>
  <c r="E39" i="15"/>
  <c r="G16" i="15"/>
  <c r="G17" i="15" l="1"/>
  <c r="G22" i="15"/>
  <c r="F23" i="15" s="1"/>
  <c r="B52" i="3" s="1"/>
  <c r="B53" i="3" s="1"/>
  <c r="G8" i="15"/>
  <c r="F9" i="15" s="1"/>
  <c r="F18" i="15"/>
  <c r="G15" i="15"/>
  <c r="E18" i="15"/>
  <c r="G46" i="15"/>
  <c r="E51" i="4"/>
  <c r="D64" i="4"/>
  <c r="E52" i="4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6" i="4" s="1"/>
  <c r="B50" i="3"/>
  <c r="G25" i="15"/>
  <c r="E26" i="15" s="1"/>
  <c r="G31" i="15"/>
  <c r="E32" i="15" s="1"/>
  <c r="G38" i="15"/>
  <c r="G39" i="15" s="1"/>
  <c r="E40" i="15" s="1"/>
  <c r="G11" i="15"/>
  <c r="F12" i="15" s="1"/>
  <c r="B78" i="3"/>
  <c r="E71" i="4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5" i="4" s="1"/>
  <c r="E70" i="4"/>
  <c r="D71" i="4"/>
  <c r="D72" i="4"/>
  <c r="D73" i="4"/>
  <c r="D74" i="4"/>
  <c r="D83" i="4" s="1"/>
  <c r="D75" i="4"/>
  <c r="D76" i="4"/>
  <c r="D77" i="4"/>
  <c r="D78" i="4"/>
  <c r="D79" i="4"/>
  <c r="D80" i="4"/>
  <c r="D81" i="4"/>
  <c r="D70" i="4"/>
  <c r="A71" i="4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E69" i="4"/>
  <c r="G18" i="15" l="1"/>
  <c r="E19" i="15" s="1"/>
  <c r="E9" i="15"/>
  <c r="G9" i="15" s="1"/>
  <c r="E23" i="15"/>
  <c r="G23" i="15" s="1"/>
  <c r="B55" i="3"/>
  <c r="B57" i="3" s="1"/>
  <c r="F32" i="15"/>
  <c r="G32" i="15" s="1"/>
  <c r="F26" i="15"/>
  <c r="G26" i="15" s="1"/>
  <c r="F40" i="15"/>
  <c r="G40" i="15" s="1"/>
  <c r="E12" i="15"/>
  <c r="G12" i="15" s="1"/>
  <c r="B73" i="3"/>
  <c r="B72" i="3"/>
  <c r="F26" i="2" l="1"/>
  <c r="B25" i="2"/>
  <c r="F19" i="15"/>
  <c r="G19" i="15" s="1"/>
  <c r="F39" i="14"/>
  <c r="G25" i="14"/>
  <c r="F26" i="14" s="1"/>
  <c r="G17" i="14"/>
  <c r="E22" i="14"/>
  <c r="G38" i="14" l="1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74" i="3" s="1"/>
  <c r="B75" i="3" s="1"/>
  <c r="B77" i="3" s="1"/>
  <c r="B79" i="3" s="1"/>
  <c r="B24" i="2" s="1"/>
  <c r="E19" i="14"/>
  <c r="G19" i="14" s="1"/>
  <c r="G23" i="14"/>
  <c r="G34" i="14" s="1"/>
  <c r="G35" i="14" s="1"/>
  <c r="C25" i="2" l="1"/>
  <c r="D24" i="2"/>
  <c r="D23" i="2"/>
  <c r="B91" i="3" l="1"/>
  <c r="B86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B87" i="3" l="1"/>
  <c r="B90" i="3"/>
  <c r="C23" i="2"/>
  <c r="B92" i="3"/>
  <c r="G24" i="12"/>
  <c r="K24" i="12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46" i="3"/>
  <c r="B150" i="3" s="1"/>
  <c r="B144" i="3"/>
  <c r="B133" i="3"/>
  <c r="B137" i="3" s="1"/>
  <c r="B131" i="3"/>
  <c r="B120" i="3"/>
  <c r="B124" i="3" s="1"/>
  <c r="B118" i="3"/>
  <c r="B107" i="3"/>
  <c r="B111" i="3" s="1"/>
  <c r="B104" i="3"/>
  <c r="B96" i="3"/>
  <c r="G41" i="12" l="1"/>
  <c r="I41" i="12"/>
  <c r="I25" i="12"/>
  <c r="I45" i="12" s="1"/>
  <c r="G45" i="12"/>
  <c r="B93" i="3"/>
  <c r="B147" i="3"/>
  <c r="B148" i="3" s="1"/>
  <c r="B134" i="3"/>
  <c r="B135" i="3" s="1"/>
  <c r="B108" i="3"/>
  <c r="B109" i="3" s="1"/>
  <c r="B121" i="3"/>
  <c r="B122" i="3" s="1"/>
  <c r="A165" i="4" l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47" i="4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29" i="4"/>
  <c r="A130" i="4" s="1"/>
  <c r="A131" i="4" s="1"/>
  <c r="A132" i="4" s="1"/>
  <c r="A128" i="4"/>
  <c r="A108" i="4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89" i="4"/>
  <c r="A90" i="4" s="1"/>
  <c r="A91" i="4" s="1"/>
  <c r="A92" i="4" s="1"/>
  <c r="A93" i="4" s="1"/>
  <c r="A94" i="4" s="1"/>
  <c r="A95" i="4" s="1"/>
  <c r="A96" i="4" s="1"/>
  <c r="A97" i="4" l="1"/>
  <c r="A98" i="4" s="1"/>
  <c r="A99" i="4" s="1"/>
  <c r="A133" i="4"/>
  <c r="A134" i="4" s="1"/>
  <c r="A135" i="4" l="1"/>
  <c r="A136" i="4" s="1"/>
  <c r="E179" i="4"/>
  <c r="E161" i="4"/>
  <c r="E142" i="4"/>
  <c r="E122" i="4"/>
  <c r="E103" i="4"/>
  <c r="A137" i="4" l="1"/>
  <c r="A138" i="4" s="1"/>
  <c r="C24" i="2" l="1"/>
  <c r="B94" i="3"/>
  <c r="A13" i="2" l="1"/>
  <c r="A14" i="2"/>
  <c r="A15" i="2"/>
  <c r="E25" i="2" l="1"/>
  <c r="E24" i="2"/>
  <c r="E23" i="2"/>
  <c r="D101" i="4"/>
  <c r="B97" i="3" s="1"/>
  <c r="B98" i="3" s="1"/>
  <c r="B23" i="2" s="1"/>
  <c r="D120" i="4"/>
  <c r="B112" i="3" s="1"/>
  <c r="B113" i="3" s="1"/>
  <c r="F24" i="2" l="1"/>
  <c r="D140" i="4"/>
  <c r="B125" i="3" s="1"/>
  <c r="B126" i="3" s="1"/>
  <c r="D159" i="4"/>
  <c r="D177" i="4"/>
  <c r="B151" i="3" s="1"/>
  <c r="B152" i="3" s="1"/>
  <c r="B138" i="3" l="1"/>
  <c r="B139" i="3" s="1"/>
  <c r="F23" i="2"/>
  <c r="F25" i="2"/>
  <c r="G25" i="2" l="1"/>
  <c r="B15" i="2" s="1"/>
  <c r="C15" i="1" s="1"/>
  <c r="G26" i="2"/>
  <c r="G23" i="2"/>
  <c r="B13" i="2" s="1"/>
  <c r="G27" i="2"/>
  <c r="G24" i="2"/>
  <c r="E14" i="2" s="1"/>
  <c r="F14" i="1" s="1"/>
  <c r="B17" i="2" l="1"/>
  <c r="C16" i="1" s="1"/>
  <c r="C17" i="2"/>
  <c r="D16" i="1" s="1"/>
  <c r="F17" i="2"/>
  <c r="E17" i="2"/>
  <c r="F16" i="1" s="1"/>
  <c r="D17" i="2"/>
  <c r="E16" i="1" s="1"/>
  <c r="F16" i="2"/>
  <c r="B16" i="2"/>
  <c r="E16" i="2"/>
  <c r="C16" i="2"/>
  <c r="D16" i="2"/>
  <c r="E13" i="2"/>
  <c r="D13" i="2"/>
  <c r="F13" i="2"/>
  <c r="C13" i="2"/>
  <c r="F15" i="2"/>
  <c r="C15" i="2"/>
  <c r="D15" i="1" s="1"/>
  <c r="D15" i="2"/>
  <c r="E15" i="1" s="1"/>
  <c r="E15" i="2"/>
  <c r="F15" i="1" s="1"/>
  <c r="F14" i="2"/>
  <c r="D14" i="2"/>
  <c r="E14" i="1" s="1"/>
  <c r="B14" i="2"/>
  <c r="C14" i="1" s="1"/>
  <c r="C14" i="2"/>
  <c r="D14" i="1" s="1"/>
  <c r="F19" i="2" l="1"/>
  <c r="B19" i="2"/>
  <c r="C19" i="2"/>
  <c r="G16" i="1"/>
  <c r="D19" i="2"/>
  <c r="E19" i="2"/>
  <c r="G14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F20" i="1" l="1"/>
  <c r="F22" i="1" l="1"/>
  <c r="F25" i="1" s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<sst xmlns="http://schemas.openxmlformats.org/spreadsheetml/2006/main" count="622" uniqueCount="240">
  <si>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</si>
  <si>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</si>
  <si>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</si>
  <si>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</si>
  <si>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</si>
  <si>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</si>
  <si>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</si>
  <si>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</si>
  <si>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</si>
  <si>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</si>
  <si>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</si>
  <si>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</si>
  <si>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</si>
  <si>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</si>
  <si>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</si>
  <si>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</si>
  <si>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</si>
  <si>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</si>
  <si>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</si>
  <si>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</si>
  <si>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</si>
  <si>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</si>
  <si>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</si>
  <si>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</si>
  <si>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</si>
  <si>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</si>
  <si>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</si>
  <si>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</si>
  <si>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</si>
  <si>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</si>
  <si>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</si>
  <si>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</si>
  <si>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</si>
  <si>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</si>
  <si>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</si>
  <si>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</si>
  <si>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</si>
  <si>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</si>
  <si>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</si>
  <si>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</si>
  <si>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</si>
  <si>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</si>
  <si>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</si>
  <si>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</si>
  <si>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</si>
  <si>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</si>
  <si>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</si>
  <si>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</si>
  <si>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</si>
  <si>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</si>
  <si>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</si>
  <si>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</si>
  <si>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</si>
  <si>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</si>
  <si>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</si>
  <si>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</si>
  <si>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</si>
  <si>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</si>
  <si>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</si>
  <si>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</si>
  <si>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</si>
  <si>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</si>
  <si>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</si>
  <si>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</si>
  <si>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</si>
  <si>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</si>
  <si>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</si>
  <si>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</si>
  <si>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</si>
  <si>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</si>
  <si>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</si>
  <si>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</si>
  <si>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</si>
  <si>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</si>
  <si>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</si>
  <si>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</si>
  <si>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</si>
  <si>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</si>
  <si>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</si>
  <si>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</si>
  <si>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</si>
  <si>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</si>
  <si>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</si>
  <si>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</si>
  <si>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</si>
  <si>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</si>
  <si>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</si>
  <si>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</si>
  <si>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</si>
  <si>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</si>
  <si>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</si>
  <si>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</si>
  <si>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</si>
  <si>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</si>
  <si>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</si>
  <si>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</si>
  <si>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</si>
  <si>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</si>
  <si>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</si>
  <si>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</si>
  <si>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</si>
  <si>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</si>
  <si>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</si>
  <si>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</si>
  <si>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</si>
  <si>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</si>
  <si>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</si>
  <si>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</si>
  <si>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</si>
  <si>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</si>
  <si>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</si>
  <si>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</si>
  <si>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</si>
  <si>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</si>
  <si>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</si>
  <si>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</si>
  <si>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</si>
  <si>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</si>
  <si>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</si>
  <si>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</si>
  <si>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</si>
  <si>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</si>
  <si>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</si>
  <si>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</si>
  <si>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</si>
  <si>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</si>
  <si>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</si>
  <si>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</si>
  <si>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</si>
  <si>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</si>
  <si>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</si>
  <si>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</si>
  <si>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</si>
  <si>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</si>
  <si>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</si>
  <si>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</si>
  <si>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</si>
  <si>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</si>
  <si>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</si>
  <si>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</si>
  <si>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</si>
  <si>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</si>
  <si>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</si>
  <si>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</si>
  <si>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</si>
  <si>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</si>
  <si>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</si>
  <si>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</si>
  <si>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</si>
  <si>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</si>
  <si>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</si>
  <si>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</si>
  <si>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</si>
  <si>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</si>
  <si>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</si>
  <si>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</si>
  <si>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</si>
  <si>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</si>
  <si>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</si>
  <si>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</si>
  <si>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</si>
  <si>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</si>
  <si>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</si>
  <si>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</si>
  <si>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</si>
  <si>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</si>
  <si>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</si>
  <si>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</si>
  <si>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</si>
  <si>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</si>
  <si>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</si>
  <si>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</si>
  <si>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</si>
  <si>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</si>
  <si>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</si>
  <si>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</si>
  <si>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</si>
  <si>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</si>
  <si>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</si>
  <si>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</si>
  <si>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</si>
  <si>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</si>
  <si>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</si>
  <si>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</si>
  <si>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</si>
  <si>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</si>
  <si>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</si>
  <si>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</si>
  <si>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</si>
  <si>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</si>
  <si>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</si>
  <si>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</si>
  <si>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</si>
  <si>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</si>
  <si>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</si>
  <si>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</si>
  <si>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</si>
  <si>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</si>
  <si>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</si>
  <si>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</si>
  <si>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</si>
  <si>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</si>
  <si>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</si>
  <si>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</si>
  <si>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</si>
  <si>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</si>
  <si>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</si>
  <si>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</si>
  <si>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</si>
  <si>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</si>
  <si>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</si>
  <si>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</si>
  <si>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</si>
  <si>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</si>
  <si>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</si>
  <si>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</si>
  <si>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</si>
  <si>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</si>
  <si>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</si>
  <si>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</si>
  <si>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</si>
  <si>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</si>
  <si>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</si>
  <si>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</si>
  <si>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</si>
  <si>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</si>
  <si>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</si>
  <si>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</si>
  <si>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</si>
  <si>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</si>
  <si>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</si>
  <si>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</si>
  <si>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</si>
  <si>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</si>
  <si>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</si>
  <si>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</si>
  <si>
    <t>FOR THE TWELVE MONTHS ENDED DECEMBER 31, 2022</t>
  </si>
  <si>
    <t>TWELVE MONTHS ENDED AUGUST 31, 2017, 2018, 2019, 2020, 2021, 2022</t>
  </si>
  <si>
    <t>12 ME 12/01/2022 AND 8/31/2022</t>
  </si>
  <si>
    <t>12ME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</si>
</sst>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</fonts>
  <fills count="1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039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0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0" fillId="3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0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0" fillId="4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40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3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4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3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4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1" fillId="45" borderId="0" applyNumberFormat="0" applyBorder="0" applyAlignment="0" applyProtection="0"/>
    <xf numFmtId="0" fontId="42" fillId="44" borderId="0" applyNumberFormat="0" applyBorder="0" applyAlignment="0" applyProtection="0"/>
    <xf numFmtId="0" fontId="30" fillId="13" borderId="0" applyNumberFormat="0" applyBorder="0" applyAlignment="0" applyProtection="0"/>
    <xf numFmtId="0" fontId="42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52" borderId="0" applyNumberFormat="0" applyBorder="0" applyAlignment="0" applyProtection="0"/>
    <xf numFmtId="0" fontId="30" fillId="17" borderId="0" applyNumberFormat="0" applyBorder="0" applyAlignment="0" applyProtection="0"/>
    <xf numFmtId="0" fontId="42" fillId="3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47" borderId="0" applyNumberFormat="0" applyBorder="0" applyAlignment="0" applyProtection="0"/>
    <xf numFmtId="0" fontId="42" fillId="50" borderId="0" applyNumberFormat="0" applyBorder="0" applyAlignment="0" applyProtection="0"/>
    <xf numFmtId="0" fontId="30" fillId="21" borderId="0" applyNumberFormat="0" applyBorder="0" applyAlignment="0" applyProtection="0"/>
    <xf numFmtId="0" fontId="42" fillId="4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30" fillId="25" borderId="0" applyNumberFormat="0" applyBorder="0" applyAlignment="0" applyProtection="0"/>
    <xf numFmtId="0" fontId="42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1" fillId="45" borderId="0" applyNumberFormat="0" applyBorder="0" applyAlignment="0" applyProtection="0"/>
    <xf numFmtId="0" fontId="42" fillId="44" borderId="0" applyNumberFormat="0" applyBorder="0" applyAlignment="0" applyProtection="0"/>
    <xf numFmtId="0" fontId="30" fillId="29" borderId="0" applyNumberFormat="0" applyBorder="0" applyAlignment="0" applyProtection="0"/>
    <xf numFmtId="0" fontId="42" fillId="5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1" fillId="43" borderId="0" applyNumberFormat="0" applyBorder="0" applyAlignment="0" applyProtection="0"/>
    <xf numFmtId="0" fontId="42" fillId="38" borderId="0" applyNumberFormat="0" applyBorder="0" applyAlignment="0" applyProtection="0"/>
    <xf numFmtId="0" fontId="30" fillId="33" borderId="0" applyNumberFormat="0" applyBorder="0" applyAlignment="0" applyProtection="0"/>
    <xf numFmtId="0" fontId="42" fillId="55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2" fillId="5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5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42" fillId="6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2" fillId="6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2" fillId="6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2" fillId="4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2" fillId="6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2" fillId="6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7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2" fillId="5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2" fillId="5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2" fillId="7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42" fillId="7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2" fillId="5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2" fillId="7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3" fillId="63" borderId="0" applyNumberFormat="0" applyBorder="0" applyAlignment="0" applyProtection="0"/>
    <xf numFmtId="0" fontId="44" fillId="41" borderId="0" applyNumberFormat="0" applyBorder="0" applyAlignment="0" applyProtection="0"/>
    <xf numFmtId="0" fontId="22" fillId="4" borderId="0" applyNumberFormat="0" applyBorder="0" applyAlignment="0" applyProtection="0"/>
    <xf numFmtId="0" fontId="44" fillId="3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5" borderId="27" applyNumberFormat="0" applyAlignment="0" applyProtection="0"/>
    <xf numFmtId="0" fontId="47" fillId="42" borderId="27" applyNumberFormat="0" applyAlignment="0" applyProtection="0"/>
    <xf numFmtId="0" fontId="26" fillId="7" borderId="21" applyNumberFormat="0" applyAlignment="0" applyProtection="0"/>
    <xf numFmtId="0" fontId="48" fillId="49" borderId="27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49" fillId="64" borderId="28" applyNumberFormat="0" applyAlignment="0" applyProtection="0"/>
    <xf numFmtId="0" fontId="28" fillId="8" borderId="24" applyNumberFormat="0" applyAlignment="0" applyProtection="0"/>
    <xf numFmtId="0" fontId="49" fillId="76" borderId="28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41" fontId="3" fillId="77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1" borderId="0" applyNumberFormat="0" applyBorder="0" applyAlignment="0" applyProtection="0"/>
    <xf numFmtId="0" fontId="61" fillId="44" borderId="0" applyNumberFormat="0" applyBorder="0" applyAlignment="0" applyProtection="0"/>
    <xf numFmtId="0" fontId="21" fillId="3" borderId="0" applyNumberFormat="0" applyBorder="0" applyAlignment="0" applyProtection="0"/>
    <xf numFmtId="0" fontId="61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2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2" borderId="30">
      <alignment horizontal="center" vertical="center" wrapText="1"/>
    </xf>
    <xf numFmtId="38" fontId="70" fillId="0" borderId="0"/>
    <xf numFmtId="40" fontId="70" fillId="0" borderId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72" fillId="73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41" fontId="73" fillId="84" borderId="39">
      <alignment horizontal="left"/>
      <protection locked="0"/>
    </xf>
    <xf numFmtId="10" fontId="73" fillId="84" borderId="39">
      <alignment horizontal="right"/>
      <protection locked="0"/>
    </xf>
    <xf numFmtId="41" fontId="73" fillId="84" borderId="39">
      <alignment horizontal="left"/>
      <protection locked="0"/>
    </xf>
    <xf numFmtId="0" fontId="62" fillId="77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3" borderId="0" applyNumberFormat="0" applyBorder="0" applyAlignment="0" applyProtection="0"/>
    <xf numFmtId="0" fontId="79" fillId="48" borderId="0" applyNumberFormat="0" applyBorder="0" applyAlignment="0" applyProtection="0"/>
    <xf numFmtId="0" fontId="23" fillId="5" borderId="0" applyNumberFormat="0" applyBorder="0" applyAlignment="0" applyProtection="0"/>
    <xf numFmtId="0" fontId="78" fillId="4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" fillId="40" borderId="4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" fillId="72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83" fillId="75" borderId="46" applyNumberFormat="0" applyAlignment="0" applyProtection="0"/>
    <xf numFmtId="0" fontId="83" fillId="42" borderId="46" applyNumberFormat="0" applyAlignment="0" applyProtection="0"/>
    <xf numFmtId="0" fontId="25" fillId="7" borderId="22" applyNumberFormat="0" applyAlignment="0" applyProtection="0"/>
    <xf numFmtId="0" fontId="83" fillId="49" borderId="46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5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6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3" borderId="0"/>
    <xf numFmtId="42" fontId="3" fillId="83" borderId="3">
      <alignment vertical="center"/>
    </xf>
    <xf numFmtId="0" fontId="4" fillId="83" borderId="4" applyNumberFormat="0">
      <alignment horizontal="center" vertical="center" wrapText="1"/>
    </xf>
    <xf numFmtId="10" fontId="3" fillId="83" borderId="0"/>
    <xf numFmtId="188" fontId="3" fillId="83" borderId="0"/>
    <xf numFmtId="165" fontId="70" fillId="0" borderId="0" applyBorder="0" applyAlignment="0"/>
    <xf numFmtId="42" fontId="3" fillId="83" borderId="47">
      <alignment horizontal="left"/>
    </xf>
    <xf numFmtId="188" fontId="87" fillId="83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48" borderId="48" applyNumberFormat="0" applyProtection="0">
      <alignment vertical="center"/>
    </xf>
    <xf numFmtId="4" fontId="88" fillId="48" borderId="48" applyNumberFormat="0" applyProtection="0">
      <alignment vertical="center"/>
    </xf>
    <xf numFmtId="4" fontId="40" fillId="84" borderId="46" applyNumberFormat="0" applyProtection="0">
      <alignment vertical="center"/>
    </xf>
    <xf numFmtId="4" fontId="62" fillId="48" borderId="49" applyNumberFormat="0" applyProtection="0">
      <alignment vertical="center"/>
    </xf>
    <xf numFmtId="4" fontId="89" fillId="84" borderId="48" applyNumberFormat="0" applyProtection="0">
      <alignment vertical="center"/>
    </xf>
    <xf numFmtId="4" fontId="89" fillId="84" borderId="48" applyNumberFormat="0" applyProtection="0">
      <alignment vertical="center"/>
    </xf>
    <xf numFmtId="4" fontId="90" fillId="84" borderId="46" applyNumberFormat="0" applyProtection="0">
      <alignment vertical="center"/>
    </xf>
    <xf numFmtId="4" fontId="88" fillId="84" borderId="48" applyNumberFormat="0" applyProtection="0">
      <alignment horizontal="left" vertical="center" indent="1"/>
    </xf>
    <xf numFmtId="4" fontId="88" fillId="84" borderId="48" applyNumberFormat="0" applyProtection="0">
      <alignment horizontal="left" vertical="center" indent="1"/>
    </xf>
    <xf numFmtId="4" fontId="40" fillId="84" borderId="46" applyNumberFormat="0" applyProtection="0">
      <alignment horizontal="left" vertical="center" indent="1"/>
    </xf>
    <xf numFmtId="4" fontId="62" fillId="84" borderId="49" applyNumberFormat="0" applyProtection="0">
      <alignment horizontal="left" vertical="center" indent="1"/>
    </xf>
    <xf numFmtId="0" fontId="88" fillId="84" borderId="48" applyNumberFormat="0" applyProtection="0">
      <alignment horizontal="left" vertical="top" indent="1"/>
    </xf>
    <xf numFmtId="0" fontId="88" fillId="84" borderId="48" applyNumberFormat="0" applyProtection="0">
      <alignment horizontal="left" vertical="top" indent="1"/>
    </xf>
    <xf numFmtId="4" fontId="40" fillId="84" borderId="46" applyNumberFormat="0" applyProtection="0">
      <alignment horizontal="left" vertical="center" indent="1"/>
    </xf>
    <xf numFmtId="4" fontId="88" fillId="87" borderId="0" applyNumberFormat="0" applyProtection="0">
      <alignment horizontal="left" vertical="center" indent="1"/>
    </xf>
    <xf numFmtId="0" fontId="3" fillId="88" borderId="0" applyNumberFormat="0" applyProtection="0">
      <alignment horizontal="left" vertical="center" indent="1"/>
    </xf>
    <xf numFmtId="4" fontId="88" fillId="87" borderId="0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4" fontId="62" fillId="54" borderId="49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4" fontId="40" fillId="90" borderId="46" applyNumberFormat="0" applyProtection="0">
      <alignment horizontal="right" vertical="center"/>
    </xf>
    <xf numFmtId="4" fontId="40" fillId="38" borderId="48" applyNumberFormat="0" applyProtection="0">
      <alignment horizontal="right" vertical="center"/>
    </xf>
    <xf numFmtId="4" fontId="40" fillId="38" borderId="48" applyNumberFormat="0" applyProtection="0">
      <alignment horizontal="right" vertical="center"/>
    </xf>
    <xf numFmtId="4" fontId="40" fillId="91" borderId="46" applyNumberFormat="0" applyProtection="0">
      <alignment horizontal="right" vertical="center"/>
    </xf>
    <xf numFmtId="4" fontId="40" fillId="65" borderId="48" applyNumberFormat="0" applyProtection="0">
      <alignment horizontal="right" vertical="center"/>
    </xf>
    <xf numFmtId="4" fontId="40" fillId="65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50" borderId="48" applyNumberFormat="0" applyProtection="0">
      <alignment horizontal="right" vertical="center"/>
    </xf>
    <xf numFmtId="4" fontId="40" fillId="5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55" borderId="48" applyNumberFormat="0" applyProtection="0">
      <alignment horizontal="right" vertical="center"/>
    </xf>
    <xf numFmtId="4" fontId="40" fillId="55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47" borderId="48" applyNumberFormat="0" applyProtection="0">
      <alignment horizontal="right" vertical="center"/>
    </xf>
    <xf numFmtId="4" fontId="40" fillId="4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97" borderId="48" applyNumberFormat="0" applyProtection="0">
      <alignment horizontal="right" vertical="center"/>
    </xf>
    <xf numFmtId="4" fontId="40" fillId="97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46" borderId="48" applyNumberFormat="0" applyProtection="0">
      <alignment horizontal="right" vertical="center"/>
    </xf>
    <xf numFmtId="4" fontId="40" fillId="46" borderId="48" applyNumberFormat="0" applyProtection="0">
      <alignment horizontal="right" vertical="center"/>
    </xf>
    <xf numFmtId="4" fontId="40" fillId="99" borderId="46" applyNumberFormat="0" applyProtection="0">
      <alignment horizontal="right" vertical="center"/>
    </xf>
    <xf numFmtId="4" fontId="88" fillId="100" borderId="50" applyNumberFormat="0" applyProtection="0">
      <alignment horizontal="left" vertical="center" indent="1"/>
    </xf>
    <xf numFmtId="4" fontId="88" fillId="100" borderId="50" applyNumberFormat="0" applyProtection="0">
      <alignment horizontal="left" vertical="center" indent="1"/>
    </xf>
    <xf numFmtId="4" fontId="88" fillId="101" borderId="46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3" borderId="51" applyNumberFormat="0" applyProtection="0">
      <alignment horizontal="left" vertical="center" indent="1"/>
    </xf>
    <xf numFmtId="4" fontId="91" fillId="104" borderId="0" applyNumberFormat="0" applyProtection="0">
      <alignment horizontal="left" vertical="center" indent="1"/>
    </xf>
    <xf numFmtId="4" fontId="40" fillId="35" borderId="48" applyNumberFormat="0" applyProtection="0">
      <alignment horizontal="right" vertical="center"/>
    </xf>
    <xf numFmtId="4" fontId="40" fillId="35" borderId="48" applyNumberFormat="0" applyProtection="0">
      <alignment horizontal="right" vertical="center"/>
    </xf>
    <xf numFmtId="0" fontId="3" fillId="89" borderId="46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3" borderId="46" applyNumberFormat="0" applyProtection="0">
      <alignment horizontal="left" vertical="center" indent="1"/>
    </xf>
    <xf numFmtId="4" fontId="40" fillId="87" borderId="0" applyNumberFormat="0" applyProtection="0">
      <alignment horizontal="left" vertical="center" indent="1"/>
    </xf>
    <xf numFmtId="4" fontId="40" fillId="87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0" fontId="3" fillId="104" borderId="48" applyNumberFormat="0" applyProtection="0">
      <alignment horizontal="left" vertical="center" indent="1"/>
    </xf>
    <xf numFmtId="0" fontId="3" fillId="104" borderId="48" applyNumberFormat="0" applyProtection="0">
      <alignment horizontal="left" vertical="center" indent="1"/>
    </xf>
    <xf numFmtId="0" fontId="3" fillId="105" borderId="46" applyNumberFormat="0" applyProtection="0">
      <alignment horizontal="left" vertical="center" indent="1"/>
    </xf>
    <xf numFmtId="0" fontId="62" fillId="49" borderId="49" applyNumberFormat="0" applyProtection="0">
      <alignment horizontal="left" vertical="center" indent="1"/>
    </xf>
    <xf numFmtId="0" fontId="3" fillId="104" borderId="48" applyNumberFormat="0" applyProtection="0">
      <alignment horizontal="left" vertical="top" indent="1"/>
    </xf>
    <xf numFmtId="0" fontId="3" fillId="104" borderId="48" applyNumberFormat="0" applyProtection="0">
      <alignment horizontal="left" vertical="top" indent="1"/>
    </xf>
    <xf numFmtId="0" fontId="3" fillId="105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106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106" borderId="46" applyNumberFormat="0" applyProtection="0">
      <alignment horizontal="left" vertical="center" indent="1"/>
    </xf>
    <xf numFmtId="0" fontId="3" fillId="107" borderId="48" applyNumberFormat="0" applyProtection="0">
      <alignment horizontal="left" vertical="center" indent="1"/>
    </xf>
    <xf numFmtId="0" fontId="3" fillId="107" borderId="48" applyNumberFormat="0" applyProtection="0">
      <alignment horizontal="left" vertical="center" indent="1"/>
    </xf>
    <xf numFmtId="0" fontId="3" fillId="77" borderId="46" applyNumberFormat="0" applyProtection="0">
      <alignment horizontal="left" vertical="center" indent="1"/>
    </xf>
    <xf numFmtId="0" fontId="3" fillId="107" borderId="48" applyNumberFormat="0" applyProtection="0">
      <alignment horizontal="left" vertical="top" indent="1"/>
    </xf>
    <xf numFmtId="0" fontId="3" fillId="107" borderId="48" applyNumberFormat="0" applyProtection="0">
      <alignment horizontal="left" vertical="top" indent="1"/>
    </xf>
    <xf numFmtId="0" fontId="3" fillId="77" borderId="46" applyNumberFormat="0" applyProtection="0">
      <alignment horizontal="left" vertical="center" indent="1"/>
    </xf>
    <xf numFmtId="0" fontId="3" fillId="85" borderId="48" applyNumberFormat="0" applyProtection="0">
      <alignment horizontal="left" vertical="center" indent="1"/>
    </xf>
    <xf numFmtId="0" fontId="3" fillId="85" borderId="48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0" fontId="62" fillId="102" borderId="49" applyNumberFormat="0" applyProtection="0">
      <alignment horizontal="left" vertical="center" indent="1"/>
    </xf>
    <xf numFmtId="0" fontId="3" fillId="85" borderId="48" applyNumberFormat="0" applyProtection="0">
      <alignment horizontal="left" vertical="top" indent="1"/>
    </xf>
    <xf numFmtId="0" fontId="3" fillId="85" borderId="48" applyNumberFormat="0" applyProtection="0">
      <alignment horizontal="left" vertical="top" indent="1"/>
    </xf>
    <xf numFmtId="0" fontId="3" fillId="89" borderId="46" applyNumberFormat="0" applyProtection="0">
      <alignment horizontal="left" vertical="center" indent="1"/>
    </xf>
    <xf numFmtId="0" fontId="3" fillId="42" borderId="2" applyNumberFormat="0">
      <protection locked="0"/>
    </xf>
    <xf numFmtId="0" fontId="70" fillId="45" borderId="52" applyBorder="0"/>
    <xf numFmtId="4" fontId="40" fillId="108" borderId="48" applyNumberFormat="0" applyProtection="0">
      <alignment vertical="center"/>
    </xf>
    <xf numFmtId="4" fontId="40" fillId="108" borderId="48" applyNumberFormat="0" applyProtection="0">
      <alignment vertical="center"/>
    </xf>
    <xf numFmtId="4" fontId="40" fillId="108" borderId="46" applyNumberFormat="0" applyProtection="0">
      <alignment vertical="center"/>
    </xf>
    <xf numFmtId="4" fontId="90" fillId="108" borderId="48" applyNumberFormat="0" applyProtection="0">
      <alignment vertical="center"/>
    </xf>
    <xf numFmtId="4" fontId="90" fillId="108" borderId="48" applyNumberFormat="0" applyProtection="0">
      <alignment vertical="center"/>
    </xf>
    <xf numFmtId="4" fontId="90" fillId="108" borderId="46" applyNumberFormat="0" applyProtection="0">
      <alignment vertical="center"/>
    </xf>
    <xf numFmtId="4" fontId="40" fillId="108" borderId="48" applyNumberFormat="0" applyProtection="0">
      <alignment horizontal="left" vertical="center" indent="1"/>
    </xf>
    <xf numFmtId="4" fontId="40" fillId="108" borderId="48" applyNumberFormat="0" applyProtection="0">
      <alignment horizontal="left" vertical="center" indent="1"/>
    </xf>
    <xf numFmtId="4" fontId="40" fillId="108" borderId="46" applyNumberFormat="0" applyProtection="0">
      <alignment horizontal="left" vertical="center" indent="1"/>
    </xf>
    <xf numFmtId="0" fontId="40" fillId="108" borderId="48" applyNumberFormat="0" applyProtection="0">
      <alignment horizontal="left" vertical="top" indent="1"/>
    </xf>
    <xf numFmtId="0" fontId="40" fillId="108" borderId="48" applyNumberFormat="0" applyProtection="0">
      <alignment horizontal="left" vertical="top" indent="1"/>
    </xf>
    <xf numFmtId="4" fontId="40" fillId="108" borderId="46" applyNumberFormat="0" applyProtection="0">
      <alignment horizontal="left" vertical="center" indent="1"/>
    </xf>
    <xf numFmtId="4" fontId="40" fillId="102" borderId="48" applyNumberFormat="0" applyProtection="0">
      <alignment horizontal="right" vertical="center"/>
    </xf>
    <xf numFmtId="4" fontId="40" fillId="102" borderId="48" applyNumberFormat="0" applyProtection="0">
      <alignment horizontal="right" vertical="center"/>
    </xf>
    <xf numFmtId="4" fontId="40" fillId="103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2" borderId="48" applyNumberFormat="0" applyProtection="0">
      <alignment horizontal="right" vertical="center"/>
    </xf>
    <xf numFmtId="4" fontId="90" fillId="102" borderId="48" applyNumberFormat="0" applyProtection="0">
      <alignment horizontal="right" vertical="center"/>
    </xf>
    <xf numFmtId="4" fontId="90" fillId="103" borderId="46" applyNumberFormat="0" applyProtection="0">
      <alignment horizontal="right" vertical="center"/>
    </xf>
    <xf numFmtId="4" fontId="40" fillId="35" borderId="48" applyNumberFormat="0" applyProtection="0">
      <alignment horizontal="left" vertical="center" indent="1"/>
    </xf>
    <xf numFmtId="4" fontId="40" fillId="35" borderId="48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4" fontId="62" fillId="54" borderId="49" applyNumberFormat="0" applyProtection="0">
      <alignment horizontal="left" vertical="center" indent="1"/>
    </xf>
    <xf numFmtId="0" fontId="40" fillId="87" borderId="48" applyNumberFormat="0" applyProtection="0">
      <alignment horizontal="left" vertical="top" indent="1"/>
    </xf>
    <xf numFmtId="0" fontId="40" fillId="87" borderId="48" applyNumberFormat="0" applyProtection="0">
      <alignment horizontal="left" vertical="top" indent="1"/>
    </xf>
    <xf numFmtId="0" fontId="3" fillId="89" borderId="46" applyNumberFormat="0" applyProtection="0">
      <alignment horizontal="left" vertical="center" indent="1"/>
    </xf>
    <xf numFmtId="4" fontId="92" fillId="109" borderId="0" applyNumberFormat="0" applyProtection="0">
      <alignment horizontal="left" vertical="center" indent="1"/>
    </xf>
    <xf numFmtId="4" fontId="92" fillId="109" borderId="0" applyNumberFormat="0" applyProtection="0">
      <alignment horizontal="left" vertical="center" indent="1"/>
    </xf>
    <xf numFmtId="0" fontId="93" fillId="0" borderId="0"/>
    <xf numFmtId="0" fontId="62" fillId="110" borderId="2"/>
    <xf numFmtId="4" fontId="94" fillId="102" borderId="48" applyNumberFormat="0" applyProtection="0">
      <alignment horizontal="right" vertical="center"/>
    </xf>
    <xf numFmtId="4" fontId="94" fillId="102" borderId="48" applyNumberFormat="0" applyProtection="0">
      <alignment horizontal="right" vertical="center"/>
    </xf>
    <xf numFmtId="4" fontId="94" fillId="103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1" borderId="53" applyNumberFormat="0" applyAlignment="0" applyProtection="0">
      <alignment horizontal="left" vertical="center" indent="1"/>
    </xf>
    <xf numFmtId="0" fontId="98" fillId="112" borderId="55" applyNumberFormat="0" applyAlignment="0" applyProtection="0">
      <alignment horizontal="left" vertical="center" indent="1"/>
    </xf>
    <xf numFmtId="0" fontId="98" fillId="112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2" borderId="55" applyNumberFormat="0" applyAlignment="0" applyProtection="0">
      <alignment horizontal="left" vertical="center" indent="1"/>
    </xf>
    <xf numFmtId="0" fontId="99" fillId="112" borderId="55" applyNumberFormat="0" applyAlignment="0" applyProtection="0">
      <alignment horizontal="left" vertical="center" indent="1"/>
    </xf>
    <xf numFmtId="190" fontId="100" fillId="113" borderId="54" applyNumberFormat="0" applyBorder="0" applyProtection="0">
      <alignment horizontal="right" vertical="center"/>
    </xf>
    <xf numFmtId="190" fontId="101" fillId="113" borderId="55" applyNumberFormat="0" applyBorder="0" applyProtection="0">
      <alignment horizontal="right" vertical="center"/>
    </xf>
    <xf numFmtId="0" fontId="99" fillId="114" borderId="55" applyNumberFormat="0" applyAlignment="0" applyProtection="0">
      <alignment horizontal="left" vertical="center" indent="1"/>
    </xf>
    <xf numFmtId="190" fontId="101" fillId="114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5" borderId="57" applyNumberFormat="0" applyBorder="0" applyAlignment="0" applyProtection="0">
      <alignment horizontal="right" vertical="center" indent="1"/>
    </xf>
    <xf numFmtId="190" fontId="104" fillId="116" borderId="57" applyNumberFormat="0" applyBorder="0" applyAlignment="0" applyProtection="0">
      <alignment horizontal="right" vertical="center" indent="1"/>
    </xf>
    <xf numFmtId="190" fontId="104" fillId="117" borderId="57" applyNumberFormat="0" applyBorder="0" applyAlignment="0" applyProtection="0">
      <alignment horizontal="right" vertical="center" indent="1"/>
    </xf>
    <xf numFmtId="190" fontId="105" fillId="118" borderId="57" applyNumberFormat="0" applyBorder="0" applyAlignment="0" applyProtection="0">
      <alignment horizontal="right" vertical="center" indent="1"/>
    </xf>
    <xf numFmtId="190" fontId="105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6" fillId="121" borderId="57" applyNumberFormat="0" applyBorder="0" applyAlignment="0" applyProtection="0">
      <alignment horizontal="right" vertical="center" indent="1"/>
    </xf>
    <xf numFmtId="190" fontId="106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0" fontId="98" fillId="124" borderId="53" applyNumberFormat="0" applyAlignment="0" applyProtection="0">
      <alignment horizontal="left" vertical="center" indent="1"/>
    </xf>
    <xf numFmtId="0" fontId="98" fillId="125" borderId="53" applyNumberFormat="0" applyAlignment="0" applyProtection="0">
      <alignment horizontal="lef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190" fontId="96" fillId="113" borderId="54" applyNumberFormat="0" applyBorder="0" applyProtection="0">
      <alignment horizontal="right" vertical="center"/>
    </xf>
    <xf numFmtId="190" fontId="97" fillId="113" borderId="55" applyNumberFormat="0" applyBorder="0" applyProtection="0">
      <alignment horizontal="right" vertical="center"/>
    </xf>
    <xf numFmtId="190" fontId="96" fillId="127" borderId="53" applyNumberFormat="0" applyAlignment="0" applyProtection="0">
      <alignment horizontal="left" vertical="center" indent="1"/>
    </xf>
    <xf numFmtId="0" fontId="97" fillId="111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190" fontId="97" fillId="114" borderId="55" applyNumberFormat="0" applyProtection="0">
      <alignment horizontal="right" vertical="center"/>
    </xf>
    <xf numFmtId="39" fontId="3" fillId="128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29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3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3" borderId="0">
      <alignment horizontal="left" vertical="center"/>
    </xf>
    <xf numFmtId="0" fontId="4" fillId="83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  <xf numFmtId="44" fontId="16" fillId="0" borderId="0" applyFont="0" applyFill="0" applyBorder="0" applyAlignment="0" applyProtection="0"/>
    <xf numFmtId="39" fontId="58" fillId="0" borderId="0"/>
  </cellStyleXfs>
  <cellXfs count="304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41" fontId="8" fillId="0" borderId="9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0" fillId="0" borderId="0" xfId="0" applyNumberFormat="1" applyFill="1" applyBorder="1" applyAlignment="1">
      <alignment horizontal="left"/>
    </xf>
    <xf numFmtId="43" fontId="0" fillId="0" borderId="0" xfId="0" applyNumberFormat="1"/>
    <xf numFmtId="165" fontId="8" fillId="0" borderId="4" xfId="0" applyNumberFormat="1" applyFont="1" applyFill="1" applyBorder="1" applyAlignment="1">
      <alignment horizontal="center"/>
    </xf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0" borderId="2" xfId="0" applyNumberFormat="1" applyFont="1" applyFill="1" applyBorder="1" applyAlignment="1">
      <alignment horizontal="left"/>
    </xf>
    <xf numFmtId="41" fontId="7" fillId="130" borderId="2" xfId="1" applyNumberFormat="1" applyFont="1" applyFill="1" applyBorder="1"/>
    <xf numFmtId="37" fontId="7" fillId="130" borderId="0" xfId="0" applyNumberFormat="1" applyFont="1" applyFill="1" applyBorder="1" applyAlignment="1">
      <alignment horizontal="left"/>
    </xf>
    <xf numFmtId="41" fontId="7" fillId="130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32" fillId="0" borderId="0" xfId="9384" applyNumberFormat="1" applyAlignment="1"/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0" fontId="7" fillId="0" borderId="0" xfId="9384" applyNumberFormat="1" applyFont="1" applyFill="1" applyBorder="1" applyAlignment="1"/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" fontId="116" fillId="0" borderId="0" xfId="0" applyNumberFormat="1" applyFont="1" applyFill="1"/>
    <xf numFmtId="10" fontId="8" fillId="0" borderId="3" xfId="9384" applyNumberFormat="1" applyFont="1" applyFill="1" applyBorder="1" applyAlignment="1"/>
    <xf numFmtId="42" fontId="7" fillId="0" borderId="63" xfId="9384" applyNumberFormat="1" applyFont="1" applyFill="1" applyBorder="1" applyAlignment="1"/>
    <xf numFmtId="165" fontId="117" fillId="0" borderId="0" xfId="9384" applyNumberFormat="1" applyFont="1" applyFill="1" applyAlignment="1"/>
    <xf numFmtId="10" fontId="7" fillId="0" borderId="4" xfId="9384" applyNumberFormat="1" applyFont="1" applyFill="1" applyBorder="1" applyAlignment="1"/>
    <xf numFmtId="171" fontId="7" fillId="0" borderId="63" xfId="9384" applyNumberFormat="1" applyFont="1" applyFill="1" applyBorder="1" applyAlignment="1"/>
    <xf numFmtId="41" fontId="6" fillId="0" borderId="11" xfId="1" applyNumberFormat="1" applyFont="1" applyFill="1" applyBorder="1" applyAlignment="1">
      <alignment horizontal="center"/>
    </xf>
    <xf numFmtId="171" fontId="1" fillId="0" borderId="3" xfId="12037" applyNumberFormat="1" applyFont="1" applyBorder="1"/>
    <xf numFmtId="49" fontId="6" fillId="0" borderId="11" xfId="0" applyNumberFormat="1" applyFont="1" applyFill="1" applyBorder="1" applyAlignment="1">
      <alignment horizontal="left"/>
    </xf>
    <xf numFmtId="37" fontId="8" fillId="131" borderId="66" xfId="0" applyNumberFormat="1" applyFont="1" applyFill="1" applyBorder="1" applyAlignment="1">
      <alignment horizontal="centerContinuous"/>
    </xf>
    <xf numFmtId="41" fontId="7" fillId="131" borderId="67" xfId="1" applyNumberFormat="1" applyFont="1" applyFill="1" applyBorder="1" applyAlignment="1">
      <alignment horizontal="centerContinuous"/>
    </xf>
    <xf numFmtId="4" fontId="116" fillId="0" borderId="4" xfId="0" applyNumberFormat="1" applyFont="1" applyFill="1" applyBorder="1"/>
    <xf numFmtId="4" fontId="116" fillId="131" borderId="0" xfId="0" applyNumberFormat="1" applyFont="1" applyFill="1"/>
    <xf numFmtId="0" fontId="115" fillId="0" borderId="0" xfId="0" applyFont="1" applyFill="1" applyBorder="1"/>
    <xf numFmtId="4" fontId="14" fillId="0" borderId="0" xfId="0" applyNumberFormat="1" applyFont="1" applyFill="1" applyBorder="1"/>
    <xf numFmtId="0" fontId="115" fillId="0" borderId="4" xfId="0" applyFont="1" applyFill="1" applyBorder="1"/>
    <xf numFmtId="0" fontId="14" fillId="0" borderId="4" xfId="0" applyFont="1" applyFill="1" applyBorder="1"/>
    <xf numFmtId="4" fontId="14" fillId="0" borderId="4" xfId="0" applyNumberFormat="1" applyFont="1" applyFill="1" applyBorder="1"/>
    <xf numFmtId="42" fontId="13" fillId="132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 vertical="center"/>
    </xf>
    <xf numFmtId="39" fontId="6" fillId="0" borderId="0" xfId="12038" applyFont="1" applyFill="1" applyAlignment="1" applyProtection="1">
      <alignment horizontal="centerContinuous" vertical="center"/>
    </xf>
    <xf numFmtId="0" fontId="3" fillId="0" borderId="4" xfId="12038" quotePrefix="1" applyNumberFormat="1" applyFont="1" applyFill="1" applyBorder="1" applyAlignment="1" applyProtection="1">
      <alignment horizontal="center"/>
    </xf>
    <xf numFmtId="44" fontId="3" fillId="0" borderId="0" xfId="0" applyNumberFormat="1" applyFont="1" applyFill="1" applyAlignment="1" applyProtection="1">
      <alignment horizontal="right"/>
    </xf>
    <xf numFmtId="169" fontId="3" fillId="0" borderId="0" xfId="0" applyNumberFormat="1" applyFont="1" applyFill="1" applyAlignment="1" applyProtection="1"/>
    <xf numFmtId="43" fontId="3" fillId="0" borderId="0" xfId="0" applyNumberFormat="1" applyFont="1" applyFill="1" applyAlignment="1" applyProtection="1">
      <alignment horizontal="right"/>
    </xf>
    <xf numFmtId="43" fontId="3" fillId="0" borderId="4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/>
    <xf numFmtId="0" fontId="118" fillId="0" borderId="0" xfId="0" applyFont="1" applyFill="1"/>
    <xf numFmtId="44" fontId="3" fillId="0" borderId="17" xfId="0" applyNumberFormat="1" applyFont="1" applyFill="1" applyBorder="1" applyAlignment="1" applyProtection="1"/>
    <xf numFmtId="173" fontId="3" fillId="0" borderId="17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3" fontId="3" fillId="0" borderId="0" xfId="0" applyNumberFormat="1" applyFont="1" applyFill="1" applyBorder="1" applyAlignment="1" applyProtection="1">
      <alignment horizontal="right"/>
    </xf>
    <xf numFmtId="44" fontId="3" fillId="0" borderId="14" xfId="0" applyNumberFormat="1" applyFont="1" applyFill="1" applyBorder="1" applyAlignment="1" applyProtection="1"/>
    <xf numFmtId="169" fontId="3" fillId="0" borderId="0" xfId="0" applyNumberFormat="1" applyFont="1" applyFill="1" applyBorder="1" applyAlignment="1" applyProtection="1"/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/>
    <xf numFmtId="49" fontId="15" fillId="0" borderId="8" xfId="0" applyNumberFormat="1" applyFont="1" applyFill="1" applyBorder="1" applyAlignment="1">
      <alignment horizontal="left" indent="1"/>
    </xf>
    <xf numFmtId="174" fontId="15" fillId="0" borderId="8" xfId="0" applyNumberFormat="1" applyFont="1" applyFill="1" applyBorder="1"/>
    <xf numFmtId="49" fontId="15" fillId="0" borderId="8" xfId="0" applyNumberFormat="1" applyFont="1" applyFill="1" applyBorder="1" applyAlignment="1">
      <alignment horizontal="left"/>
    </xf>
    <xf numFmtId="43" fontId="15" fillId="0" borderId="0" xfId="2" applyFont="1" applyFill="1"/>
    <xf numFmtId="43" fontId="0" fillId="0" borderId="0" xfId="2" applyFont="1" applyFill="1"/>
    <xf numFmtId="49" fontId="15" fillId="0" borderId="0" xfId="0" applyNumberFormat="1" applyFont="1" applyFill="1" applyBorder="1" applyAlignment="1">
      <alignment horizontal="left"/>
    </xf>
    <xf numFmtId="10" fontId="0" fillId="0" borderId="0" xfId="3" applyNumberFormat="1" applyFont="1" applyFill="1"/>
    <xf numFmtId="44" fontId="0" fillId="0" borderId="3" xfId="0" applyNumberFormat="1" applyFill="1" applyBorder="1"/>
    <xf numFmtId="39" fontId="31" fillId="0" borderId="0" xfId="0" applyNumberFormat="1" applyFont="1" applyFill="1"/>
    <xf numFmtId="39" fontId="0" fillId="0" borderId="0" xfId="0" applyNumberFormat="1" applyFill="1"/>
    <xf numFmtId="0" fontId="32" fillId="0" borderId="0" xfId="9384" applyNumberFormat="1" applyFill="1" applyAlignment="1"/>
    <xf numFmtId="165" fontId="32" fillId="0" borderId="0" xfId="9384" applyNumberFormat="1" applyFill="1" applyAlignment="1"/>
  </cellXfs>
  <cellStyles count="12039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" xfId="12037" builtinId="4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rmal_Monthly" xfId="12038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99</xdr:row>
      <xdr:rowOff>0</xdr:rowOff>
    </xdr:from>
    <xdr:to>
      <xdr:col>13</xdr:col>
      <xdr:colOff>320353</xdr:colOff>
      <xdr:row>114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13</xdr:col>
      <xdr:colOff>335595</xdr:colOff>
      <xdr:row>128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13</xdr:col>
      <xdr:colOff>312733</xdr:colOff>
      <xdr:row>143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13</xdr:col>
      <xdr:colOff>343215</xdr:colOff>
      <xdr:row>158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81</xdr:row>
      <xdr:rowOff>1</xdr:rowOff>
    </xdr:from>
    <xdr:to>
      <xdr:col>14</xdr:col>
      <xdr:colOff>152401</xdr:colOff>
      <xdr:row>96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81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7</xdr:col>
      <xdr:colOff>409270</xdr:colOff>
      <xdr:row>59</xdr:row>
      <xdr:rowOff>30480</xdr:rowOff>
    </xdr:from>
    <xdr:to>
      <xdr:col>14</xdr:col>
      <xdr:colOff>399052</xdr:colOff>
      <xdr:row>70</xdr:row>
      <xdr:rowOff>159544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4170" y="4053840"/>
          <a:ext cx="4500822" cy="21483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535094</xdr:colOff>
      <xdr:row>34</xdr:row>
      <xdr:rowOff>119053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47360" y="548640"/>
          <a:ext cx="5046134" cy="231361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</xdr:row>
      <xdr:rowOff>15240</xdr:rowOff>
    </xdr:from>
    <xdr:to>
      <xdr:col>8</xdr:col>
      <xdr:colOff>732366</xdr:colOff>
      <xdr:row>22</xdr:row>
      <xdr:rowOff>59081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13020" y="388620"/>
          <a:ext cx="6104466" cy="3731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752298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876473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topside"/>
    </sheetNames>
    <sheetDataSet>
      <sheetData sheetId="0"/>
      <sheetData sheetId="1">
        <row r="9">
          <cell r="B9">
            <v>2508927601.7400002</v>
          </cell>
        </row>
        <row r="12">
          <cell r="C12">
            <v>3638584.55</v>
          </cell>
        </row>
        <row r="13">
          <cell r="C13">
            <v>1209636227.7199998</v>
          </cell>
        </row>
      </sheetData>
      <sheetData sheetId="2">
        <row r="29">
          <cell r="G29">
            <v>-1091.73</v>
          </cell>
        </row>
      </sheetData>
      <sheetData sheetId="3"/>
      <sheetData sheetId="4"/>
      <sheetData sheetId="5"/>
      <sheetData sheetId="6">
        <row r="70">
          <cell r="F70">
            <v>0.65659999999999996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  <cell r="F8">
            <v>869532</v>
          </cell>
        </row>
        <row r="11">
          <cell r="E11">
            <v>835289</v>
          </cell>
          <cell r="F11">
            <v>496951</v>
          </cell>
        </row>
        <row r="15">
          <cell r="E15">
            <v>4833676000</v>
          </cell>
          <cell r="F15">
            <v>4649465704</v>
          </cell>
        </row>
        <row r="16">
          <cell r="E16">
            <v>1693273969</v>
          </cell>
          <cell r="F16">
            <v>0</v>
          </cell>
        </row>
        <row r="17">
          <cell r="E17">
            <v>248197053</v>
          </cell>
          <cell r="F17">
            <v>41394313</v>
          </cell>
        </row>
        <row r="25">
          <cell r="E25">
            <v>68062508.599999994</v>
          </cell>
          <cell r="F25">
            <v>27795573.469999999</v>
          </cell>
        </row>
        <row r="28">
          <cell r="E28">
            <v>84084959.75</v>
          </cell>
          <cell r="F28">
            <v>38200040.449999996</v>
          </cell>
        </row>
        <row r="31">
          <cell r="E31">
            <v>5725102400.3987532</v>
          </cell>
          <cell r="F31">
            <v>3128739933.8720841</v>
          </cell>
        </row>
        <row r="38">
          <cell r="E38">
            <v>77576972.299999997</v>
          </cell>
          <cell r="F38">
            <v>29025102.619999997</v>
          </cell>
        </row>
        <row r="43">
          <cell r="F43">
            <v>163681478.09</v>
          </cell>
        </row>
        <row r="44">
          <cell r="F44">
            <v>2403018.8499999992</v>
          </cell>
        </row>
        <row r="45">
          <cell r="F45">
            <v>177893049.86000004</v>
          </cell>
        </row>
      </sheetData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0.47584930938870212</v>
          </cell>
        </row>
        <row r="16">
          <cell r="G16">
            <v>668354.53</v>
          </cell>
          <cell r="H16">
            <v>6.9859758939358734E-3</v>
          </cell>
        </row>
        <row r="17">
          <cell r="G17">
            <v>164213738.74000001</v>
          </cell>
          <cell r="H17">
            <v>0.51716471471736192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6">
        <row r="1799">
          <cell r="D1799">
            <v>826158</v>
          </cell>
          <cell r="E1799">
            <v>491617</v>
          </cell>
        </row>
      </sheetData>
      <sheetData sheetId="7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8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>
        <row r="8">
          <cell r="B8">
            <v>79180132.569999993</v>
          </cell>
          <cell r="C8">
            <v>37224993.450000018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J14" sqref="J14"/>
    </sheetView>
  </sheetViews>
  <sheetFormatPr defaultRowHeight="14.4"/>
  <cols>
    <col min="2" max="2" width="36.33203125" customWidth="1"/>
    <col min="3" max="3" width="14.6640625" bestFit="1" customWidth="1"/>
    <col min="4" max="4" width="16.44140625" bestFit="1" customWidth="1"/>
    <col min="5" max="5" width="14.664062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0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236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1" t="s">
        <v>99</v>
      </c>
      <c r="D13" s="131" t="s">
        <v>100</v>
      </c>
      <c r="E13" s="131" t="s">
        <v>100</v>
      </c>
      <c r="F13" s="131" t="s">
        <v>100</v>
      </c>
      <c r="G13" s="29"/>
      <c r="H13" s="16"/>
      <c r="I13" s="16"/>
    </row>
    <row r="14" spans="1:9">
      <c r="A14" s="30">
        <v>1</v>
      </c>
      <c r="B14" s="128" t="str">
        <f>'3-YR AVERAGE-GAS'!A14</f>
        <v>12 ME 12/01/2019 AND 8/31/2019</v>
      </c>
      <c r="C14" s="32">
        <f>'3-YR AVERAGE-GAS'!B14</f>
        <v>2799841.3412500005</v>
      </c>
      <c r="D14" s="106">
        <f>'3-YR AVERAGE-GAS'!C14</f>
        <v>818021856.11000013</v>
      </c>
      <c r="E14" s="106">
        <f>'3-YR AVERAGE-GAS'!D14</f>
        <v>16532125.48</v>
      </c>
      <c r="F14" s="106">
        <f>'3-YR AVERAGE-GAS'!E14</f>
        <v>801489730.63000011</v>
      </c>
      <c r="G14" s="34">
        <f>ROUND(C14/F14,6)</f>
        <v>3.493E-3</v>
      </c>
      <c r="H14" s="16"/>
      <c r="I14" s="16"/>
    </row>
    <row r="15" spans="1:9">
      <c r="A15" s="30">
        <v>2</v>
      </c>
      <c r="B15" s="128" t="str">
        <f>'3-YR AVERAGE-GAS'!A15</f>
        <v>12 ME 12/01/2020 AND 8/31/2020</v>
      </c>
      <c r="C15" s="106">
        <f>'3-YR AVERAGE-GAS'!B15</f>
        <v>2284939.7383418316</v>
      </c>
      <c r="D15" s="106">
        <f>'3-YR AVERAGE-GAS'!C15</f>
        <v>969590918.08999991</v>
      </c>
      <c r="E15" s="106">
        <f>'3-YR AVERAGE-GAS'!D15</f>
        <v>17618700.510000002</v>
      </c>
      <c r="F15" s="106">
        <f>'3-YR AVERAGE-GAS'!E15</f>
        <v>951972217.57999992</v>
      </c>
      <c r="G15" s="107">
        <f t="shared" ref="G15:G16" si="0">ROUND(C15/F15,6)</f>
        <v>2.3999999999999998E-3</v>
      </c>
      <c r="H15" s="16"/>
      <c r="I15" s="16"/>
    </row>
    <row r="16" spans="1:9">
      <c r="A16" s="30">
        <v>3</v>
      </c>
      <c r="B16" s="128" t="str">
        <f>'3-YR AVERAGE-GAS'!A17</f>
        <v>12 ME 12/01/2022 AND 8/31/2022</v>
      </c>
      <c r="C16" s="106">
        <f>'3-YR AVERAGE-GAS'!B17</f>
        <v>2641960.2282890007</v>
      </c>
      <c r="D16" s="106">
        <f>'3-YR AVERAGE-GAS'!C17</f>
        <v>1141789837.8799999</v>
      </c>
      <c r="E16" s="106">
        <f>'3-YR AVERAGE-GAS'!D17</f>
        <v>15232684.039999999</v>
      </c>
      <c r="F16" s="106">
        <f>'3-YR AVERAGE-GAS'!E17</f>
        <v>1126557153.8399999</v>
      </c>
      <c r="G16" s="107">
        <f t="shared" si="0"/>
        <v>2.3449999999999999E-3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19">
        <f>ROUND(SUM(G14:G16)/3,6)</f>
        <v>2.7460000000000002E-3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273">
        <f>'[2]Allocated (CBR)'!$C$13</f>
        <v>1209636227.7199998</v>
      </c>
      <c r="E20" s="273">
        <f>'[2]Allocated (CBR)'!$C$12</f>
        <v>3638584.55</v>
      </c>
      <c r="F20" s="273">
        <f>D20-E20</f>
        <v>1205997643.1699998</v>
      </c>
      <c r="G20" s="38"/>
      <c r="H20" s="19"/>
      <c r="I20" s="19"/>
    </row>
    <row r="21" spans="1:9">
      <c r="A21" s="30">
        <v>8</v>
      </c>
      <c r="B21" s="116"/>
      <c r="C21" s="37"/>
      <c r="D21" s="33"/>
      <c r="E21" s="60"/>
      <c r="F21" s="120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1205997643.1699998</v>
      </c>
      <c r="G22" s="41"/>
      <c r="H22" s="19"/>
      <c r="I22" s="19"/>
    </row>
    <row r="23" spans="1:9" s="114" customFormat="1">
      <c r="A23" s="115"/>
      <c r="B23" s="61"/>
      <c r="C23" s="117"/>
      <c r="D23" s="118"/>
      <c r="E23" s="117"/>
      <c r="F23" s="117"/>
      <c r="G23" s="118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2.7460000000000002E-3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3311669.5281448197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4543695.7082890002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-1232026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1232026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258725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973301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activeCell="M33" sqref="M33"/>
    </sheetView>
  </sheetViews>
  <sheetFormatPr defaultColWidth="7.33203125" defaultRowHeight="15" customHeight="1"/>
  <cols>
    <col min="1" max="1" width="6.5546875" style="182" customWidth="1"/>
    <col min="2" max="2" width="1.5546875" style="182" customWidth="1"/>
    <col min="3" max="3" width="45" style="182" bestFit="1" customWidth="1"/>
    <col min="4" max="4" width="9.88671875" style="183" bestFit="1" customWidth="1"/>
    <col min="5" max="5" width="14.6640625" style="182" bestFit="1" customWidth="1"/>
    <col min="6" max="6" width="14.5546875" style="182" bestFit="1" customWidth="1"/>
    <col min="7" max="7" width="14.33203125" style="182" bestFit="1" customWidth="1"/>
    <col min="8" max="8" width="9.44140625" style="182" customWidth="1"/>
    <col min="9" max="16384" width="7.33203125" style="182"/>
  </cols>
  <sheetData>
    <row r="1" spans="1:8" ht="15" customHeight="1">
      <c r="G1" s="184"/>
    </row>
    <row r="2" spans="1:8" ht="14.25" customHeight="1">
      <c r="A2" s="185" t="s">
        <v>178</v>
      </c>
      <c r="B2" s="185"/>
      <c r="C2" s="185"/>
      <c r="D2" s="185"/>
      <c r="E2" s="185"/>
      <c r="F2" s="185"/>
      <c r="G2" s="185"/>
    </row>
    <row r="3" spans="1:8" ht="15" customHeight="1">
      <c r="A3" s="274" t="s">
        <v>235</v>
      </c>
      <c r="B3" s="185"/>
      <c r="C3" s="185"/>
      <c r="D3" s="185"/>
      <c r="E3" s="185"/>
      <c r="F3" s="185"/>
      <c r="G3" s="185"/>
    </row>
    <row r="4" spans="1:8" ht="15" customHeight="1">
      <c r="A4" s="185" t="s">
        <v>179</v>
      </c>
      <c r="B4" s="185"/>
      <c r="C4" s="185"/>
      <c r="D4" s="185"/>
      <c r="E4" s="185"/>
      <c r="F4" s="185"/>
      <c r="G4" s="185"/>
    </row>
    <row r="5" spans="1:8" s="186" customFormat="1" ht="15" customHeight="1">
      <c r="C5" s="187"/>
      <c r="D5" s="187"/>
    </row>
    <row r="6" spans="1:8" s="186" customFormat="1" ht="15" customHeight="1">
      <c r="A6" s="188" t="s">
        <v>180</v>
      </c>
      <c r="B6" s="188"/>
      <c r="C6" s="188" t="s">
        <v>181</v>
      </c>
      <c r="D6" s="188"/>
      <c r="E6" s="188" t="s">
        <v>160</v>
      </c>
      <c r="F6" s="188" t="s">
        <v>161</v>
      </c>
      <c r="G6" s="188" t="s">
        <v>169</v>
      </c>
    </row>
    <row r="7" spans="1:8" s="186" customFormat="1" ht="29.25" customHeight="1">
      <c r="D7" s="189"/>
    </row>
    <row r="8" spans="1:8" s="186" customFormat="1" ht="15" customHeight="1">
      <c r="A8" s="190">
        <v>1</v>
      </c>
      <c r="B8" s="190" t="s">
        <v>182</v>
      </c>
      <c r="C8" s="191" t="s">
        <v>183</v>
      </c>
      <c r="D8" s="192">
        <v>43830</v>
      </c>
      <c r="E8" s="173">
        <v>1165699</v>
      </c>
      <c r="F8" s="173">
        <v>841427</v>
      </c>
      <c r="G8" s="173">
        <f>SUM(E8:F8)</f>
        <v>2007126</v>
      </c>
      <c r="H8" s="193"/>
    </row>
    <row r="9" spans="1:8" s="186" customFormat="1" ht="18.899999999999999" customHeight="1" thickBot="1">
      <c r="B9" s="187"/>
      <c r="C9" s="194" t="s">
        <v>184</v>
      </c>
      <c r="D9" s="187"/>
      <c r="E9" s="195">
        <f>ROUND(+E8/G8,4)</f>
        <v>0.58079999999999998</v>
      </c>
      <c r="F9" s="195">
        <f>ROUND(+F8/G8,4)</f>
        <v>0.41920000000000002</v>
      </c>
      <c r="G9" s="196">
        <f>SUM(E9:F9)</f>
        <v>1</v>
      </c>
      <c r="H9" s="197"/>
    </row>
    <row r="10" spans="1:8" s="186" customFormat="1" ht="15" customHeight="1" thickTop="1">
      <c r="A10" s="187"/>
      <c r="B10" s="187"/>
      <c r="D10" s="192"/>
    </row>
    <row r="11" spans="1:8" s="186" customFormat="1" ht="15" customHeight="1">
      <c r="A11" s="190">
        <v>2</v>
      </c>
      <c r="B11" s="190" t="s">
        <v>182</v>
      </c>
      <c r="C11" s="191" t="s">
        <v>185</v>
      </c>
      <c r="D11" s="192">
        <v>43830</v>
      </c>
      <c r="E11" s="173">
        <v>801558</v>
      </c>
      <c r="F11" s="173">
        <v>478801</v>
      </c>
      <c r="G11" s="174">
        <f>SUM(E11:F11)</f>
        <v>1280359</v>
      </c>
      <c r="H11" s="198"/>
    </row>
    <row r="12" spans="1:8" s="186" customFormat="1" ht="18.899999999999999" customHeight="1" thickBot="1">
      <c r="B12" s="187"/>
      <c r="C12" s="194" t="s">
        <v>184</v>
      </c>
      <c r="D12" s="189"/>
      <c r="E12" s="195">
        <f>ROUND(+E11/G11,4)</f>
        <v>0.626</v>
      </c>
      <c r="F12" s="195">
        <f>ROUND(+F11/G11,4)</f>
        <v>0.374</v>
      </c>
      <c r="G12" s="196">
        <f>SUM(E12:F12)</f>
        <v>1</v>
      </c>
      <c r="H12" s="197"/>
    </row>
    <row r="13" spans="1:8" s="186" customFormat="1" ht="15" customHeight="1" thickTop="1">
      <c r="A13" s="187"/>
      <c r="B13" s="187"/>
      <c r="D13" s="189"/>
    </row>
    <row r="14" spans="1:8" s="186" customFormat="1" ht="15" customHeight="1">
      <c r="A14" s="190">
        <v>3</v>
      </c>
      <c r="B14" s="190" t="s">
        <v>182</v>
      </c>
      <c r="C14" s="191" t="s">
        <v>186</v>
      </c>
      <c r="D14" s="189"/>
    </row>
    <row r="15" spans="1:8" s="186" customFormat="1" ht="15" customHeight="1">
      <c r="A15" s="187"/>
      <c r="B15" s="187"/>
      <c r="C15" s="199" t="s">
        <v>187</v>
      </c>
      <c r="D15" s="192">
        <v>43830</v>
      </c>
      <c r="E15" s="200">
        <v>4166559339</v>
      </c>
      <c r="F15" s="200">
        <v>3952014250</v>
      </c>
      <c r="G15" s="176">
        <f>SUM(E15:F15)</f>
        <v>8118573589</v>
      </c>
      <c r="H15" s="201"/>
    </row>
    <row r="16" spans="1:8" s="186" customFormat="1" ht="15" customHeight="1">
      <c r="A16" s="187"/>
      <c r="B16" s="187"/>
      <c r="C16" s="199" t="s">
        <v>188</v>
      </c>
      <c r="D16" s="192">
        <v>43830</v>
      </c>
      <c r="E16" s="200">
        <v>1610794348</v>
      </c>
      <c r="F16" s="200">
        <v>0</v>
      </c>
      <c r="G16" s="175">
        <f>SUM(E16:F16)</f>
        <v>1610794348</v>
      </c>
      <c r="H16" s="201"/>
    </row>
    <row r="17" spans="1:8" s="186" customFormat="1" ht="15" customHeight="1">
      <c r="A17" s="187"/>
      <c r="B17" s="187"/>
      <c r="C17" s="199" t="s">
        <v>189</v>
      </c>
      <c r="D17" s="192">
        <v>43830</v>
      </c>
      <c r="E17" s="202">
        <v>230459020</v>
      </c>
      <c r="F17" s="202">
        <v>38752321</v>
      </c>
      <c r="G17" s="175">
        <f>SUM(E17:F17)</f>
        <v>269211341</v>
      </c>
      <c r="H17" s="201"/>
    </row>
    <row r="18" spans="1:8" s="186" customFormat="1" ht="15" customHeight="1">
      <c r="A18" s="187"/>
      <c r="B18" s="187"/>
      <c r="C18" s="199" t="s">
        <v>169</v>
      </c>
      <c r="D18" s="203"/>
      <c r="E18" s="204">
        <f>SUM(E15:E17)</f>
        <v>6007812707</v>
      </c>
      <c r="F18" s="204">
        <f>SUM(F15:F17)</f>
        <v>3990766571</v>
      </c>
      <c r="G18" s="204">
        <f>SUM(G15:G17)</f>
        <v>9998579278</v>
      </c>
      <c r="H18" s="205"/>
    </row>
    <row r="19" spans="1:8" s="186" customFormat="1" ht="18.899999999999999" customHeight="1" thickBot="1">
      <c r="B19" s="187"/>
      <c r="C19" s="194" t="s">
        <v>184</v>
      </c>
      <c r="D19" s="189"/>
      <c r="E19" s="195">
        <f>ROUND(+E18/G18,4)</f>
        <v>0.60089999999999999</v>
      </c>
      <c r="F19" s="195">
        <f>ROUND(+F18/G18,4)</f>
        <v>0.39910000000000001</v>
      </c>
      <c r="G19" s="196">
        <f>SUM(E19:F19)</f>
        <v>1</v>
      </c>
      <c r="H19" s="197"/>
    </row>
    <row r="20" spans="1:8" s="186" customFormat="1" ht="15" customHeight="1" thickTop="1">
      <c r="A20" s="187"/>
      <c r="B20" s="187"/>
      <c r="D20" s="189"/>
    </row>
    <row r="21" spans="1:8" s="186" customFormat="1" ht="15" customHeight="1">
      <c r="A21" s="190">
        <v>4</v>
      </c>
      <c r="B21" s="190" t="s">
        <v>182</v>
      </c>
      <c r="C21" s="191" t="s">
        <v>190</v>
      </c>
      <c r="D21" s="189" t="s">
        <v>191</v>
      </c>
    </row>
    <row r="22" spans="1:8" s="186" customFormat="1" ht="15" customHeight="1">
      <c r="A22" s="187"/>
      <c r="B22" s="187"/>
      <c r="C22" s="199" t="s">
        <v>192</v>
      </c>
      <c r="D22" s="192">
        <v>43830</v>
      </c>
      <c r="E22" s="173">
        <f>+E8</f>
        <v>1165699</v>
      </c>
      <c r="F22" s="173">
        <f>+F8</f>
        <v>841427</v>
      </c>
      <c r="G22" s="173">
        <f>SUM(E22:F22)</f>
        <v>2007126</v>
      </c>
      <c r="H22" s="193"/>
    </row>
    <row r="23" spans="1:8" s="186" customFormat="1" ht="15" customHeight="1">
      <c r="A23" s="187"/>
      <c r="B23" s="187"/>
      <c r="C23" s="194" t="s">
        <v>193</v>
      </c>
      <c r="D23" s="187"/>
      <c r="E23" s="206">
        <f>+E22/G22</f>
        <v>0.58078018021788369</v>
      </c>
      <c r="F23" s="206">
        <f>+F22/G22</f>
        <v>0.41921981978211631</v>
      </c>
      <c r="G23" s="207">
        <f>SUM(E23:F23)</f>
        <v>1</v>
      </c>
      <c r="H23" s="197"/>
    </row>
    <row r="24" spans="1:8" s="186" customFormat="1" ht="15" customHeight="1">
      <c r="A24" s="187"/>
      <c r="B24" s="187"/>
      <c r="D24" s="189"/>
    </row>
    <row r="25" spans="1:8" s="186" customFormat="1" ht="15" customHeight="1">
      <c r="A25" s="187"/>
      <c r="B25" s="187"/>
      <c r="C25" s="186" t="s">
        <v>194</v>
      </c>
      <c r="D25" s="192">
        <v>43830</v>
      </c>
      <c r="E25" s="200">
        <v>57293748.480000004</v>
      </c>
      <c r="F25" s="200">
        <v>25939781.139999997</v>
      </c>
      <c r="G25" s="208">
        <f>SUM(E25:F25)</f>
        <v>83233529.620000005</v>
      </c>
      <c r="H25" s="193"/>
    </row>
    <row r="26" spans="1:8" s="186" customFormat="1" ht="15" customHeight="1">
      <c r="A26" s="187"/>
      <c r="B26" s="187"/>
      <c r="C26" s="194" t="s">
        <v>193</v>
      </c>
      <c r="D26" s="189"/>
      <c r="E26" s="206">
        <f>+E25/G25</f>
        <v>0.68834937964991716</v>
      </c>
      <c r="F26" s="206">
        <f>+F25/G25</f>
        <v>0.31165062035008284</v>
      </c>
      <c r="G26" s="207">
        <f>SUM(E26:F26)</f>
        <v>1</v>
      </c>
      <c r="H26" s="197"/>
    </row>
    <row r="27" spans="1:8" s="186" customFormat="1" ht="15" customHeight="1">
      <c r="A27" s="187"/>
      <c r="B27" s="187"/>
      <c r="D27" s="189"/>
    </row>
    <row r="28" spans="1:8" s="186" customFormat="1" ht="15" customHeight="1">
      <c r="A28" s="209"/>
      <c r="B28" s="187"/>
      <c r="C28" s="186" t="s">
        <v>195</v>
      </c>
      <c r="D28" s="192">
        <v>43830</v>
      </c>
      <c r="E28" s="200">
        <v>70896439.959999993</v>
      </c>
      <c r="F28" s="200">
        <v>32847012.400000013</v>
      </c>
      <c r="G28" s="177">
        <f>SUM(E28:F28)</f>
        <v>103743452.36000001</v>
      </c>
      <c r="H28" s="193"/>
    </row>
    <row r="29" spans="1:8" s="186" customFormat="1" ht="15" customHeight="1">
      <c r="A29" s="187"/>
      <c r="B29" s="187"/>
      <c r="C29" s="194" t="s">
        <v>193</v>
      </c>
      <c r="D29" s="210"/>
      <c r="E29" s="206">
        <f>+E28/G28</f>
        <v>0.68338230844663195</v>
      </c>
      <c r="F29" s="206">
        <f>+F28/G28</f>
        <v>0.316617691553368</v>
      </c>
      <c r="G29" s="207">
        <f>SUM(E29:F29)</f>
        <v>1</v>
      </c>
      <c r="H29" s="197"/>
    </row>
    <row r="30" spans="1:8" s="186" customFormat="1" ht="15" customHeight="1">
      <c r="A30" s="187"/>
      <c r="B30" s="187"/>
      <c r="D30" s="189"/>
    </row>
    <row r="31" spans="1:8" s="186" customFormat="1" ht="15" customHeight="1">
      <c r="A31" s="209"/>
      <c r="B31" s="187"/>
      <c r="C31" s="186" t="s">
        <v>196</v>
      </c>
      <c r="D31" s="192">
        <v>43830</v>
      </c>
      <c r="E31" s="200">
        <v>5709956719.251667</v>
      </c>
      <c r="F31" s="200">
        <v>2427713526.0904169</v>
      </c>
      <c r="G31" s="173">
        <f>SUM(E31:F31)</f>
        <v>8137670245.3420839</v>
      </c>
      <c r="H31" s="193"/>
    </row>
    <row r="32" spans="1:8" s="186" customFormat="1" ht="15" customHeight="1">
      <c r="A32" s="187"/>
      <c r="B32" s="187"/>
      <c r="C32" s="194" t="s">
        <v>193</v>
      </c>
      <c r="D32" s="189"/>
      <c r="E32" s="206">
        <f>+E31/G31</f>
        <v>0.70166970976981846</v>
      </c>
      <c r="F32" s="206">
        <f>+F31/G31</f>
        <v>0.29833029023018159</v>
      </c>
      <c r="G32" s="207">
        <f>SUM(E32:F32)</f>
        <v>1</v>
      </c>
      <c r="H32" s="197"/>
    </row>
    <row r="33" spans="1:9" s="186" customFormat="1" ht="15" customHeight="1">
      <c r="A33" s="187"/>
      <c r="D33" s="189"/>
      <c r="E33" s="211"/>
      <c r="F33" s="211"/>
      <c r="G33" s="211"/>
    </row>
    <row r="34" spans="1:9" s="186" customFormat="1" ht="15" customHeight="1">
      <c r="A34" s="187"/>
      <c r="C34" s="186" t="s">
        <v>197</v>
      </c>
      <c r="D34" s="189"/>
      <c r="E34" s="212">
        <f>+E32+E29+E26+E23</f>
        <v>2.6541815780842515</v>
      </c>
      <c r="F34" s="212">
        <f>+F32+F29+F26+F23</f>
        <v>1.3458184219157487</v>
      </c>
      <c r="G34" s="212">
        <f>+G32+G29+G26+G23</f>
        <v>4</v>
      </c>
      <c r="H34" s="197"/>
    </row>
    <row r="35" spans="1:9" s="186" customFormat="1" ht="18.899999999999999" customHeight="1" thickBot="1">
      <c r="C35" s="186" t="s">
        <v>184</v>
      </c>
      <c r="D35" s="189"/>
      <c r="E35" s="195">
        <f>ROUND(+E34/4,4)</f>
        <v>0.66349999999999998</v>
      </c>
      <c r="F35" s="195">
        <f>ROUND(+F34/4,4)</f>
        <v>0.33650000000000002</v>
      </c>
      <c r="G35" s="196">
        <f>+G34/4</f>
        <v>1</v>
      </c>
      <c r="H35" s="197"/>
    </row>
    <row r="36" spans="1:9" s="186" customFormat="1" ht="15" customHeight="1" thickTop="1">
      <c r="D36" s="189"/>
    </row>
    <row r="37" spans="1:9" s="186" customFormat="1" ht="15" customHeight="1">
      <c r="A37" s="190">
        <v>5</v>
      </c>
      <c r="B37" s="190" t="s">
        <v>182</v>
      </c>
      <c r="C37" s="191" t="s">
        <v>198</v>
      </c>
      <c r="D37" s="189"/>
    </row>
    <row r="38" spans="1:9" s="186" customFormat="1" ht="15" customHeight="1">
      <c r="C38" s="194" t="s">
        <v>199</v>
      </c>
      <c r="D38" s="192">
        <v>43830</v>
      </c>
      <c r="E38" s="200">
        <v>63523701.140000001</v>
      </c>
      <c r="F38" s="200">
        <v>27457459.629999999</v>
      </c>
      <c r="G38" s="173">
        <f>SUM(E38:F38)</f>
        <v>90981160.769999996</v>
      </c>
      <c r="H38" s="193"/>
      <c r="I38" s="186" t="s">
        <v>220</v>
      </c>
    </row>
    <row r="39" spans="1:9" s="186" customFormat="1" ht="15" customHeight="1">
      <c r="C39" s="186" t="s">
        <v>169</v>
      </c>
      <c r="D39" s="189"/>
      <c r="E39" s="213">
        <f>SUM(E38:E38)</f>
        <v>63523701.140000001</v>
      </c>
      <c r="F39" s="213">
        <f>SUM(F38:F38)</f>
        <v>27457459.629999999</v>
      </c>
      <c r="G39" s="213">
        <f>SUM(G38:G38)</f>
        <v>90981160.769999996</v>
      </c>
      <c r="H39" s="208"/>
    </row>
    <row r="40" spans="1:9" s="186" customFormat="1" ht="18.899999999999999" customHeight="1" thickBot="1">
      <c r="C40" s="186" t="s">
        <v>184</v>
      </c>
      <c r="D40" s="189"/>
      <c r="E40" s="195">
        <f>ROUND(+E39/G39,4)</f>
        <v>0.69820000000000004</v>
      </c>
      <c r="F40" s="195">
        <f>ROUND(+F39/G39,4)</f>
        <v>0.30180000000000001</v>
      </c>
      <c r="G40" s="214">
        <f>SUM(E40:F40)</f>
        <v>1</v>
      </c>
      <c r="H40" s="197"/>
    </row>
    <row r="41" spans="1:9" s="186" customFormat="1" ht="15" customHeight="1" thickTop="1">
      <c r="D41" s="187"/>
    </row>
    <row r="42" spans="1:9" s="186" customFormat="1" ht="15" customHeight="1">
      <c r="A42" s="190">
        <v>6</v>
      </c>
      <c r="C42" s="191" t="s">
        <v>200</v>
      </c>
      <c r="D42" s="192">
        <v>43830</v>
      </c>
      <c r="F42" s="187" t="s">
        <v>201</v>
      </c>
    </row>
    <row r="43" spans="1:9" ht="15" customHeight="1">
      <c r="A43" s="186"/>
      <c r="B43" s="186"/>
      <c r="C43" s="186" t="s">
        <v>202</v>
      </c>
      <c r="D43" s="187"/>
      <c r="E43" s="186"/>
      <c r="F43" s="215">
        <v>140293776.69</v>
      </c>
      <c r="G43" s="197">
        <v>0.48546088037267432</v>
      </c>
    </row>
    <row r="44" spans="1:9" ht="15" customHeight="1">
      <c r="A44" s="186"/>
      <c r="B44" s="186"/>
      <c r="C44" s="186" t="s">
        <v>203</v>
      </c>
      <c r="D44" s="187"/>
      <c r="E44" s="186"/>
      <c r="F44" s="200">
        <v>1437598.6800000002</v>
      </c>
      <c r="G44" s="197">
        <v>4.9745465357134413E-3</v>
      </c>
    </row>
    <row r="45" spans="1:9" ht="15" customHeight="1">
      <c r="A45" s="186"/>
      <c r="B45" s="186"/>
      <c r="C45" s="186" t="s">
        <v>204</v>
      </c>
      <c r="D45" s="187"/>
      <c r="E45" s="186"/>
      <c r="F45" s="200">
        <v>147259524.53999999</v>
      </c>
      <c r="G45" s="197">
        <v>0.50956457309161229</v>
      </c>
    </row>
    <row r="46" spans="1:9" ht="15" customHeight="1" thickBot="1">
      <c r="A46" s="186"/>
      <c r="B46" s="186"/>
      <c r="C46" s="186" t="s">
        <v>205</v>
      </c>
      <c r="D46" s="187"/>
      <c r="E46" s="186"/>
      <c r="F46" s="216">
        <v>288990899.90999997</v>
      </c>
      <c r="G46" s="214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D23" sqref="D23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3.6640625" bestFit="1" customWidth="1"/>
    <col min="5" max="5" width="14.6640625" bestFit="1" customWidth="1"/>
    <col min="6" max="8" width="12.6640625" customWidth="1"/>
  </cols>
  <sheetData>
    <row r="1" spans="1:6">
      <c r="A1" s="64" t="s">
        <v>0</v>
      </c>
      <c r="B1" s="64"/>
      <c r="C1" s="64"/>
      <c r="D1" s="64"/>
      <c r="E1" s="64"/>
      <c r="F1" s="64"/>
    </row>
    <row r="2" spans="1:6">
      <c r="A2" s="64" t="s">
        <v>1</v>
      </c>
      <c r="B2" s="64"/>
      <c r="C2" s="64"/>
      <c r="D2" s="64"/>
      <c r="E2" s="64"/>
      <c r="F2" s="64"/>
    </row>
    <row r="3" spans="1:6">
      <c r="A3" s="64" t="s">
        <v>2</v>
      </c>
      <c r="B3" s="64"/>
      <c r="C3" s="64"/>
      <c r="D3" s="64"/>
      <c r="E3" s="64"/>
      <c r="F3" s="64"/>
    </row>
    <row r="4" spans="1:6">
      <c r="A4" s="65" t="str">
        <f>'Lead Sheet'!A7</f>
        <v>FOR THE TWELVE MONTHS ENDED DECEMBER 31, 2022</v>
      </c>
      <c r="B4" s="64"/>
      <c r="C4" s="64"/>
      <c r="D4" s="64"/>
      <c r="E4" s="64"/>
      <c r="F4" s="64"/>
    </row>
    <row r="5" spans="1:6">
      <c r="A5" s="289"/>
      <c r="B5" s="289"/>
      <c r="C5" s="289"/>
      <c r="D5" s="289"/>
      <c r="E5" s="289"/>
      <c r="F5" s="289"/>
    </row>
    <row r="6" spans="1:6">
      <c r="A6" s="65"/>
      <c r="B6" s="66"/>
      <c r="C6" s="66"/>
      <c r="D6" s="66"/>
      <c r="E6" s="66"/>
      <c r="F6" s="66"/>
    </row>
    <row r="7" spans="1:6">
      <c r="A7" s="65"/>
      <c r="B7" s="66"/>
      <c r="C7" s="66"/>
      <c r="D7" s="66" t="s">
        <v>3</v>
      </c>
      <c r="E7" s="66"/>
      <c r="F7" s="66" t="s">
        <v>4</v>
      </c>
    </row>
    <row r="8" spans="1:6">
      <c r="A8" s="67"/>
      <c r="B8" s="66" t="s">
        <v>5</v>
      </c>
      <c r="C8" s="66" t="s">
        <v>6</v>
      </c>
      <c r="D8" s="66" t="s">
        <v>7</v>
      </c>
      <c r="E8" s="66" t="s">
        <v>5</v>
      </c>
      <c r="F8" s="66" t="s">
        <v>8</v>
      </c>
    </row>
    <row r="9" spans="1:6">
      <c r="A9" s="68" t="s">
        <v>9</v>
      </c>
      <c r="B9" s="68" t="s">
        <v>8</v>
      </c>
      <c r="C9" s="68" t="s">
        <v>10</v>
      </c>
      <c r="D9" s="66" t="s">
        <v>11</v>
      </c>
      <c r="E9" s="68" t="s">
        <v>10</v>
      </c>
      <c r="F9" s="68" t="s">
        <v>12</v>
      </c>
    </row>
    <row r="10" spans="1:6">
      <c r="A10" s="69"/>
      <c r="B10" s="69" t="s">
        <v>13</v>
      </c>
      <c r="C10" s="69" t="s">
        <v>14</v>
      </c>
      <c r="D10" s="69" t="s">
        <v>15</v>
      </c>
      <c r="E10" s="69" t="s">
        <v>16</v>
      </c>
      <c r="F10" s="69" t="s">
        <v>17</v>
      </c>
    </row>
    <row r="11" spans="1:6">
      <c r="A11" s="62"/>
      <c r="B11" s="129" t="s">
        <v>99</v>
      </c>
      <c r="C11" s="129" t="s">
        <v>100</v>
      </c>
      <c r="D11" s="129" t="s">
        <v>100</v>
      </c>
      <c r="E11" s="129" t="s">
        <v>100</v>
      </c>
      <c r="F11" s="62"/>
    </row>
    <row r="12" spans="1:6">
      <c r="A12" s="108"/>
      <c r="B12" s="71"/>
      <c r="C12" s="104"/>
      <c r="D12" s="104"/>
      <c r="E12" s="104"/>
      <c r="F12" s="18"/>
    </row>
    <row r="13" spans="1:6">
      <c r="A13" s="108" t="str">
        <f>A23</f>
        <v>12 ME 12/01/2018 AND 8/31/2018</v>
      </c>
      <c r="B13" s="104" t="str">
        <f t="shared" ref="B13:F17" si="0">IF(OR($G23="min",$G23="max"),$G23,B23)</f>
        <v>max</v>
      </c>
      <c r="C13" s="104" t="str">
        <f t="shared" si="0"/>
        <v>max</v>
      </c>
      <c r="D13" s="104" t="str">
        <f t="shared" si="0"/>
        <v>max</v>
      </c>
      <c r="E13" s="104" t="str">
        <f t="shared" si="0"/>
        <v>max</v>
      </c>
      <c r="F13" s="18" t="str">
        <f t="shared" si="0"/>
        <v>max</v>
      </c>
    </row>
    <row r="14" spans="1:6">
      <c r="A14" s="108" t="str">
        <f>A24</f>
        <v>12 ME 12/01/2019 AND 8/31/2019</v>
      </c>
      <c r="B14" s="104">
        <f t="shared" si="0"/>
        <v>2799841.3412500005</v>
      </c>
      <c r="C14" s="104">
        <f t="shared" si="0"/>
        <v>818021856.11000013</v>
      </c>
      <c r="D14" s="104">
        <f t="shared" si="0"/>
        <v>16532125.48</v>
      </c>
      <c r="E14" s="104">
        <f t="shared" si="0"/>
        <v>801489730.63000011</v>
      </c>
      <c r="F14" s="18">
        <f t="shared" si="0"/>
        <v>3.4932969999999998E-3</v>
      </c>
    </row>
    <row r="15" spans="1:6">
      <c r="A15" s="108" t="str">
        <f>A25</f>
        <v>12 ME 12/01/2020 AND 8/31/2020</v>
      </c>
      <c r="B15" s="104">
        <f t="shared" si="0"/>
        <v>2284939.7383418316</v>
      </c>
      <c r="C15" s="104">
        <f t="shared" si="0"/>
        <v>969590918.08999991</v>
      </c>
      <c r="D15" s="104">
        <f t="shared" si="0"/>
        <v>17618700.510000002</v>
      </c>
      <c r="E15" s="104">
        <f t="shared" si="0"/>
        <v>951972217.57999992</v>
      </c>
      <c r="F15" s="18">
        <f t="shared" si="0"/>
        <v>2.4002170000000001E-3</v>
      </c>
    </row>
    <row r="16" spans="1:6">
      <c r="A16" s="128" t="str">
        <f t="shared" ref="A16:A17" si="1">A26</f>
        <v>12 ME 12/01/2021 AND 8/31/2021</v>
      </c>
      <c r="B16" s="104" t="str">
        <f t="shared" si="0"/>
        <v>min</v>
      </c>
      <c r="C16" s="104" t="str">
        <f t="shared" si="0"/>
        <v>min</v>
      </c>
      <c r="D16" s="104" t="str">
        <f t="shared" si="0"/>
        <v>min</v>
      </c>
      <c r="E16" s="104" t="str">
        <f t="shared" si="0"/>
        <v>min</v>
      </c>
      <c r="F16" s="18" t="str">
        <f t="shared" si="0"/>
        <v>min</v>
      </c>
    </row>
    <row r="17" spans="1:8" s="130" customFormat="1">
      <c r="A17" s="128" t="str">
        <f t="shared" si="1"/>
        <v>12 ME 12/01/2022 AND 8/31/2022</v>
      </c>
      <c r="B17" s="104">
        <f t="shared" si="0"/>
        <v>2641960.2282890007</v>
      </c>
      <c r="C17" s="104">
        <f t="shared" si="0"/>
        <v>1141789837.8799999</v>
      </c>
      <c r="D17" s="104">
        <f t="shared" si="0"/>
        <v>15232684.039999999</v>
      </c>
      <c r="E17" s="104">
        <f t="shared" si="0"/>
        <v>1126557153.8399999</v>
      </c>
      <c r="F17" s="18">
        <f t="shared" si="0"/>
        <v>2.3451629999999999E-3</v>
      </c>
    </row>
    <row r="19" spans="1:8" ht="15" thickBot="1">
      <c r="A19" s="63" t="s">
        <v>18</v>
      </c>
      <c r="B19" s="72">
        <f>SUM(B12:B16)/3</f>
        <v>1694927.0265306106</v>
      </c>
      <c r="C19" s="105">
        <f>SUM(C12:C15)/3</f>
        <v>595870924.73333335</v>
      </c>
      <c r="D19" s="105">
        <f>SUM(D12:D15)/3</f>
        <v>11383608.663333334</v>
      </c>
      <c r="E19" s="105">
        <f>SUM(E12:E15)/3</f>
        <v>584487316.07000005</v>
      </c>
      <c r="F19" s="17">
        <f>SUM(F13:F17)/3</f>
        <v>2.7462256666666665E-3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28"/>
      <c r="B22" s="73"/>
      <c r="C22" s="70"/>
      <c r="D22" s="132"/>
      <c r="E22" s="102"/>
      <c r="F22" s="103"/>
      <c r="G22" s="62"/>
      <c r="H22" s="101"/>
    </row>
    <row r="23" spans="1:8">
      <c r="A23" s="178" t="s">
        <v>129</v>
      </c>
      <c r="B23" s="73">
        <f>'NetWriteoffs-Gas'!B98</f>
        <v>4774240.4503520001</v>
      </c>
      <c r="C23" s="132">
        <f>'SOG 12ME 8-2022'!F33</f>
        <v>901985804.01999986</v>
      </c>
      <c r="D23" s="132">
        <f>'SOG 12ME 8-2022'!F32</f>
        <v>1903626.66</v>
      </c>
      <c r="E23" s="132">
        <f t="shared" ref="E23:E26" si="2">C23-D23</f>
        <v>900082177.3599999</v>
      </c>
      <c r="F23" s="103">
        <f t="shared" ref="F23:F26" si="3">ROUND(B23/E23,9)</f>
        <v>5.3042269999999999E-3</v>
      </c>
      <c r="G23" s="101" t="str">
        <f>IF(F23=MIN($F$23:$F$27),"min",IF(F23=MAX($F$23:$F$27),"max","include"))</f>
        <v>max</v>
      </c>
    </row>
    <row r="24" spans="1:8">
      <c r="A24" s="178" t="s">
        <v>206</v>
      </c>
      <c r="B24" s="73">
        <f>'NetWriteoffs-Gas'!B79</f>
        <v>2799841.3412500005</v>
      </c>
      <c r="C24" s="132">
        <f>'SOG 12ME 8-2022'!E33</f>
        <v>818021856.11000013</v>
      </c>
      <c r="D24" s="132">
        <f>'SOG 12ME 8-2022'!E32</f>
        <v>16532125.48</v>
      </c>
      <c r="E24" s="132">
        <f t="shared" si="2"/>
        <v>801489730.63000011</v>
      </c>
      <c r="F24" s="103">
        <f t="shared" si="3"/>
        <v>3.4932969999999998E-3</v>
      </c>
      <c r="G24" s="101" t="str">
        <f t="shared" ref="G24:G27" si="4">IF(F24=MIN($F$23:$F$27),"min",IF(F24=MAX($F$23:$F$27),"max","include"))</f>
        <v>include</v>
      </c>
    </row>
    <row r="25" spans="1:8">
      <c r="A25" s="178" t="s">
        <v>225</v>
      </c>
      <c r="B25" s="73">
        <f>'NetWriteoffs-Gas'!B57</f>
        <v>2284939.7383418316</v>
      </c>
      <c r="C25" s="132">
        <f>'SOG 12ME 8-2022'!D33</f>
        <v>969590918.08999991</v>
      </c>
      <c r="D25" s="132">
        <f>'SOG 12ME 8-2022'!D32</f>
        <v>17618700.510000002</v>
      </c>
      <c r="E25" s="132">
        <f t="shared" si="2"/>
        <v>951972217.57999992</v>
      </c>
      <c r="F25" s="103">
        <f t="shared" si="3"/>
        <v>2.4002170000000001E-3</v>
      </c>
      <c r="G25" s="101" t="str">
        <f t="shared" si="4"/>
        <v>include</v>
      </c>
    </row>
    <row r="26" spans="1:8">
      <c r="A26" s="178" t="s">
        <v>233</v>
      </c>
      <c r="B26" s="73">
        <f>'NetWriteoffs-Gas'!B38</f>
        <v>2310473.6082160007</v>
      </c>
      <c r="C26" s="132">
        <f>'SOG 12ME 8-2022'!C33</f>
        <v>1023814896.8399999</v>
      </c>
      <c r="D26" s="132">
        <f>'SOG 12ME 8-2022'!C32</f>
        <v>14177014.51</v>
      </c>
      <c r="E26" s="132">
        <f t="shared" si="2"/>
        <v>1009637882.3299999</v>
      </c>
      <c r="F26" s="103">
        <f t="shared" si="3"/>
        <v>2.288418E-3</v>
      </c>
      <c r="G26" s="101" t="str">
        <f t="shared" si="4"/>
        <v>min</v>
      </c>
    </row>
    <row r="27" spans="1:8" s="130" customFormat="1">
      <c r="A27" s="178" t="s">
        <v>238</v>
      </c>
      <c r="B27" s="73">
        <f>'NetWriteoffs-Gas'!B20</f>
        <v>2641960.2282890007</v>
      </c>
      <c r="C27" s="132">
        <f>'SOG 12ME 8-2022'!B33</f>
        <v>1141789837.8799999</v>
      </c>
      <c r="D27" s="132">
        <f>'SOG 12ME 8-2022'!B32</f>
        <v>15232684.039999999</v>
      </c>
      <c r="E27" s="132">
        <f t="shared" ref="E27" si="5">C27-D27</f>
        <v>1126557153.8399999</v>
      </c>
      <c r="F27" s="103">
        <f t="shared" ref="F27" si="6">ROUND(B27/E27,9)</f>
        <v>2.3451629999999999E-3</v>
      </c>
      <c r="G27" s="101" t="str">
        <f t="shared" si="4"/>
        <v>include</v>
      </c>
    </row>
    <row r="29" spans="1:8">
      <c r="A29" s="63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3"/>
      <c r="H30" s="83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workbookViewId="0">
      <selection activeCell="N15" sqref="N15"/>
    </sheetView>
  </sheetViews>
  <sheetFormatPr defaultRowHeight="14.4"/>
  <cols>
    <col min="1" max="1" width="59.33203125" bestFit="1" customWidth="1"/>
    <col min="2" max="2" width="14.109375" bestFit="1" customWidth="1"/>
    <col min="3" max="7" width="14.109375" customWidth="1"/>
    <col min="9" max="9" width="12.44140625" bestFit="1" customWidth="1"/>
  </cols>
  <sheetData>
    <row r="1" spans="1:7">
      <c r="A1" s="75" t="s">
        <v>34</v>
      </c>
      <c r="B1" s="74"/>
    </row>
    <row r="2" spans="1:7" ht="15" thickBot="1">
      <c r="A2" s="83" t="s">
        <v>35</v>
      </c>
      <c r="B2" s="74"/>
    </row>
    <row r="3" spans="1:7" s="130" customFormat="1" ht="15" thickBot="1">
      <c r="A3" s="264" t="s">
        <v>239</v>
      </c>
      <c r="B3" s="265"/>
      <c r="C3"/>
      <c r="D3"/>
      <c r="E3"/>
      <c r="F3"/>
      <c r="G3"/>
    </row>
    <row r="4" spans="1:7" s="130" customFormat="1">
      <c r="A4" s="78" t="s">
        <v>208</v>
      </c>
      <c r="C4"/>
      <c r="D4"/>
      <c r="E4"/>
      <c r="F4"/>
      <c r="G4"/>
    </row>
    <row r="5" spans="1:7" s="130" customFormat="1">
      <c r="A5" s="179" t="s">
        <v>209</v>
      </c>
      <c r="B5" s="180">
        <v>18359017</v>
      </c>
      <c r="C5"/>
      <c r="D5"/>
      <c r="E5"/>
      <c r="F5"/>
      <c r="G5"/>
    </row>
    <row r="6" spans="1:7" s="130" customFormat="1">
      <c r="A6" s="179" t="s">
        <v>211</v>
      </c>
      <c r="B6" s="180">
        <v>46195.4</v>
      </c>
      <c r="C6"/>
      <c r="D6"/>
      <c r="E6"/>
      <c r="F6"/>
      <c r="G6"/>
    </row>
    <row r="7" spans="1:7" s="130" customFormat="1">
      <c r="A7" s="268" t="s">
        <v>212</v>
      </c>
      <c r="B7" s="180">
        <v>34579.870000000003</v>
      </c>
      <c r="C7"/>
      <c r="D7"/>
      <c r="E7"/>
      <c r="F7"/>
      <c r="G7"/>
    </row>
    <row r="8" spans="1:7" s="130" customFormat="1">
      <c r="A8" s="270" t="s">
        <v>213</v>
      </c>
      <c r="B8" s="272">
        <v>90384.85</v>
      </c>
      <c r="C8"/>
      <c r="D8"/>
      <c r="E8"/>
      <c r="F8"/>
      <c r="G8"/>
    </row>
    <row r="9" spans="1:7" s="130" customFormat="1">
      <c r="A9" s="179" t="s">
        <v>214</v>
      </c>
      <c r="B9" s="255">
        <f>SUM(B5:B8)</f>
        <v>18530177.120000001</v>
      </c>
      <c r="C9"/>
      <c r="D9"/>
      <c r="E9"/>
      <c r="F9"/>
      <c r="G9"/>
    </row>
    <row r="10" spans="1:7" s="130" customFormat="1">
      <c r="A10" s="270" t="s">
        <v>215</v>
      </c>
      <c r="B10" s="272">
        <v>4491994.01</v>
      </c>
      <c r="C10"/>
      <c r="D10"/>
      <c r="E10"/>
      <c r="F10"/>
      <c r="G10"/>
    </row>
    <row r="11" spans="1:7" s="130" customFormat="1">
      <c r="A11" s="179" t="s">
        <v>216</v>
      </c>
      <c r="B11" s="255">
        <f>SUM(B10)</f>
        <v>4491994.01</v>
      </c>
      <c r="C11"/>
      <c r="D11"/>
      <c r="E11"/>
      <c r="F11"/>
      <c r="G11"/>
    </row>
    <row r="12" spans="1:7" s="130" customFormat="1">
      <c r="A12" s="270" t="s">
        <v>217</v>
      </c>
      <c r="B12" s="180">
        <v>123658.69</v>
      </c>
      <c r="C12"/>
      <c r="D12"/>
      <c r="E12"/>
      <c r="F12"/>
      <c r="G12"/>
    </row>
    <row r="13" spans="1:7" s="130" customFormat="1">
      <c r="A13" s="179" t="s">
        <v>218</v>
      </c>
      <c r="B13" s="266">
        <f>SUM(B12)</f>
        <v>123658.69</v>
      </c>
      <c r="C13"/>
      <c r="D13"/>
      <c r="E13"/>
      <c r="F13"/>
      <c r="G13"/>
    </row>
    <row r="14" spans="1:7" s="130" customFormat="1">
      <c r="A14" s="136" t="s">
        <v>228</v>
      </c>
      <c r="B14" s="255">
        <f>+B11</f>
        <v>4491994.01</v>
      </c>
      <c r="C14"/>
      <c r="D14"/>
      <c r="E14"/>
      <c r="F14"/>
      <c r="G14"/>
    </row>
    <row r="15" spans="1:7" s="130" customFormat="1">
      <c r="A15" s="219" t="s">
        <v>222</v>
      </c>
      <c r="B15" s="267">
        <f>'2022 AllocM'!F9*B13</f>
        <v>51701.698289000007</v>
      </c>
      <c r="C15"/>
      <c r="D15"/>
      <c r="E15"/>
      <c r="F15"/>
      <c r="G15"/>
    </row>
    <row r="16" spans="1:7" s="130" customFormat="1">
      <c r="A16" s="130" t="s">
        <v>232</v>
      </c>
      <c r="B16" s="266">
        <f>+B15+B14</f>
        <v>4543695.7082890002</v>
      </c>
      <c r="C16"/>
      <c r="D16"/>
      <c r="E16"/>
      <c r="F16"/>
      <c r="G16"/>
    </row>
    <row r="17" spans="1:7" s="130" customFormat="1">
      <c r="A17" s="252" t="s">
        <v>229</v>
      </c>
      <c r="B17" s="180"/>
      <c r="C17"/>
      <c r="D17"/>
      <c r="E17"/>
      <c r="F17"/>
      <c r="G17"/>
    </row>
    <row r="18" spans="1:7" s="130" customFormat="1">
      <c r="A18" s="253" t="s">
        <v>45</v>
      </c>
      <c r="B18" s="180">
        <f>+B16</f>
        <v>4543695.7082890002</v>
      </c>
      <c r="C18"/>
      <c r="D18"/>
      <c r="E18"/>
      <c r="F18"/>
      <c r="G18"/>
    </row>
    <row r="19" spans="1:7" s="130" customFormat="1">
      <c r="A19" s="254" t="s">
        <v>102</v>
      </c>
      <c r="B19" s="166">
        <f>'BS Acct-Gas'!D25</f>
        <v>-1901735.4799999995</v>
      </c>
      <c r="C19"/>
      <c r="D19"/>
      <c r="E19"/>
      <c r="F19"/>
      <c r="G19"/>
    </row>
    <row r="20" spans="1:7" s="130" customFormat="1" ht="15" thickBot="1">
      <c r="A20" s="13" t="s">
        <v>223</v>
      </c>
      <c r="B20" s="262">
        <f>SUM(B18:B19)</f>
        <v>2641960.2282890007</v>
      </c>
      <c r="C20"/>
      <c r="D20"/>
      <c r="E20"/>
      <c r="F20"/>
      <c r="G20"/>
    </row>
    <row r="21" spans="1:7" s="130" customFormat="1" ht="15.6" thickTop="1" thickBot="1">
      <c r="A21" s="264" t="s">
        <v>234</v>
      </c>
      <c r="B21" s="265"/>
      <c r="C21"/>
      <c r="D21"/>
      <c r="E21"/>
      <c r="F21"/>
      <c r="G21"/>
    </row>
    <row r="22" spans="1:7" s="130" customFormat="1">
      <c r="A22" s="78" t="s">
        <v>208</v>
      </c>
      <c r="C22"/>
      <c r="D22"/>
      <c r="E22"/>
      <c r="F22"/>
      <c r="G22"/>
    </row>
    <row r="23" spans="1:7" s="130" customFormat="1">
      <c r="A23" s="179" t="s">
        <v>209</v>
      </c>
      <c r="B23" s="180">
        <v>18359017.030000001</v>
      </c>
      <c r="C23"/>
      <c r="D23"/>
      <c r="E23"/>
      <c r="F23"/>
      <c r="G23"/>
    </row>
    <row r="24" spans="1:7" s="130" customFormat="1">
      <c r="A24" s="179" t="s">
        <v>211</v>
      </c>
      <c r="B24" s="180">
        <v>425286.42</v>
      </c>
      <c r="C24"/>
      <c r="D24"/>
      <c r="E24"/>
      <c r="F24"/>
      <c r="G24"/>
    </row>
    <row r="25" spans="1:7" s="130" customFormat="1">
      <c r="A25" s="268" t="s">
        <v>212</v>
      </c>
      <c r="B25" s="269">
        <v>-79785.02</v>
      </c>
      <c r="C25"/>
      <c r="D25"/>
      <c r="E25"/>
      <c r="F25"/>
      <c r="G25"/>
    </row>
    <row r="26" spans="1:7" s="130" customFormat="1">
      <c r="A26" s="270" t="s">
        <v>213</v>
      </c>
      <c r="B26" s="271">
        <v>3.68</v>
      </c>
      <c r="C26"/>
      <c r="D26"/>
      <c r="E26"/>
      <c r="F26"/>
      <c r="G26"/>
    </row>
    <row r="27" spans="1:7" s="130" customFormat="1">
      <c r="A27" s="179" t="s">
        <v>214</v>
      </c>
      <c r="B27" s="255">
        <f>SUM(B23:B26)</f>
        <v>18704522.110000003</v>
      </c>
      <c r="C27"/>
      <c r="D27"/>
      <c r="E27"/>
      <c r="F27"/>
      <c r="G27"/>
    </row>
    <row r="28" spans="1:7" s="130" customFormat="1">
      <c r="A28" s="270" t="s">
        <v>215</v>
      </c>
      <c r="B28" s="272">
        <v>4491994.01</v>
      </c>
      <c r="C28"/>
      <c r="D28"/>
      <c r="E28"/>
      <c r="F28"/>
      <c r="G28"/>
    </row>
    <row r="29" spans="1:7" s="130" customFormat="1">
      <c r="A29" s="179" t="s">
        <v>216</v>
      </c>
      <c r="B29" s="255">
        <f>SUM(B28)</f>
        <v>4491994.01</v>
      </c>
      <c r="C29"/>
      <c r="D29"/>
      <c r="E29"/>
      <c r="F29"/>
      <c r="G29"/>
    </row>
    <row r="30" spans="1:7" s="130" customFormat="1">
      <c r="A30" s="270" t="s">
        <v>217</v>
      </c>
      <c r="B30" s="272">
        <v>91061.88</v>
      </c>
      <c r="C30"/>
      <c r="D30"/>
      <c r="E30"/>
      <c r="F30"/>
      <c r="G30"/>
    </row>
    <row r="31" spans="1:7" s="130" customFormat="1">
      <c r="A31" s="179" t="s">
        <v>218</v>
      </c>
      <c r="B31" s="266">
        <f>SUM(B30)</f>
        <v>91061.88</v>
      </c>
      <c r="C31"/>
      <c r="D31"/>
      <c r="E31"/>
      <c r="F31"/>
      <c r="G31"/>
    </row>
    <row r="32" spans="1:7" s="130" customFormat="1">
      <c r="A32" s="136" t="s">
        <v>228</v>
      </c>
      <c r="B32" s="255">
        <f>+B29</f>
        <v>4491994.01</v>
      </c>
      <c r="C32"/>
      <c r="D32"/>
      <c r="E32"/>
      <c r="F32"/>
      <c r="G32"/>
    </row>
    <row r="33" spans="1:9" s="130" customFormat="1">
      <c r="A33" s="219" t="s">
        <v>222</v>
      </c>
      <c r="B33" s="267">
        <f>'2021 AllocFct'!F9*B31</f>
        <v>38082.078216000002</v>
      </c>
      <c r="C33"/>
      <c r="D33"/>
      <c r="E33"/>
      <c r="F33"/>
      <c r="G33"/>
    </row>
    <row r="34" spans="1:9" s="130" customFormat="1">
      <c r="A34" s="130" t="s">
        <v>232</v>
      </c>
      <c r="B34" s="255">
        <f>+B33+B32</f>
        <v>4530076.0882160002</v>
      </c>
      <c r="C34"/>
      <c r="D34"/>
      <c r="E34"/>
      <c r="F34"/>
      <c r="G34"/>
    </row>
    <row r="35" spans="1:9" s="130" customFormat="1">
      <c r="A35" s="252" t="s">
        <v>229</v>
      </c>
      <c r="B35" s="180"/>
      <c r="C35"/>
      <c r="D35"/>
      <c r="E35"/>
      <c r="F35"/>
      <c r="G35"/>
    </row>
    <row r="36" spans="1:9" s="130" customFormat="1">
      <c r="A36" s="253" t="s">
        <v>45</v>
      </c>
      <c r="B36" s="180">
        <f>+B34</f>
        <v>4530076.0882160002</v>
      </c>
      <c r="C36"/>
      <c r="D36"/>
      <c r="E36"/>
      <c r="F36"/>
      <c r="G36"/>
      <c r="H36" s="180"/>
    </row>
    <row r="37" spans="1:9" s="130" customFormat="1">
      <c r="A37" s="254" t="s">
        <v>102</v>
      </c>
      <c r="B37" s="166">
        <f>'BS Acct-Gas'!D45</f>
        <v>-2219602.4799999995</v>
      </c>
      <c r="C37"/>
      <c r="D37"/>
      <c r="E37"/>
      <c r="F37"/>
      <c r="G37"/>
    </row>
    <row r="38" spans="1:9" s="130" customFormat="1" ht="15" thickBot="1">
      <c r="A38" s="13" t="s">
        <v>223</v>
      </c>
      <c r="B38" s="262">
        <f>SUM(B36:B37)</f>
        <v>2310473.6082160007</v>
      </c>
      <c r="C38"/>
      <c r="D38"/>
      <c r="E38"/>
      <c r="F38"/>
      <c r="G38"/>
    </row>
    <row r="39" spans="1:9" s="130" customFormat="1" ht="15.6" thickTop="1" thickBot="1">
      <c r="A39" s="264" t="s">
        <v>231</v>
      </c>
      <c r="B39" s="265"/>
      <c r="C39"/>
      <c r="D39"/>
      <c r="E39"/>
      <c r="F39"/>
      <c r="G39"/>
    </row>
    <row r="40" spans="1:9" s="83" customFormat="1">
      <c r="A40" s="78" t="s">
        <v>208</v>
      </c>
      <c r="B40" s="261" t="s">
        <v>37</v>
      </c>
      <c r="C40"/>
      <c r="D40"/>
      <c r="E40"/>
      <c r="F40"/>
      <c r="G40"/>
    </row>
    <row r="41" spans="1:9" s="83" customFormat="1">
      <c r="A41" s="179" t="s">
        <v>209</v>
      </c>
      <c r="B41" s="151">
        <v>17782265.43</v>
      </c>
      <c r="C41"/>
      <c r="D41"/>
      <c r="E41"/>
      <c r="F41"/>
      <c r="G41"/>
      <c r="I41" s="151"/>
    </row>
    <row r="42" spans="1:9" s="83" customFormat="1">
      <c r="A42" s="179" t="s">
        <v>211</v>
      </c>
      <c r="B42" s="151">
        <v>111140.94</v>
      </c>
      <c r="C42"/>
      <c r="D42"/>
      <c r="E42"/>
      <c r="F42"/>
      <c r="G42"/>
      <c r="I42" s="151"/>
    </row>
    <row r="43" spans="1:9" s="83" customFormat="1">
      <c r="A43" s="179" t="s">
        <v>212</v>
      </c>
      <c r="B43" s="151">
        <v>-99758.22</v>
      </c>
      <c r="C43"/>
      <c r="D43"/>
      <c r="E43"/>
      <c r="F43"/>
      <c r="G43"/>
      <c r="I43" s="151"/>
    </row>
    <row r="44" spans="1:9" s="83" customFormat="1">
      <c r="A44" s="179" t="s">
        <v>213</v>
      </c>
      <c r="B44" s="151">
        <v>-218730.57</v>
      </c>
      <c r="C44"/>
      <c r="D44"/>
      <c r="E44"/>
      <c r="F44"/>
      <c r="G44"/>
      <c r="I44" s="151"/>
    </row>
    <row r="45" spans="1:9" s="83" customFormat="1">
      <c r="A45" s="179" t="s">
        <v>214</v>
      </c>
      <c r="B45" s="180">
        <f>SUM(B41:B44)</f>
        <v>17574917.580000002</v>
      </c>
      <c r="C45"/>
      <c r="D45"/>
      <c r="E45"/>
      <c r="F45"/>
      <c r="G45"/>
    </row>
    <row r="46" spans="1:9" s="83" customFormat="1">
      <c r="A46" s="179" t="s">
        <v>215</v>
      </c>
      <c r="B46" s="180">
        <v>4275853.17</v>
      </c>
      <c r="C46"/>
      <c r="D46"/>
      <c r="E46"/>
      <c r="F46"/>
      <c r="G46"/>
    </row>
    <row r="47" spans="1:9" s="83" customFormat="1">
      <c r="A47" s="179" t="s">
        <v>216</v>
      </c>
      <c r="B47" s="180">
        <f>SUM(B46)</f>
        <v>4275853.17</v>
      </c>
      <c r="C47"/>
      <c r="D47"/>
      <c r="E47"/>
      <c r="F47"/>
      <c r="G47"/>
    </row>
    <row r="48" spans="1:9" s="83" customFormat="1">
      <c r="A48" s="179" t="s">
        <v>217</v>
      </c>
      <c r="B48" s="180">
        <v>-72861</v>
      </c>
      <c r="C48"/>
      <c r="D48"/>
      <c r="E48"/>
      <c r="F48"/>
      <c r="G48"/>
    </row>
    <row r="49" spans="1:7" s="83" customFormat="1">
      <c r="A49" s="179" t="s">
        <v>218</v>
      </c>
      <c r="B49" s="180">
        <f>SUM(B48)</f>
        <v>-72861</v>
      </c>
      <c r="C49"/>
      <c r="D49"/>
      <c r="E49"/>
      <c r="F49"/>
      <c r="G49"/>
    </row>
    <row r="50" spans="1:7" s="83" customFormat="1">
      <c r="A50" s="136" t="s">
        <v>219</v>
      </c>
      <c r="B50" s="4">
        <f>+B45+B47+B49</f>
        <v>21777909.75</v>
      </c>
      <c r="C50"/>
      <c r="D50"/>
      <c r="E50"/>
      <c r="F50"/>
      <c r="G50"/>
    </row>
    <row r="51" spans="1:7" s="83" customFormat="1">
      <c r="A51" s="217" t="s">
        <v>221</v>
      </c>
      <c r="B51" s="218">
        <f>+B47</f>
        <v>4275853.17</v>
      </c>
      <c r="C51"/>
      <c r="D51"/>
      <c r="E51"/>
      <c r="F51"/>
      <c r="G51"/>
    </row>
    <row r="52" spans="1:7" s="83" customFormat="1">
      <c r="A52" s="219" t="s">
        <v>222</v>
      </c>
      <c r="B52" s="220">
        <f>+B49*'2020 AllocFactrs'!F23</f>
        <v>-30499.631658168073</v>
      </c>
      <c r="C52"/>
      <c r="D52"/>
      <c r="E52"/>
      <c r="F52"/>
      <c r="G52"/>
    </row>
    <row r="53" spans="1:7" s="83" customFormat="1">
      <c r="A53" s="130" t="s">
        <v>223</v>
      </c>
      <c r="B53" s="221">
        <f>+B52+B51</f>
        <v>4245353.5383418314</v>
      </c>
      <c r="C53"/>
      <c r="D53"/>
      <c r="E53"/>
      <c r="F53"/>
      <c r="G53"/>
    </row>
    <row r="54" spans="1:7" s="83" customFormat="1">
      <c r="A54" s="252" t="s">
        <v>230</v>
      </c>
      <c r="B54" s="8"/>
      <c r="C54"/>
      <c r="D54"/>
      <c r="E54"/>
      <c r="F54"/>
      <c r="G54"/>
    </row>
    <row r="55" spans="1:7" s="83" customFormat="1">
      <c r="A55" s="253" t="s">
        <v>45</v>
      </c>
      <c r="B55" s="8">
        <f>B53</f>
        <v>4245353.5383418314</v>
      </c>
      <c r="C55"/>
      <c r="D55"/>
      <c r="E55"/>
      <c r="F55"/>
      <c r="G55"/>
    </row>
    <row r="56" spans="1:7" s="83" customFormat="1">
      <c r="A56" s="254" t="s">
        <v>102</v>
      </c>
      <c r="B56" s="8">
        <f>'BS Acct-Gas'!D64</f>
        <v>-1960413.7999999998</v>
      </c>
      <c r="C56"/>
      <c r="D56"/>
      <c r="E56"/>
      <c r="F56"/>
      <c r="G56"/>
    </row>
    <row r="57" spans="1:7" s="83" customFormat="1" ht="15" thickBot="1">
      <c r="A57" s="13" t="s">
        <v>223</v>
      </c>
      <c r="B57" s="262">
        <f>SUM(B55:B56)</f>
        <v>2284939.7383418316</v>
      </c>
      <c r="C57"/>
      <c r="D57"/>
      <c r="E57"/>
      <c r="F57"/>
      <c r="G57"/>
    </row>
    <row r="58" spans="1:7" s="83" customFormat="1" ht="15" thickTop="1">
      <c r="C58"/>
      <c r="D58"/>
      <c r="E58"/>
      <c r="F58"/>
      <c r="G58"/>
    </row>
    <row r="59" spans="1:7" s="83" customFormat="1" ht="15" thickBot="1">
      <c r="C59"/>
      <c r="D59"/>
      <c r="E59"/>
      <c r="F59"/>
      <c r="G59"/>
    </row>
    <row r="60" spans="1:7" s="83" customFormat="1" ht="15" thickBot="1">
      <c r="A60" s="264" t="s">
        <v>207</v>
      </c>
      <c r="B60" s="265"/>
      <c r="C60"/>
      <c r="D60"/>
      <c r="E60"/>
      <c r="F60"/>
      <c r="G60"/>
    </row>
    <row r="61" spans="1:7" s="83" customFormat="1">
      <c r="A61" s="263" t="s">
        <v>208</v>
      </c>
      <c r="B61" s="261" t="s">
        <v>37</v>
      </c>
      <c r="C61"/>
      <c r="D61"/>
      <c r="E61"/>
      <c r="F61"/>
      <c r="G61"/>
    </row>
    <row r="62" spans="1:7" s="83" customFormat="1">
      <c r="A62" s="179" t="s">
        <v>209</v>
      </c>
      <c r="B62" s="180">
        <v>14126110.67</v>
      </c>
      <c r="C62"/>
      <c r="D62"/>
      <c r="E62"/>
      <c r="F62"/>
      <c r="G62"/>
    </row>
    <row r="63" spans="1:7" s="83" customFormat="1">
      <c r="A63" s="179" t="s">
        <v>210</v>
      </c>
      <c r="B63" s="181">
        <v>858.58</v>
      </c>
      <c r="C63"/>
      <c r="D63"/>
      <c r="E63"/>
      <c r="F63"/>
      <c r="G63"/>
    </row>
    <row r="64" spans="1:7" s="83" customFormat="1">
      <c r="A64" s="179" t="s">
        <v>211</v>
      </c>
      <c r="B64" s="180">
        <v>37586</v>
      </c>
      <c r="C64"/>
      <c r="D64"/>
      <c r="E64"/>
      <c r="F64"/>
      <c r="G64"/>
    </row>
    <row r="65" spans="1:7" s="83" customFormat="1">
      <c r="A65" s="179" t="s">
        <v>212</v>
      </c>
      <c r="B65" s="180">
        <v>167433.93</v>
      </c>
      <c r="C65"/>
      <c r="D65"/>
      <c r="E65"/>
      <c r="F65"/>
      <c r="G65"/>
    </row>
    <row r="66" spans="1:7" s="130" customFormat="1">
      <c r="A66" s="179" t="s">
        <v>213</v>
      </c>
      <c r="B66" s="180">
        <v>173111.28</v>
      </c>
      <c r="C66"/>
      <c r="D66"/>
      <c r="E66"/>
      <c r="F66"/>
      <c r="G66"/>
    </row>
    <row r="67" spans="1:7" s="130" customFormat="1">
      <c r="A67" s="179" t="s">
        <v>214</v>
      </c>
      <c r="B67" s="180">
        <v>14505100.460000001</v>
      </c>
      <c r="C67"/>
      <c r="D67"/>
      <c r="E67"/>
      <c r="F67"/>
      <c r="G67"/>
    </row>
    <row r="68" spans="1:7" s="130" customFormat="1">
      <c r="A68" s="179" t="s">
        <v>215</v>
      </c>
      <c r="B68" s="180">
        <v>3241254.56</v>
      </c>
      <c r="C68"/>
      <c r="D68"/>
      <c r="E68"/>
      <c r="F68"/>
      <c r="G68"/>
    </row>
    <row r="69" spans="1:7" s="130" customFormat="1">
      <c r="A69" s="179" t="s">
        <v>216</v>
      </c>
      <c r="B69" s="180">
        <v>3241254.56</v>
      </c>
      <c r="C69"/>
      <c r="D69"/>
      <c r="E69"/>
      <c r="F69"/>
      <c r="G69"/>
    </row>
    <row r="70" spans="1:7" s="130" customFormat="1">
      <c r="A70" s="179" t="s">
        <v>217</v>
      </c>
      <c r="B70" s="180">
        <v>84917.5</v>
      </c>
      <c r="C70"/>
      <c r="D70"/>
      <c r="E70"/>
      <c r="F70"/>
      <c r="G70"/>
    </row>
    <row r="71" spans="1:7" s="130" customFormat="1">
      <c r="A71" s="179" t="s">
        <v>218</v>
      </c>
      <c r="B71" s="180">
        <v>84917.5</v>
      </c>
      <c r="C71"/>
      <c r="D71"/>
      <c r="E71"/>
      <c r="F71"/>
      <c r="G71"/>
    </row>
    <row r="72" spans="1:7" s="130" customFormat="1">
      <c r="A72" s="136" t="s">
        <v>219</v>
      </c>
      <c r="B72" s="4">
        <f>+B69</f>
        <v>3241254.56</v>
      </c>
      <c r="C72"/>
      <c r="D72"/>
      <c r="E72"/>
      <c r="F72"/>
      <c r="G72"/>
    </row>
    <row r="73" spans="1:7" s="130" customFormat="1">
      <c r="A73" s="217" t="s">
        <v>221</v>
      </c>
      <c r="B73" s="218">
        <f>+B68</f>
        <v>3241254.56</v>
      </c>
      <c r="C73"/>
      <c r="D73"/>
      <c r="E73"/>
      <c r="F73"/>
      <c r="G73"/>
    </row>
    <row r="74" spans="1:7" s="130" customFormat="1">
      <c r="A74" s="219" t="s">
        <v>222</v>
      </c>
      <c r="B74" s="220">
        <f>'2019 Allocation Factors'!E35*'NetWriteoffs-Gas'!B71</f>
        <v>56342.761249999996</v>
      </c>
      <c r="C74"/>
      <c r="D74"/>
      <c r="E74"/>
      <c r="F74"/>
      <c r="G74"/>
    </row>
    <row r="75" spans="1:7" s="130" customFormat="1">
      <c r="A75" s="130" t="s">
        <v>223</v>
      </c>
      <c r="B75" s="221">
        <f>+B74+B73</f>
        <v>3297597.32125</v>
      </c>
      <c r="C75"/>
      <c r="D75"/>
      <c r="E75"/>
      <c r="F75"/>
      <c r="G75"/>
    </row>
    <row r="76" spans="1:7" s="130" customFormat="1">
      <c r="A76" s="135" t="s">
        <v>226</v>
      </c>
      <c r="B76" s="133"/>
      <c r="C76"/>
      <c r="D76"/>
      <c r="E76"/>
      <c r="F76"/>
      <c r="G76"/>
    </row>
    <row r="77" spans="1:7" s="130" customFormat="1">
      <c r="A77" s="134" t="s">
        <v>45</v>
      </c>
      <c r="B77" s="133">
        <f>B75</f>
        <v>3297597.32125</v>
      </c>
      <c r="C77"/>
      <c r="D77"/>
      <c r="E77"/>
      <c r="F77"/>
      <c r="G77"/>
    </row>
    <row r="78" spans="1:7" s="130" customFormat="1">
      <c r="A78" s="14" t="s">
        <v>102</v>
      </c>
      <c r="B78" s="9">
        <f>'BS Acct-Gas'!D83</f>
        <v>-497755.97999999975</v>
      </c>
      <c r="C78"/>
      <c r="D78"/>
      <c r="E78"/>
      <c r="F78"/>
      <c r="G78"/>
    </row>
    <row r="79" spans="1:7" s="130" customFormat="1">
      <c r="A79" s="13"/>
      <c r="B79" s="12">
        <f>SUM(B77:B78)</f>
        <v>2799841.3412500005</v>
      </c>
      <c r="C79"/>
      <c r="D79"/>
      <c r="E79"/>
      <c r="F79"/>
      <c r="G79"/>
    </row>
    <row r="80" spans="1:7" s="130" customFormat="1">
      <c r="A80" s="123" t="s">
        <v>118</v>
      </c>
      <c r="B80" s="77"/>
      <c r="C80"/>
      <c r="D80"/>
      <c r="E80"/>
      <c r="F80"/>
      <c r="G80"/>
    </row>
    <row r="81" spans="1:22">
      <c r="A81" s="78" t="s">
        <v>36</v>
      </c>
      <c r="B81" s="79" t="s">
        <v>37</v>
      </c>
    </row>
    <row r="82" spans="1:22">
      <c r="A82" s="121" t="s">
        <v>93</v>
      </c>
      <c r="B82" s="140">
        <v>17972410.350000001</v>
      </c>
      <c r="J82" s="83"/>
      <c r="K82" s="83"/>
    </row>
    <row r="83" spans="1:22">
      <c r="A83" s="121" t="s">
        <v>121</v>
      </c>
      <c r="B83" s="140">
        <v>415484.87</v>
      </c>
    </row>
    <row r="84" spans="1:22" s="114" customFormat="1">
      <c r="A84" s="121" t="s">
        <v>122</v>
      </c>
      <c r="B84" s="137">
        <v>138055.31</v>
      </c>
      <c r="C84"/>
      <c r="D84"/>
      <c r="E84"/>
      <c r="F84"/>
      <c r="G84"/>
    </row>
    <row r="85" spans="1:22">
      <c r="A85" s="121" t="s">
        <v>123</v>
      </c>
      <c r="B85" s="140">
        <v>118854.72</v>
      </c>
      <c r="P85" s="290"/>
      <c r="Q85" s="290"/>
      <c r="R85" s="290"/>
      <c r="S85" s="290"/>
    </row>
    <row r="86" spans="1:22">
      <c r="A86" s="121" t="s">
        <v>130</v>
      </c>
      <c r="B86" s="140">
        <f>'ZO12'!B8</f>
        <v>93557.45</v>
      </c>
      <c r="P86" s="147"/>
    </row>
    <row r="87" spans="1:22" s="114" customFormat="1">
      <c r="A87" s="134" t="s">
        <v>39</v>
      </c>
      <c r="B87" s="11">
        <f>SUM(B82:B86)+(B91*'ZO12'!B20)</f>
        <v>18742217.649648</v>
      </c>
      <c r="C87"/>
      <c r="D87"/>
      <c r="E87"/>
      <c r="F87"/>
      <c r="G87"/>
    </row>
    <row r="88" spans="1:22">
      <c r="A88" s="121" t="s">
        <v>94</v>
      </c>
      <c r="B88" s="137">
        <v>4330979.28</v>
      </c>
    </row>
    <row r="89" spans="1:22">
      <c r="A89" s="121" t="s">
        <v>124</v>
      </c>
      <c r="B89" s="137">
        <v>0</v>
      </c>
    </row>
    <row r="90" spans="1:22">
      <c r="A90" s="121" t="s">
        <v>41</v>
      </c>
      <c r="B90" s="139">
        <f>SUM(B88:B89)+(B91*'ZO12'!B21)</f>
        <v>4333761.6403520005</v>
      </c>
    </row>
    <row r="91" spans="1:22" s="130" customFormat="1">
      <c r="A91" s="121" t="s">
        <v>177</v>
      </c>
      <c r="B91" s="133">
        <f>'ZO12'!B13</f>
        <v>6637.31</v>
      </c>
      <c r="C91"/>
      <c r="D91"/>
      <c r="E91"/>
      <c r="F91"/>
      <c r="G91"/>
    </row>
    <row r="92" spans="1:22" s="130" customFormat="1">
      <c r="A92" s="134" t="s">
        <v>154</v>
      </c>
      <c r="B92" s="154">
        <f>SUM(B91)</f>
        <v>6637.31</v>
      </c>
      <c r="C92"/>
      <c r="D92"/>
      <c r="E92"/>
      <c r="F92"/>
      <c r="G92"/>
    </row>
    <row r="93" spans="1:22">
      <c r="A93" s="134" t="s">
        <v>42</v>
      </c>
      <c r="B93" s="10">
        <f>B87+B90</f>
        <v>23075979.289999999</v>
      </c>
    </row>
    <row r="94" spans="1:22">
      <c r="A94" s="136" t="s">
        <v>43</v>
      </c>
      <c r="B94" s="8">
        <f>B93</f>
        <v>23075979.289999999</v>
      </c>
    </row>
    <row r="95" spans="1:22">
      <c r="A95" s="135" t="s">
        <v>119</v>
      </c>
      <c r="B95" s="13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1:22">
      <c r="A96" s="134" t="s">
        <v>45</v>
      </c>
      <c r="B96" s="133">
        <f>B90</f>
        <v>4333761.6403520005</v>
      </c>
      <c r="H96" t="s">
        <v>101</v>
      </c>
    </row>
    <row r="97" spans="1:2">
      <c r="A97" s="14" t="s">
        <v>102</v>
      </c>
      <c r="B97" s="9">
        <f>'BS Acct-Gas'!D101</f>
        <v>440478.81000000006</v>
      </c>
    </row>
    <row r="98" spans="1:2">
      <c r="A98" s="13"/>
      <c r="B98" s="12">
        <f>SUM(B96:B97)</f>
        <v>4774240.4503520001</v>
      </c>
    </row>
    <row r="99" spans="1:2">
      <c r="A99" s="80"/>
      <c r="B99" s="81"/>
    </row>
    <row r="100" spans="1:2">
      <c r="A100" s="124" t="s">
        <v>95</v>
      </c>
      <c r="B100" s="77"/>
    </row>
    <row r="101" spans="1:2">
      <c r="A101" s="78" t="s">
        <v>36</v>
      </c>
      <c r="B101" s="79" t="s">
        <v>37</v>
      </c>
    </row>
    <row r="102" spans="1:2">
      <c r="A102" s="134" t="s">
        <v>125</v>
      </c>
      <c r="B102" s="7">
        <v>0</v>
      </c>
    </row>
    <row r="103" spans="1:2">
      <c r="A103" s="134" t="s">
        <v>126</v>
      </c>
      <c r="B103" s="7">
        <v>16024853.77</v>
      </c>
    </row>
    <row r="104" spans="1:2">
      <c r="A104" s="134" t="s">
        <v>39</v>
      </c>
      <c r="B104" s="6">
        <f>SUM(B102:B103)</f>
        <v>16024853.77</v>
      </c>
    </row>
    <row r="105" spans="1:2">
      <c r="A105" s="134" t="s">
        <v>127</v>
      </c>
      <c r="B105" s="5">
        <v>0</v>
      </c>
    </row>
    <row r="106" spans="1:2">
      <c r="A106" s="134" t="s">
        <v>128</v>
      </c>
      <c r="B106" s="7">
        <v>4285876.5599999996</v>
      </c>
    </row>
    <row r="107" spans="1:2">
      <c r="A107" s="134" t="s">
        <v>41</v>
      </c>
      <c r="B107" s="138">
        <f>SUM(B105:B106)</f>
        <v>4285876.5599999996</v>
      </c>
    </row>
    <row r="108" spans="1:2">
      <c r="A108" s="134" t="s">
        <v>42</v>
      </c>
      <c r="B108" s="5">
        <f>B104+B107</f>
        <v>20310730.329999998</v>
      </c>
    </row>
    <row r="109" spans="1:2">
      <c r="A109" s="136" t="s">
        <v>43</v>
      </c>
      <c r="B109" s="4">
        <f>B108</f>
        <v>20310730.329999998</v>
      </c>
    </row>
    <row r="110" spans="1:2">
      <c r="A110" s="135" t="s">
        <v>120</v>
      </c>
      <c r="B110" s="3"/>
    </row>
    <row r="111" spans="1:2">
      <c r="A111" s="134" t="s">
        <v>45</v>
      </c>
      <c r="B111" s="3">
        <f>B107</f>
        <v>4285876.5599999996</v>
      </c>
    </row>
    <row r="112" spans="1:2">
      <c r="A112" s="14" t="s">
        <v>102</v>
      </c>
      <c r="B112" s="2">
        <f>'BS Acct-Gas'!D120</f>
        <v>589921.65999999992</v>
      </c>
    </row>
    <row r="113" spans="1:2">
      <c r="A113" s="14"/>
      <c r="B113" s="1">
        <f>SUM(B111:B112)</f>
        <v>4875798.22</v>
      </c>
    </row>
    <row r="114" spans="1:2">
      <c r="A114" s="80"/>
      <c r="B114" s="81"/>
    </row>
    <row r="115" spans="1:2">
      <c r="A115" s="125" t="s">
        <v>96</v>
      </c>
      <c r="B115" s="77"/>
    </row>
    <row r="116" spans="1:2">
      <c r="A116" s="78" t="s">
        <v>36</v>
      </c>
      <c r="B116" s="79" t="s">
        <v>37</v>
      </c>
    </row>
    <row r="117" spans="1:2">
      <c r="A117" s="134" t="s">
        <v>38</v>
      </c>
      <c r="B117" s="7">
        <v>17480805.469999999</v>
      </c>
    </row>
    <row r="118" spans="1:2">
      <c r="A118" s="134" t="s">
        <v>39</v>
      </c>
      <c r="B118" s="6">
        <f>SUM(B117:B117)</f>
        <v>17480805.469999999</v>
      </c>
    </row>
    <row r="119" spans="1:2">
      <c r="A119" s="134" t="s">
        <v>40</v>
      </c>
      <c r="B119" s="7">
        <v>4478843.62</v>
      </c>
    </row>
    <row r="120" spans="1:2">
      <c r="A120" s="134" t="s">
        <v>41</v>
      </c>
      <c r="B120" s="138">
        <f>SUM(B119:B119)</f>
        <v>4478843.62</v>
      </c>
    </row>
    <row r="121" spans="1:2">
      <c r="A121" s="134" t="s">
        <v>42</v>
      </c>
      <c r="B121" s="5">
        <f>B118+B120</f>
        <v>21959649.09</v>
      </c>
    </row>
    <row r="122" spans="1:2">
      <c r="A122" s="136" t="s">
        <v>43</v>
      </c>
      <c r="B122" s="4">
        <f>B121</f>
        <v>21959649.09</v>
      </c>
    </row>
    <row r="123" spans="1:2">
      <c r="A123" s="135" t="s">
        <v>44</v>
      </c>
      <c r="B123" s="3"/>
    </row>
    <row r="124" spans="1:2">
      <c r="A124" s="134" t="s">
        <v>45</v>
      </c>
      <c r="B124" s="3">
        <f>B120</f>
        <v>4478843.62</v>
      </c>
    </row>
    <row r="125" spans="1:2">
      <c r="A125" s="14" t="s">
        <v>102</v>
      </c>
      <c r="B125" s="2">
        <f>'BS Acct-Gas'!D140</f>
        <v>-21315.01999999999</v>
      </c>
    </row>
    <row r="126" spans="1:2">
      <c r="A126" s="14"/>
      <c r="B126" s="1">
        <f>SUM(B124:B125)</f>
        <v>4457528.6000000006</v>
      </c>
    </row>
    <row r="127" spans="1:2">
      <c r="A127" s="80"/>
      <c r="B127" s="81"/>
    </row>
    <row r="128" spans="1:2">
      <c r="A128" s="126" t="s">
        <v>97</v>
      </c>
      <c r="B128" s="77"/>
    </row>
    <row r="129" spans="1:2">
      <c r="A129" s="78" t="s">
        <v>36</v>
      </c>
      <c r="B129" s="79" t="s">
        <v>37</v>
      </c>
    </row>
    <row r="130" spans="1:2">
      <c r="A130" s="134" t="s">
        <v>91</v>
      </c>
      <c r="B130" s="7">
        <v>14034500.779999999</v>
      </c>
    </row>
    <row r="131" spans="1:2">
      <c r="A131" s="134" t="s">
        <v>39</v>
      </c>
      <c r="B131" s="6">
        <f>SUM(B130:B130)</f>
        <v>14034500.779999999</v>
      </c>
    </row>
    <row r="132" spans="1:2">
      <c r="A132" s="134" t="s">
        <v>92</v>
      </c>
      <c r="B132" s="7">
        <v>4367438.3899999997</v>
      </c>
    </row>
    <row r="133" spans="1:2">
      <c r="A133" s="134" t="s">
        <v>41</v>
      </c>
      <c r="B133" s="138">
        <f>SUM(B132:B132)</f>
        <v>4367438.3899999997</v>
      </c>
    </row>
    <row r="134" spans="1:2">
      <c r="A134" s="134" t="s">
        <v>42</v>
      </c>
      <c r="B134" s="5">
        <f>B131+B133</f>
        <v>18401939.169999998</v>
      </c>
    </row>
    <row r="135" spans="1:2">
      <c r="A135" s="136" t="s">
        <v>43</v>
      </c>
      <c r="B135" s="4">
        <f>B134</f>
        <v>18401939.169999998</v>
      </c>
    </row>
    <row r="136" spans="1:2">
      <c r="A136" s="135" t="s">
        <v>46</v>
      </c>
      <c r="B136" s="3"/>
    </row>
    <row r="137" spans="1:2">
      <c r="A137" s="134" t="s">
        <v>45</v>
      </c>
      <c r="B137" s="3">
        <f>B133</f>
        <v>4367438.3899999997</v>
      </c>
    </row>
    <row r="138" spans="1:2">
      <c r="A138" s="14" t="s">
        <v>102</v>
      </c>
      <c r="B138" s="2">
        <f>'BS Acct-Gas'!D159</f>
        <v>-301417.74000000011</v>
      </c>
    </row>
    <row r="139" spans="1:2">
      <c r="A139" s="14"/>
      <c r="B139" s="1">
        <f>SUM(B137:B138)</f>
        <v>4066020.6499999994</v>
      </c>
    </row>
    <row r="140" spans="1:2">
      <c r="A140" s="80"/>
      <c r="B140" s="81"/>
    </row>
    <row r="141" spans="1:2">
      <c r="A141" s="127" t="s">
        <v>98</v>
      </c>
      <c r="B141" s="77"/>
    </row>
    <row r="142" spans="1:2">
      <c r="A142" s="78" t="s">
        <v>36</v>
      </c>
      <c r="B142" s="79" t="s">
        <v>37</v>
      </c>
    </row>
    <row r="143" spans="1:2">
      <c r="A143" s="134" t="s">
        <v>91</v>
      </c>
      <c r="B143" s="7">
        <v>20289820.600000001</v>
      </c>
    </row>
    <row r="144" spans="1:2">
      <c r="A144" s="134" t="s">
        <v>39</v>
      </c>
      <c r="B144" s="6">
        <f>SUM(B143:B143)</f>
        <v>20289820.600000001</v>
      </c>
    </row>
    <row r="145" spans="1:10">
      <c r="A145" s="134" t="s">
        <v>92</v>
      </c>
      <c r="B145" s="7">
        <v>6426737.5099999998</v>
      </c>
      <c r="H145" s="74"/>
      <c r="I145" s="74"/>
      <c r="J145" s="74"/>
    </row>
    <row r="146" spans="1:10">
      <c r="A146" s="134" t="s">
        <v>41</v>
      </c>
      <c r="B146" s="138">
        <f>SUM(B145:B145)</f>
        <v>6426737.5099999998</v>
      </c>
      <c r="H146" s="74"/>
      <c r="I146" s="74"/>
      <c r="J146" s="74"/>
    </row>
    <row r="147" spans="1:10">
      <c r="A147" s="134" t="s">
        <v>42</v>
      </c>
      <c r="B147" s="5">
        <f>B144+B146</f>
        <v>26716558.109999999</v>
      </c>
      <c r="H147" s="74"/>
      <c r="I147" s="74"/>
      <c r="J147" s="74"/>
    </row>
    <row r="148" spans="1:10">
      <c r="A148" s="136" t="s">
        <v>43</v>
      </c>
      <c r="B148" s="4">
        <f>B147</f>
        <v>26716558.109999999</v>
      </c>
      <c r="H148" s="74"/>
      <c r="I148" s="74"/>
      <c r="J148" s="74"/>
    </row>
    <row r="149" spans="1:10">
      <c r="A149" s="135" t="s">
        <v>47</v>
      </c>
      <c r="B149" s="3"/>
      <c r="H149" s="74"/>
      <c r="I149" s="74"/>
      <c r="J149" s="74"/>
    </row>
    <row r="150" spans="1:10">
      <c r="A150" s="134" t="s">
        <v>45</v>
      </c>
      <c r="B150" s="3">
        <f>B146</f>
        <v>6426737.5099999998</v>
      </c>
      <c r="H150" s="74"/>
      <c r="I150" s="74"/>
      <c r="J150" s="74"/>
    </row>
    <row r="151" spans="1:10">
      <c r="A151" s="14" t="s">
        <v>102</v>
      </c>
      <c r="B151" s="2">
        <f>'BS Acct-Gas'!D177</f>
        <v>300211.78000000014</v>
      </c>
      <c r="H151" s="74"/>
      <c r="I151" s="74"/>
      <c r="J151" s="74"/>
    </row>
    <row r="152" spans="1:10">
      <c r="A152" s="14"/>
      <c r="B152" s="1">
        <f>SUM(B150:B151)</f>
        <v>6726949.29</v>
      </c>
      <c r="H152" s="74"/>
      <c r="I152" s="74"/>
      <c r="J152" s="74"/>
    </row>
    <row r="153" spans="1:10">
      <c r="A153" s="80"/>
      <c r="B153" s="81"/>
      <c r="H153" s="74"/>
      <c r="I153" s="74"/>
      <c r="J153" s="82"/>
    </row>
    <row r="154" spans="1:10">
      <c r="A154" s="74" t="s">
        <v>48</v>
      </c>
      <c r="B154" s="76"/>
      <c r="H154" s="74"/>
      <c r="I154" s="74"/>
      <c r="J154" s="74"/>
    </row>
    <row r="155" spans="1:10">
      <c r="A155" s="74"/>
      <c r="B155" s="76"/>
      <c r="H155" s="74"/>
      <c r="I155" s="74"/>
      <c r="J155" s="74"/>
    </row>
    <row r="156" spans="1:10">
      <c r="A156" s="130" t="s">
        <v>104</v>
      </c>
      <c r="B156" s="82"/>
      <c r="H156" s="74"/>
      <c r="I156" s="74"/>
      <c r="J156" s="74"/>
    </row>
    <row r="157" spans="1:10">
      <c r="A157" s="130" t="s">
        <v>105</v>
      </c>
      <c r="B157" s="76"/>
      <c r="H157" s="74"/>
      <c r="I157" s="74"/>
      <c r="J157" s="74"/>
    </row>
    <row r="158" spans="1:10">
      <c r="A158" s="130" t="s">
        <v>106</v>
      </c>
      <c r="B158" s="76"/>
      <c r="H158" s="74"/>
      <c r="I158" s="74"/>
      <c r="J158" s="74"/>
    </row>
    <row r="159" spans="1:10">
      <c r="A159" s="130" t="s">
        <v>107</v>
      </c>
      <c r="B159" s="76"/>
      <c r="H159" s="74"/>
      <c r="I159" s="74"/>
      <c r="J159" s="74"/>
    </row>
    <row r="160" spans="1:10">
      <c r="A160" s="130" t="s">
        <v>108</v>
      </c>
      <c r="B160" s="76"/>
    </row>
    <row r="161" spans="1:2">
      <c r="A161" s="130" t="s">
        <v>109</v>
      </c>
      <c r="B161" s="76"/>
    </row>
    <row r="162" spans="1:2">
      <c r="A162" s="130" t="s">
        <v>110</v>
      </c>
      <c r="B162" s="76"/>
    </row>
    <row r="163" spans="1:2">
      <c r="A163" s="130" t="s">
        <v>111</v>
      </c>
      <c r="B163" s="76"/>
    </row>
    <row r="164" spans="1:2">
      <c r="A164" s="130" t="s">
        <v>112</v>
      </c>
      <c r="B164" s="76"/>
    </row>
    <row r="165" spans="1:2">
      <c r="A165" s="130" t="s">
        <v>113</v>
      </c>
      <c r="B165" s="76"/>
    </row>
    <row r="166" spans="1:2">
      <c r="A166" s="130" t="s">
        <v>114</v>
      </c>
      <c r="B166" s="76"/>
    </row>
    <row r="167" spans="1:2">
      <c r="A167" s="130" t="s">
        <v>115</v>
      </c>
      <c r="B167" s="76"/>
    </row>
    <row r="168" spans="1:2">
      <c r="A168" s="130" t="s">
        <v>116</v>
      </c>
      <c r="B168" s="76"/>
    </row>
    <row r="169" spans="1:2">
      <c r="A169" s="130" t="s">
        <v>117</v>
      </c>
      <c r="B169" s="76"/>
    </row>
    <row r="170" spans="1:2">
      <c r="B170" s="76"/>
    </row>
    <row r="171" spans="1:2">
      <c r="B171" s="76"/>
    </row>
    <row r="172" spans="1:2">
      <c r="B172" s="76"/>
    </row>
    <row r="173" spans="1:2">
      <c r="B173" s="76"/>
    </row>
    <row r="174" spans="1:2">
      <c r="B174" s="76"/>
    </row>
    <row r="175" spans="1:2">
      <c r="B175" s="76"/>
    </row>
    <row r="176" spans="1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  <row r="186" spans="2:2">
      <c r="B186" s="76"/>
    </row>
    <row r="187" spans="2:2">
      <c r="B187" s="76"/>
    </row>
    <row r="188" spans="2:2">
      <c r="B188" s="76"/>
    </row>
    <row r="189" spans="2:2">
      <c r="B189" s="76"/>
    </row>
    <row r="190" spans="2:2">
      <c r="B190" s="76"/>
    </row>
    <row r="191" spans="2:2">
      <c r="B191" s="76"/>
    </row>
    <row r="192" spans="2:2">
      <c r="B192" s="76"/>
    </row>
    <row r="193" spans="2:2">
      <c r="B193" s="76"/>
    </row>
    <row r="194" spans="2:2">
      <c r="B194" s="76"/>
    </row>
    <row r="195" spans="2:2">
      <c r="B195" s="76"/>
    </row>
    <row r="196" spans="2:2">
      <c r="B196" s="76"/>
    </row>
    <row r="197" spans="2:2">
      <c r="B197" s="76"/>
    </row>
    <row r="198" spans="2:2">
      <c r="B198" s="76"/>
    </row>
    <row r="199" spans="2:2">
      <c r="B199" s="76"/>
    </row>
    <row r="200" spans="2:2">
      <c r="B200" s="76"/>
    </row>
    <row r="201" spans="2:2">
      <c r="B201" s="76"/>
    </row>
    <row r="202" spans="2:2">
      <c r="B202" s="76"/>
    </row>
    <row r="203" spans="2:2">
      <c r="B203" s="76"/>
    </row>
  </sheetData>
  <mergeCells count="1">
    <mergeCell ref="P85:S85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>
      <selection activeCell="D23" sqref="D23"/>
    </sheetView>
  </sheetViews>
  <sheetFormatPr defaultColWidth="8.88671875" defaultRowHeight="14.4" outlineLevelRow="1"/>
  <cols>
    <col min="1" max="1" width="14" style="83" customWidth="1"/>
    <col min="2" max="5" width="14.88671875" style="83" customWidth="1"/>
    <col min="6" max="6" width="8.88671875" style="83"/>
    <col min="7" max="9" width="13.6640625" style="83" bestFit="1" customWidth="1"/>
    <col min="10" max="10" width="10.109375" style="83" bestFit="1" customWidth="1"/>
    <col min="11" max="12" width="13.6640625" style="83" bestFit="1" customWidth="1"/>
    <col min="13" max="16384" width="8.88671875" style="83"/>
  </cols>
  <sheetData>
    <row r="1" spans="1:5">
      <c r="A1" s="83" t="s">
        <v>49</v>
      </c>
    </row>
    <row r="2" spans="1:5">
      <c r="A2" s="83" t="s">
        <v>50</v>
      </c>
    </row>
    <row r="4" spans="1:5">
      <c r="A4" s="148" t="s">
        <v>51</v>
      </c>
    </row>
    <row r="5" spans="1:5">
      <c r="A5" s="148" t="s">
        <v>52</v>
      </c>
    </row>
    <row r="6" spans="1:5">
      <c r="A6" s="148" t="s">
        <v>53</v>
      </c>
    </row>
    <row r="7" spans="1:5">
      <c r="A7" s="148"/>
    </row>
    <row r="8" spans="1:5">
      <c r="A8" s="84"/>
      <c r="B8" s="85"/>
      <c r="C8" s="85"/>
      <c r="D8" s="85"/>
      <c r="E8" s="86" t="s">
        <v>54</v>
      </c>
    </row>
    <row r="9" spans="1:5">
      <c r="A9" s="86" t="s">
        <v>55</v>
      </c>
      <c r="B9" s="86" t="s">
        <v>56</v>
      </c>
      <c r="C9" s="86" t="s">
        <v>57</v>
      </c>
      <c r="D9" s="86" t="s">
        <v>58</v>
      </c>
      <c r="E9" s="86" t="s">
        <v>59</v>
      </c>
    </row>
    <row r="10" spans="1:5">
      <c r="A10" s="87" t="s">
        <v>60</v>
      </c>
      <c r="B10" s="88" t="s">
        <v>61</v>
      </c>
      <c r="C10" s="88" t="s">
        <v>62</v>
      </c>
      <c r="D10" s="88" t="s">
        <v>63</v>
      </c>
      <c r="E10" s="88" t="s">
        <v>64</v>
      </c>
    </row>
    <row r="11" spans="1:5">
      <c r="A11" s="91" t="s">
        <v>65</v>
      </c>
      <c r="B11" s="100"/>
      <c r="C11" s="100"/>
      <c r="D11" s="100"/>
      <c r="E11" s="142">
        <f>E43</f>
        <v>-5277023.7299999986</v>
      </c>
    </row>
    <row r="12" spans="1:5">
      <c r="A12" s="150">
        <v>44592</v>
      </c>
      <c r="B12" s="224">
        <v>322120.19</v>
      </c>
      <c r="C12" s="224">
        <v>521341.63</v>
      </c>
      <c r="D12" s="224">
        <f>+B12-C12</f>
        <v>-199221.44</v>
      </c>
      <c r="E12" s="224">
        <f>+E11+D12</f>
        <v>-5476245.169999999</v>
      </c>
    </row>
    <row r="13" spans="1:5">
      <c r="A13" s="150">
        <f>A12+28</f>
        <v>44620</v>
      </c>
      <c r="B13" s="224">
        <v>268221</v>
      </c>
      <c r="C13" s="224">
        <v>80842.289999999994</v>
      </c>
      <c r="D13" s="224">
        <f t="shared" ref="D13:D23" si="0">+B13-C13</f>
        <v>187378.71000000002</v>
      </c>
      <c r="E13" s="224">
        <f t="shared" ref="E13:E23" si="1">+E12+D13</f>
        <v>-5288866.459999999</v>
      </c>
    </row>
    <row r="14" spans="1:5">
      <c r="A14" s="150">
        <f>A13+31</f>
        <v>44651</v>
      </c>
      <c r="B14" s="224">
        <v>343607.79</v>
      </c>
      <c r="C14" s="224">
        <v>2146806.98</v>
      </c>
      <c r="D14" s="224">
        <f t="shared" si="0"/>
        <v>-1803199.19</v>
      </c>
      <c r="E14" s="224">
        <f t="shared" si="1"/>
        <v>-7092065.6499999985</v>
      </c>
    </row>
    <row r="15" spans="1:5">
      <c r="A15" s="150">
        <f>A14+30</f>
        <v>44681</v>
      </c>
      <c r="B15" s="224">
        <v>390001.97</v>
      </c>
      <c r="C15" s="224">
        <v>1517499.52</v>
      </c>
      <c r="D15" s="224">
        <f t="shared" si="0"/>
        <v>-1127497.55</v>
      </c>
      <c r="E15" s="224">
        <f t="shared" si="1"/>
        <v>-8219563.1999999983</v>
      </c>
    </row>
    <row r="16" spans="1:5">
      <c r="A16" s="150">
        <f t="shared" ref="A16" si="2">A15+31</f>
        <v>44712</v>
      </c>
      <c r="B16" s="224">
        <v>759211.28</v>
      </c>
      <c r="C16" s="224">
        <v>1416294.36</v>
      </c>
      <c r="D16" s="224">
        <f t="shared" si="0"/>
        <v>-657083.08000000007</v>
      </c>
      <c r="E16" s="224">
        <f t="shared" si="1"/>
        <v>-8876646.2799999975</v>
      </c>
    </row>
    <row r="17" spans="1:5">
      <c r="A17" s="150">
        <f>A16+30</f>
        <v>44742</v>
      </c>
      <c r="B17" s="224">
        <v>2204330.41</v>
      </c>
      <c r="C17" s="224">
        <v>62393.75</v>
      </c>
      <c r="D17" s="224">
        <f t="shared" si="0"/>
        <v>2141936.66</v>
      </c>
      <c r="E17" s="224">
        <f t="shared" si="1"/>
        <v>-6734709.6199999973</v>
      </c>
    </row>
    <row r="18" spans="1:5">
      <c r="A18" s="150">
        <f>A17+31</f>
        <v>44773</v>
      </c>
      <c r="B18" s="224">
        <v>1249456.1000000001</v>
      </c>
      <c r="C18" s="224">
        <v>116216.83</v>
      </c>
      <c r="D18" s="224">
        <f t="shared" si="0"/>
        <v>1133239.27</v>
      </c>
      <c r="E18" s="224">
        <f t="shared" si="1"/>
        <v>-5601470.3499999978</v>
      </c>
    </row>
    <row r="19" spans="1:5">
      <c r="A19" s="150">
        <f>A18+31</f>
        <v>44804</v>
      </c>
      <c r="B19" s="224">
        <v>954689.87</v>
      </c>
      <c r="C19" s="224">
        <v>97987.41</v>
      </c>
      <c r="D19" s="224">
        <f t="shared" si="0"/>
        <v>856702.46</v>
      </c>
      <c r="E19" s="224">
        <f t="shared" si="1"/>
        <v>-4744767.8899999978</v>
      </c>
    </row>
    <row r="20" spans="1:5">
      <c r="A20" s="150">
        <f t="shared" ref="A20:A22" si="3">A19+30</f>
        <v>44834</v>
      </c>
      <c r="B20" s="224">
        <v>510941.44</v>
      </c>
      <c r="C20" s="224">
        <v>438583.21</v>
      </c>
      <c r="D20" s="224">
        <f t="shared" si="0"/>
        <v>72358.229999999981</v>
      </c>
      <c r="E20" s="224">
        <f t="shared" si="1"/>
        <v>-4672409.6599999983</v>
      </c>
    </row>
    <row r="21" spans="1:5">
      <c r="A21" s="150">
        <f>A20+31</f>
        <v>44865</v>
      </c>
      <c r="B21" s="224">
        <v>480672.29</v>
      </c>
      <c r="C21" s="224">
        <v>1711980.46</v>
      </c>
      <c r="D21" s="224">
        <f t="shared" si="0"/>
        <v>-1231308.17</v>
      </c>
      <c r="E21" s="224">
        <f t="shared" si="1"/>
        <v>-5903717.8299999982</v>
      </c>
    </row>
    <row r="22" spans="1:5">
      <c r="A22" s="150">
        <f t="shared" si="3"/>
        <v>44895</v>
      </c>
      <c r="B22" s="224">
        <v>397937.49</v>
      </c>
      <c r="C22" s="224">
        <v>6815561.1799999997</v>
      </c>
      <c r="D22" s="224">
        <f t="shared" si="0"/>
        <v>-6417623.6899999995</v>
      </c>
      <c r="E22" s="224">
        <f t="shared" si="1"/>
        <v>-12321341.519999998</v>
      </c>
    </row>
    <row r="23" spans="1:5">
      <c r="A23" s="150">
        <f>A22+31</f>
        <v>44926</v>
      </c>
      <c r="B23" s="224">
        <v>5191702.55</v>
      </c>
      <c r="C23" s="224">
        <v>49120.24</v>
      </c>
      <c r="D23" s="224">
        <f t="shared" si="0"/>
        <v>5142582.3099999996</v>
      </c>
      <c r="E23" s="224">
        <f t="shared" si="1"/>
        <v>-7178759.2099999981</v>
      </c>
    </row>
    <row r="24" spans="1:5">
      <c r="A24" s="150"/>
      <c r="B24" s="100"/>
      <c r="C24" s="100"/>
      <c r="D24" s="100"/>
      <c r="E24" s="100"/>
    </row>
    <row r="25" spans="1:5">
      <c r="A25" s="150"/>
      <c r="B25" s="92"/>
      <c r="C25" s="93" t="s">
        <v>66</v>
      </c>
      <c r="D25" s="94">
        <f>SUM(D12:D24)</f>
        <v>-1901735.4799999995</v>
      </c>
      <c r="E25" s="100"/>
    </row>
    <row r="26" spans="1:5">
      <c r="A26" s="150"/>
      <c r="B26" s="100"/>
      <c r="C26" s="100"/>
      <c r="D26" s="100"/>
      <c r="E26" s="100"/>
    </row>
    <row r="27" spans="1:5">
      <c r="A27" s="99"/>
      <c r="B27" s="95" t="s">
        <v>67</v>
      </c>
      <c r="C27" s="96"/>
      <c r="D27" s="97"/>
      <c r="E27" s="94">
        <f>E23-E11</f>
        <v>-1901735.4799999995</v>
      </c>
    </row>
    <row r="28" spans="1:5">
      <c r="A28" s="84"/>
      <c r="B28" s="85"/>
      <c r="C28" s="85"/>
      <c r="D28" s="85"/>
      <c r="E28" s="86" t="s">
        <v>54</v>
      </c>
    </row>
    <row r="29" spans="1:5">
      <c r="A29" s="86" t="s">
        <v>55</v>
      </c>
      <c r="B29" s="86" t="s">
        <v>56</v>
      </c>
      <c r="C29" s="86" t="s">
        <v>57</v>
      </c>
      <c r="D29" s="86" t="s">
        <v>58</v>
      </c>
      <c r="E29" s="86" t="s">
        <v>59</v>
      </c>
    </row>
    <row r="30" spans="1:5">
      <c r="A30" s="87" t="s">
        <v>60</v>
      </c>
      <c r="B30" s="88" t="s">
        <v>61</v>
      </c>
      <c r="C30" s="88" t="s">
        <v>62</v>
      </c>
      <c r="D30" s="88" t="s">
        <v>63</v>
      </c>
      <c r="E30" s="88" t="s">
        <v>64</v>
      </c>
    </row>
    <row r="31" spans="1:5">
      <c r="A31" s="91" t="s">
        <v>65</v>
      </c>
      <c r="B31" s="100"/>
      <c r="C31" s="100"/>
      <c r="D31" s="100"/>
      <c r="E31" s="142">
        <f>E62</f>
        <v>-3057421.2499999995</v>
      </c>
    </row>
    <row r="32" spans="1:5">
      <c r="A32" s="150">
        <v>44227</v>
      </c>
      <c r="B32" s="224">
        <v>230947.67</v>
      </c>
      <c r="C32" s="224">
        <v>841603.37</v>
      </c>
      <c r="D32" s="224">
        <f>+B32-C32</f>
        <v>-610655.69999999995</v>
      </c>
      <c r="E32" s="224">
        <f>+E31+D32</f>
        <v>-3668076.9499999993</v>
      </c>
    </row>
    <row r="33" spans="1:5">
      <c r="A33" s="150">
        <f>A32+28</f>
        <v>44255</v>
      </c>
      <c r="B33" s="224">
        <v>189232.47</v>
      </c>
      <c r="C33" s="224">
        <v>841977.18</v>
      </c>
      <c r="D33" s="224">
        <f t="shared" ref="D33:D43" si="4">+B33-C33</f>
        <v>-652744.71000000008</v>
      </c>
      <c r="E33" s="224">
        <f t="shared" ref="E33:E43" si="5">+E32+D33</f>
        <v>-4320821.6599999992</v>
      </c>
    </row>
    <row r="34" spans="1:5">
      <c r="A34" s="150">
        <f>A33+31</f>
        <v>44286</v>
      </c>
      <c r="B34" s="224">
        <v>506227.21</v>
      </c>
      <c r="C34" s="224">
        <v>849021.16</v>
      </c>
      <c r="D34" s="224">
        <f t="shared" si="4"/>
        <v>-342793.95</v>
      </c>
      <c r="E34" s="224">
        <f t="shared" si="5"/>
        <v>-4663615.6099999994</v>
      </c>
    </row>
    <row r="35" spans="1:5">
      <c r="A35" s="150">
        <f>A34+30</f>
        <v>44316</v>
      </c>
      <c r="B35" s="224">
        <v>274872.74</v>
      </c>
      <c r="C35" s="224">
        <v>599231.06999999995</v>
      </c>
      <c r="D35" s="224">
        <f t="shared" si="4"/>
        <v>-324358.32999999996</v>
      </c>
      <c r="E35" s="224">
        <f t="shared" si="5"/>
        <v>-4987973.9399999995</v>
      </c>
    </row>
    <row r="36" spans="1:5">
      <c r="A36" s="150">
        <f t="shared" ref="A36" si="6">A35+31</f>
        <v>44347</v>
      </c>
      <c r="B36" s="224">
        <v>269285.34000000003</v>
      </c>
      <c r="C36" s="224">
        <v>464834.6</v>
      </c>
      <c r="D36" s="224">
        <f t="shared" si="4"/>
        <v>-195549.25999999995</v>
      </c>
      <c r="E36" s="224">
        <f t="shared" si="5"/>
        <v>-5183523.1999999993</v>
      </c>
    </row>
    <row r="37" spans="1:5">
      <c r="A37" s="150">
        <f>A36+30</f>
        <v>44377</v>
      </c>
      <c r="B37" s="224">
        <v>303529.73</v>
      </c>
      <c r="C37" s="224">
        <v>356330.64</v>
      </c>
      <c r="D37" s="224">
        <f t="shared" si="4"/>
        <v>-52800.910000000033</v>
      </c>
      <c r="E37" s="224">
        <f t="shared" si="5"/>
        <v>-5236324.1099999994</v>
      </c>
    </row>
    <row r="38" spans="1:5">
      <c r="A38" s="150">
        <f>A37+31</f>
        <v>44408</v>
      </c>
      <c r="B38" s="224">
        <v>317233.36</v>
      </c>
      <c r="C38" s="224">
        <v>317360.61</v>
      </c>
      <c r="D38" s="224">
        <f t="shared" si="4"/>
        <v>-127.25</v>
      </c>
      <c r="E38" s="224">
        <f t="shared" si="5"/>
        <v>-5236451.3599999994</v>
      </c>
    </row>
    <row r="39" spans="1:5">
      <c r="A39" s="150">
        <f>A38+31</f>
        <v>44439</v>
      </c>
      <c r="B39" s="224">
        <v>311958.71999999997</v>
      </c>
      <c r="C39" s="224">
        <v>303661.06</v>
      </c>
      <c r="D39" s="224">
        <f t="shared" si="4"/>
        <v>8297.6599999999744</v>
      </c>
      <c r="E39" s="224">
        <f t="shared" si="5"/>
        <v>-5228153.6999999993</v>
      </c>
    </row>
    <row r="40" spans="1:5">
      <c r="A40" s="150">
        <f t="shared" ref="A40:A42" si="7">A39+30</f>
        <v>44469</v>
      </c>
      <c r="B40" s="224">
        <v>245959.36</v>
      </c>
      <c r="C40" s="224">
        <v>398443.79</v>
      </c>
      <c r="D40" s="224">
        <f t="shared" si="4"/>
        <v>-152484.43</v>
      </c>
      <c r="E40" s="224">
        <f t="shared" si="5"/>
        <v>-5380638.129999999</v>
      </c>
    </row>
    <row r="41" spans="1:5">
      <c r="A41" s="150">
        <f>A40+31</f>
        <v>44500</v>
      </c>
      <c r="B41" s="224">
        <v>313695.57</v>
      </c>
      <c r="C41" s="224">
        <v>639811.69999999995</v>
      </c>
      <c r="D41" s="224">
        <f t="shared" si="4"/>
        <v>-326116.12999999995</v>
      </c>
      <c r="E41" s="224">
        <f t="shared" si="5"/>
        <v>-5706754.2599999988</v>
      </c>
    </row>
    <row r="42" spans="1:5">
      <c r="A42" s="150">
        <f t="shared" si="7"/>
        <v>44530</v>
      </c>
      <c r="B42" s="224">
        <v>225171.37</v>
      </c>
      <c r="C42" s="224">
        <v>867506.57</v>
      </c>
      <c r="D42" s="224">
        <f t="shared" si="4"/>
        <v>-642335.19999999995</v>
      </c>
      <c r="E42" s="224">
        <f t="shared" si="5"/>
        <v>-6349089.459999999</v>
      </c>
    </row>
    <row r="43" spans="1:5">
      <c r="A43" s="150">
        <f>A42+31</f>
        <v>44561</v>
      </c>
      <c r="B43" s="224">
        <v>2304798.9300000002</v>
      </c>
      <c r="C43" s="224">
        <v>1232733.2</v>
      </c>
      <c r="D43" s="224">
        <f t="shared" si="4"/>
        <v>1072065.7300000002</v>
      </c>
      <c r="E43" s="224">
        <f t="shared" si="5"/>
        <v>-5277023.7299999986</v>
      </c>
    </row>
    <row r="44" spans="1:5">
      <c r="A44" s="150"/>
      <c r="B44" s="100"/>
      <c r="C44" s="100"/>
      <c r="D44" s="100"/>
      <c r="E44" s="100"/>
    </row>
    <row r="45" spans="1:5">
      <c r="A45" s="150"/>
      <c r="B45" s="92"/>
      <c r="C45" s="93" t="s">
        <v>66</v>
      </c>
      <c r="D45" s="94">
        <f>SUM(D32:D44)</f>
        <v>-2219602.4799999995</v>
      </c>
      <c r="E45" s="100"/>
    </row>
    <row r="46" spans="1:5">
      <c r="A46" s="150"/>
      <c r="B46" s="100"/>
      <c r="C46" s="100"/>
      <c r="D46" s="100"/>
      <c r="E46" s="100"/>
    </row>
    <row r="47" spans="1:5">
      <c r="A47" s="99"/>
      <c r="B47" s="95" t="s">
        <v>67</v>
      </c>
      <c r="C47" s="96"/>
      <c r="D47" s="97"/>
      <c r="E47" s="94">
        <f>E43-E31</f>
        <v>-2219602.4799999991</v>
      </c>
    </row>
    <row r="48" spans="1:5">
      <c r="A48" s="99"/>
      <c r="B48" s="100"/>
      <c r="C48" s="100"/>
      <c r="D48" s="100"/>
      <c r="E48" s="100"/>
    </row>
    <row r="49" spans="1:5">
      <c r="A49" s="99"/>
      <c r="B49" s="100"/>
      <c r="C49" s="100"/>
      <c r="D49" s="100"/>
      <c r="E49" s="100"/>
    </row>
    <row r="50" spans="1:5">
      <c r="A50" s="91" t="s">
        <v>65</v>
      </c>
      <c r="B50" s="100"/>
      <c r="C50" s="100"/>
      <c r="D50" s="100"/>
      <c r="E50" s="142">
        <f>E81</f>
        <v>-1097007.4499999997</v>
      </c>
    </row>
    <row r="51" spans="1:5">
      <c r="A51" s="150">
        <v>43861</v>
      </c>
      <c r="B51" s="224">
        <v>1006426.59</v>
      </c>
      <c r="C51" s="224">
        <v>1145843.69</v>
      </c>
      <c r="D51" s="224">
        <f>+B51-C51</f>
        <v>-139417.09999999998</v>
      </c>
      <c r="E51" s="224">
        <f>+E50+D51</f>
        <v>-1236424.5499999998</v>
      </c>
    </row>
    <row r="52" spans="1:5">
      <c r="A52" s="150">
        <f>A51+28</f>
        <v>43889</v>
      </c>
      <c r="B52" s="224">
        <v>756461.26</v>
      </c>
      <c r="C52" s="224">
        <v>760161.01</v>
      </c>
      <c r="D52" s="224">
        <f t="shared" ref="D52:D62" si="8">+B52-C52</f>
        <v>-3699.75</v>
      </c>
      <c r="E52" s="224">
        <f t="shared" ref="E52:E62" si="9">+E51+D52</f>
        <v>-1240124.2999999998</v>
      </c>
    </row>
    <row r="53" spans="1:5">
      <c r="A53" s="150">
        <f>A52+31</f>
        <v>43920</v>
      </c>
      <c r="B53" s="224">
        <v>807133.15</v>
      </c>
      <c r="C53" s="224">
        <v>969355.91</v>
      </c>
      <c r="D53" s="224">
        <f t="shared" si="8"/>
        <v>-162222.76</v>
      </c>
      <c r="E53" s="224">
        <f t="shared" si="9"/>
        <v>-1402347.0599999998</v>
      </c>
    </row>
    <row r="54" spans="1:5">
      <c r="A54" s="150">
        <f>A53+30</f>
        <v>43950</v>
      </c>
      <c r="B54" s="224">
        <v>934206.8</v>
      </c>
      <c r="C54" s="224">
        <v>1037026.53</v>
      </c>
      <c r="D54" s="224">
        <f t="shared" si="8"/>
        <v>-102819.72999999998</v>
      </c>
      <c r="E54" s="224">
        <f t="shared" si="9"/>
        <v>-1505166.7899999998</v>
      </c>
    </row>
    <row r="55" spans="1:5">
      <c r="A55" s="150">
        <f t="shared" ref="A55" si="10">A54+31</f>
        <v>43981</v>
      </c>
      <c r="B55" s="224">
        <v>863726.37</v>
      </c>
      <c r="C55" s="224">
        <v>1069585.3999999999</v>
      </c>
      <c r="D55" s="224">
        <f t="shared" si="8"/>
        <v>-205859.02999999991</v>
      </c>
      <c r="E55" s="224">
        <f t="shared" si="9"/>
        <v>-1711025.8199999998</v>
      </c>
    </row>
    <row r="56" spans="1:5">
      <c r="A56" s="150">
        <f>A55+30</f>
        <v>44011</v>
      </c>
      <c r="B56" s="224">
        <v>852904.13</v>
      </c>
      <c r="C56" s="224">
        <v>837200.66</v>
      </c>
      <c r="D56" s="224">
        <f t="shared" si="8"/>
        <v>15703.469999999972</v>
      </c>
      <c r="E56" s="224">
        <f t="shared" si="9"/>
        <v>-1695322.3499999999</v>
      </c>
    </row>
    <row r="57" spans="1:5">
      <c r="A57" s="150">
        <f>A56+31</f>
        <v>44042</v>
      </c>
      <c r="B57" s="224">
        <v>812422.83</v>
      </c>
      <c r="C57" s="224">
        <v>827452.68</v>
      </c>
      <c r="D57" s="224">
        <f t="shared" si="8"/>
        <v>-15029.850000000093</v>
      </c>
      <c r="E57" s="224">
        <f t="shared" si="9"/>
        <v>-1710352.2</v>
      </c>
    </row>
    <row r="58" spans="1:5">
      <c r="A58" s="150">
        <f>A57+31</f>
        <v>44073</v>
      </c>
      <c r="B58" s="224">
        <v>763286.81</v>
      </c>
      <c r="C58" s="224">
        <v>822229.16</v>
      </c>
      <c r="D58" s="224">
        <f t="shared" si="8"/>
        <v>-58942.349999999977</v>
      </c>
      <c r="E58" s="224">
        <f t="shared" si="9"/>
        <v>-1769294.5499999998</v>
      </c>
    </row>
    <row r="59" spans="1:5">
      <c r="A59" s="150">
        <f t="shared" ref="A59:A61" si="11">A58+30</f>
        <v>44103</v>
      </c>
      <c r="B59" s="224">
        <v>712235.96</v>
      </c>
      <c r="C59" s="224">
        <v>748474.15</v>
      </c>
      <c r="D59" s="224">
        <f t="shared" si="8"/>
        <v>-36238.190000000061</v>
      </c>
      <c r="E59" s="224">
        <f t="shared" si="9"/>
        <v>-1805532.7399999998</v>
      </c>
    </row>
    <row r="60" spans="1:5">
      <c r="A60" s="150">
        <f>A59+31</f>
        <v>44134</v>
      </c>
      <c r="B60" s="224">
        <v>522130.53</v>
      </c>
      <c r="C60" s="224">
        <v>661993.07999999996</v>
      </c>
      <c r="D60" s="224">
        <f t="shared" si="8"/>
        <v>-139862.54999999993</v>
      </c>
      <c r="E60" s="224">
        <f t="shared" si="9"/>
        <v>-1945395.2899999996</v>
      </c>
    </row>
    <row r="61" spans="1:5">
      <c r="A61" s="150">
        <f t="shared" si="11"/>
        <v>44164</v>
      </c>
      <c r="B61" s="224">
        <v>143443.20000000001</v>
      </c>
      <c r="C61" s="224">
        <v>658475.81999999995</v>
      </c>
      <c r="D61" s="224">
        <f t="shared" si="8"/>
        <v>-515032.61999999994</v>
      </c>
      <c r="E61" s="224">
        <f t="shared" si="9"/>
        <v>-2460427.9099999997</v>
      </c>
    </row>
    <row r="62" spans="1:5">
      <c r="A62" s="150">
        <f>A61+31</f>
        <v>44195</v>
      </c>
      <c r="B62" s="224">
        <v>183147.99</v>
      </c>
      <c r="C62" s="224">
        <v>780141.33</v>
      </c>
      <c r="D62" s="224">
        <f t="shared" si="8"/>
        <v>-596993.34</v>
      </c>
      <c r="E62" s="224">
        <f t="shared" si="9"/>
        <v>-3057421.2499999995</v>
      </c>
    </row>
    <row r="63" spans="1:5">
      <c r="A63" s="150"/>
      <c r="B63" s="100"/>
      <c r="C63" s="100"/>
      <c r="D63" s="100"/>
      <c r="E63" s="100"/>
    </row>
    <row r="64" spans="1:5">
      <c r="A64" s="150"/>
      <c r="B64" s="92"/>
      <c r="C64" s="93" t="s">
        <v>66</v>
      </c>
      <c r="D64" s="94">
        <f>SUM(D51:D63)</f>
        <v>-1960413.7999999998</v>
      </c>
      <c r="E64" s="100"/>
    </row>
    <row r="65" spans="1:5">
      <c r="A65" s="150"/>
      <c r="B65" s="100"/>
      <c r="C65" s="100"/>
      <c r="D65" s="100"/>
      <c r="E65" s="100"/>
    </row>
    <row r="66" spans="1:5">
      <c r="A66" s="99"/>
      <c r="B66" s="95" t="s">
        <v>67</v>
      </c>
      <c r="C66" s="96"/>
      <c r="D66" s="97"/>
      <c r="E66" s="94">
        <f>E62-E50</f>
        <v>-1960413.7999999998</v>
      </c>
    </row>
    <row r="67" spans="1:5">
      <c r="A67" s="99"/>
      <c r="B67" s="100"/>
      <c r="C67" s="100"/>
      <c r="D67" s="100"/>
      <c r="E67" s="100"/>
    </row>
    <row r="68" spans="1:5">
      <c r="A68" s="99"/>
      <c r="B68" s="100"/>
      <c r="C68" s="100"/>
      <c r="D68" s="100"/>
      <c r="E68" s="100"/>
    </row>
    <row r="69" spans="1:5">
      <c r="A69" s="91" t="s">
        <v>65</v>
      </c>
      <c r="B69" s="100"/>
      <c r="C69" s="100"/>
      <c r="D69" s="100"/>
      <c r="E69" s="142">
        <f>E99</f>
        <v>-599251.47</v>
      </c>
    </row>
    <row r="70" spans="1:5">
      <c r="A70" s="150">
        <v>43496</v>
      </c>
      <c r="B70" s="224">
        <v>304256.55</v>
      </c>
      <c r="C70" s="224">
        <v>199553.15</v>
      </c>
      <c r="D70" s="224">
        <f>+B70-C70</f>
        <v>104703.4</v>
      </c>
      <c r="E70" s="224">
        <f>+E69+D70</f>
        <v>-494548.06999999995</v>
      </c>
    </row>
    <row r="71" spans="1:5">
      <c r="A71" s="150">
        <f>A70+28</f>
        <v>43524</v>
      </c>
      <c r="B71" s="224">
        <v>227824.02</v>
      </c>
      <c r="C71" s="224">
        <v>868206.05</v>
      </c>
      <c r="D71" s="224">
        <f t="shared" ref="D71:D81" si="12">+B71-C71</f>
        <v>-640382.03</v>
      </c>
      <c r="E71" s="224">
        <f t="shared" ref="E71:E81" si="13">+E70+D71</f>
        <v>-1134930.1000000001</v>
      </c>
    </row>
    <row r="72" spans="1:5">
      <c r="A72" s="150">
        <f>A71+31</f>
        <v>43555</v>
      </c>
      <c r="B72" s="224">
        <v>226753.28</v>
      </c>
      <c r="C72" s="224">
        <v>265693.96999999997</v>
      </c>
      <c r="D72" s="224">
        <f t="shared" si="12"/>
        <v>-38940.689999999973</v>
      </c>
      <c r="E72" s="224">
        <f t="shared" si="13"/>
        <v>-1173870.79</v>
      </c>
    </row>
    <row r="73" spans="1:5">
      <c r="A73" s="150">
        <f>A72+30</f>
        <v>43585</v>
      </c>
      <c r="B73" s="224">
        <v>663927.48</v>
      </c>
      <c r="C73" s="224">
        <v>684710.13</v>
      </c>
      <c r="D73" s="224">
        <f t="shared" si="12"/>
        <v>-20782.650000000023</v>
      </c>
      <c r="E73" s="224">
        <f t="shared" si="13"/>
        <v>-1194653.44</v>
      </c>
    </row>
    <row r="74" spans="1:5">
      <c r="A74" s="150">
        <f t="shared" ref="A74" si="14">A73+31</f>
        <v>43616</v>
      </c>
      <c r="B74" s="224">
        <v>953391.34</v>
      </c>
      <c r="C74" s="224">
        <v>1239288.68</v>
      </c>
      <c r="D74" s="224">
        <f t="shared" si="12"/>
        <v>-285897.33999999997</v>
      </c>
      <c r="E74" s="224">
        <f t="shared" si="13"/>
        <v>-1480550.7799999998</v>
      </c>
    </row>
    <row r="75" spans="1:5">
      <c r="A75" s="150">
        <f>A74+30</f>
        <v>43646</v>
      </c>
      <c r="B75" s="224">
        <v>1047487.28</v>
      </c>
      <c r="C75" s="224">
        <v>1046367.46</v>
      </c>
      <c r="D75" s="224">
        <f t="shared" si="12"/>
        <v>1119.8200000000652</v>
      </c>
      <c r="E75" s="224">
        <f t="shared" si="13"/>
        <v>-1479430.9599999997</v>
      </c>
    </row>
    <row r="76" spans="1:5">
      <c r="A76" s="150">
        <f>A75+31</f>
        <v>43677</v>
      </c>
      <c r="B76" s="224">
        <v>1068042.6100000001</v>
      </c>
      <c r="C76" s="224">
        <v>686593.35</v>
      </c>
      <c r="D76" s="224">
        <f t="shared" si="12"/>
        <v>381449.26000000013</v>
      </c>
      <c r="E76" s="224">
        <f t="shared" si="13"/>
        <v>-1097981.6999999997</v>
      </c>
    </row>
    <row r="77" spans="1:5">
      <c r="A77" s="150">
        <f>A76+31</f>
        <v>43708</v>
      </c>
      <c r="B77" s="224">
        <v>1002783.96</v>
      </c>
      <c r="C77" s="224">
        <v>819047.39</v>
      </c>
      <c r="D77" s="224">
        <f t="shared" si="12"/>
        <v>183736.56999999995</v>
      </c>
      <c r="E77" s="224">
        <f t="shared" si="13"/>
        <v>-914245.12999999977</v>
      </c>
    </row>
    <row r="78" spans="1:5">
      <c r="A78" s="150">
        <f t="shared" ref="A78:A80" si="15">A77+30</f>
        <v>43738</v>
      </c>
      <c r="B78" s="224">
        <v>948585.39</v>
      </c>
      <c r="C78" s="224">
        <v>921177.27</v>
      </c>
      <c r="D78" s="224">
        <f t="shared" si="12"/>
        <v>27408.119999999995</v>
      </c>
      <c r="E78" s="224">
        <f t="shared" si="13"/>
        <v>-886837.00999999978</v>
      </c>
    </row>
    <row r="79" spans="1:5">
      <c r="A79" s="150">
        <f>A78+31</f>
        <v>43769</v>
      </c>
      <c r="B79" s="224">
        <v>934922.79</v>
      </c>
      <c r="C79" s="224">
        <v>993855.33</v>
      </c>
      <c r="D79" s="224">
        <f t="shared" si="12"/>
        <v>-58932.539999999921</v>
      </c>
      <c r="E79" s="224">
        <f t="shared" si="13"/>
        <v>-945769.5499999997</v>
      </c>
    </row>
    <row r="80" spans="1:5">
      <c r="A80" s="150">
        <f t="shared" si="15"/>
        <v>43799</v>
      </c>
      <c r="B80" s="224">
        <v>792423.33</v>
      </c>
      <c r="C80" s="224">
        <v>938965.54</v>
      </c>
      <c r="D80" s="224">
        <f t="shared" si="12"/>
        <v>-146542.21000000008</v>
      </c>
      <c r="E80" s="224">
        <f t="shared" si="13"/>
        <v>-1092311.7599999998</v>
      </c>
    </row>
    <row r="81" spans="1:5">
      <c r="A81" s="150">
        <f>A80+31</f>
        <v>43830</v>
      </c>
      <c r="B81" s="224">
        <v>883861.26</v>
      </c>
      <c r="C81" s="224">
        <v>888556.95</v>
      </c>
      <c r="D81" s="224">
        <f t="shared" si="12"/>
        <v>-4695.6899999999441</v>
      </c>
      <c r="E81" s="224">
        <f t="shared" si="13"/>
        <v>-1097007.4499999997</v>
      </c>
    </row>
    <row r="82" spans="1:5">
      <c r="A82" s="150"/>
      <c r="B82" s="100"/>
      <c r="C82" s="100"/>
      <c r="D82" s="100"/>
      <c r="E82" s="100"/>
    </row>
    <row r="83" spans="1:5">
      <c r="A83" s="150"/>
      <c r="B83" s="92"/>
      <c r="C83" s="93" t="s">
        <v>66</v>
      </c>
      <c r="D83" s="94">
        <f>SUM(D70:D82)</f>
        <v>-497755.97999999975</v>
      </c>
      <c r="E83" s="100"/>
    </row>
    <row r="84" spans="1:5">
      <c r="A84" s="150"/>
      <c r="B84" s="100"/>
      <c r="C84" s="100"/>
      <c r="D84" s="100"/>
      <c r="E84" s="100"/>
    </row>
    <row r="85" spans="1:5">
      <c r="A85" s="99"/>
      <c r="B85" s="95" t="s">
        <v>67</v>
      </c>
      <c r="C85" s="96"/>
      <c r="D85" s="97"/>
      <c r="E85" s="94">
        <f>E81-E69</f>
        <v>-497755.97999999975</v>
      </c>
    </row>
    <row r="86" spans="1:5">
      <c r="A86" s="99"/>
      <c r="B86" s="89"/>
      <c r="C86" s="89"/>
      <c r="D86" s="222"/>
      <c r="E86" s="223"/>
    </row>
    <row r="87" spans="1:5">
      <c r="A87" s="91" t="s">
        <v>65</v>
      </c>
      <c r="B87" s="149"/>
      <c r="C87" s="149"/>
      <c r="D87" s="149"/>
      <c r="E87" s="149">
        <v>-1039730.28</v>
      </c>
    </row>
    <row r="88" spans="1:5">
      <c r="A88" s="150">
        <v>43131</v>
      </c>
      <c r="B88" s="149">
        <v>1137197.29</v>
      </c>
      <c r="C88" s="149">
        <v>1243110.99</v>
      </c>
      <c r="D88" s="149">
        <v>-105913.7</v>
      </c>
      <c r="E88" s="149">
        <v>-1145643.98</v>
      </c>
    </row>
    <row r="89" spans="1:5">
      <c r="A89" s="150">
        <f>A88+28</f>
        <v>43159</v>
      </c>
      <c r="B89" s="149">
        <v>716073.58</v>
      </c>
      <c r="C89" s="149">
        <v>751877.51</v>
      </c>
      <c r="D89" s="149">
        <v>-35803.93</v>
      </c>
      <c r="E89" s="149">
        <v>-1181447.9099999999</v>
      </c>
    </row>
    <row r="90" spans="1:5">
      <c r="A90" s="150">
        <f>A89+31</f>
        <v>43190</v>
      </c>
      <c r="B90" s="149">
        <v>410711.22</v>
      </c>
      <c r="C90" s="149">
        <v>462480.4</v>
      </c>
      <c r="D90" s="149">
        <v>-51769.18</v>
      </c>
      <c r="E90" s="149">
        <v>-1233217.0900000001</v>
      </c>
    </row>
    <row r="91" spans="1:5">
      <c r="A91" s="150">
        <f>A90+30</f>
        <v>43220</v>
      </c>
      <c r="B91" s="149">
        <v>379937.64</v>
      </c>
      <c r="C91" s="149">
        <v>411557.66</v>
      </c>
      <c r="D91" s="149">
        <v>-31620.02</v>
      </c>
      <c r="E91" s="149">
        <v>-1264837.1100000001</v>
      </c>
    </row>
    <row r="92" spans="1:5">
      <c r="A92" s="150">
        <f t="shared" ref="A92" si="16">A91+31</f>
        <v>43251</v>
      </c>
      <c r="B92" s="149">
        <v>380090.57</v>
      </c>
      <c r="C92" s="149">
        <v>345638.05</v>
      </c>
      <c r="D92" s="149">
        <v>34452.519999999997</v>
      </c>
      <c r="E92" s="149">
        <v>-1230384.5900000001</v>
      </c>
    </row>
    <row r="93" spans="1:5">
      <c r="A93" s="150">
        <f>A92+30</f>
        <v>43281</v>
      </c>
      <c r="B93" s="149">
        <v>432055.63</v>
      </c>
      <c r="C93" s="149">
        <v>394024.44</v>
      </c>
      <c r="D93" s="149">
        <v>38031.19</v>
      </c>
      <c r="E93" s="149">
        <v>-1192353.3999999999</v>
      </c>
    </row>
    <row r="94" spans="1:5">
      <c r="A94" s="150">
        <f>A93+31</f>
        <v>43312</v>
      </c>
      <c r="B94" s="149">
        <v>587762.09</v>
      </c>
      <c r="C94" s="149">
        <v>405426.33</v>
      </c>
      <c r="D94" s="149">
        <v>182335.76</v>
      </c>
      <c r="E94" s="149">
        <v>-1010017.64</v>
      </c>
    </row>
    <row r="95" spans="1:5">
      <c r="A95" s="150">
        <f>A94+31</f>
        <v>43343</v>
      </c>
      <c r="B95" s="149">
        <v>594955.23</v>
      </c>
      <c r="C95" s="149">
        <v>455068.58</v>
      </c>
      <c r="D95" s="149">
        <v>139886.65</v>
      </c>
      <c r="E95" s="149">
        <v>-870130.99</v>
      </c>
    </row>
    <row r="96" spans="1:5">
      <c r="A96" s="150">
        <f t="shared" ref="A96:A98" si="17">A95+30</f>
        <v>43373</v>
      </c>
      <c r="B96" s="149">
        <v>1240486.3500000001</v>
      </c>
      <c r="C96" s="149">
        <v>869573.32</v>
      </c>
      <c r="D96" s="149">
        <v>370913.03</v>
      </c>
      <c r="E96" s="149">
        <v>-499217.96</v>
      </c>
    </row>
    <row r="97" spans="1:7">
      <c r="A97" s="150">
        <f>A96+31</f>
        <v>43404</v>
      </c>
      <c r="B97" s="149">
        <v>295535.78999999998</v>
      </c>
      <c r="C97" s="149">
        <v>404625.08</v>
      </c>
      <c r="D97" s="149">
        <v>-109089.29</v>
      </c>
      <c r="E97" s="149">
        <v>-608307.25</v>
      </c>
      <c r="G97" s="151"/>
    </row>
    <row r="98" spans="1:7">
      <c r="A98" s="150">
        <f t="shared" si="17"/>
        <v>43434</v>
      </c>
      <c r="B98" s="149">
        <v>388810.69</v>
      </c>
      <c r="C98" s="149">
        <v>375640.63</v>
      </c>
      <c r="D98" s="149">
        <v>13170.06</v>
      </c>
      <c r="E98" s="149">
        <v>-595137.18999999994</v>
      </c>
    </row>
    <row r="99" spans="1:7">
      <c r="A99" s="150">
        <f>A98+31</f>
        <v>43465</v>
      </c>
      <c r="B99" s="149">
        <v>264359.45</v>
      </c>
      <c r="C99" s="149">
        <v>268473.73</v>
      </c>
      <c r="D99" s="149">
        <v>-4114.28</v>
      </c>
      <c r="E99" s="149">
        <v>-599251.47</v>
      </c>
    </row>
    <row r="100" spans="1:7">
      <c r="A100" s="99"/>
      <c r="B100" s="100"/>
      <c r="C100" s="100"/>
      <c r="D100" s="100"/>
      <c r="E100" s="100"/>
    </row>
    <row r="101" spans="1:7">
      <c r="A101" s="99"/>
      <c r="B101" s="92"/>
      <c r="C101" s="93" t="s">
        <v>66</v>
      </c>
      <c r="D101" s="94">
        <f>SUM(D88:D100)</f>
        <v>440478.81000000006</v>
      </c>
      <c r="E101" s="100"/>
    </row>
    <row r="102" spans="1:7">
      <c r="A102" s="99"/>
      <c r="B102" s="100"/>
      <c r="C102" s="100"/>
      <c r="D102" s="100"/>
      <c r="E102" s="100"/>
    </row>
    <row r="103" spans="1:7">
      <c r="A103" s="99"/>
      <c r="B103" s="95" t="s">
        <v>67</v>
      </c>
      <c r="C103" s="96"/>
      <c r="D103" s="97"/>
      <c r="E103" s="94">
        <f>E99-E87</f>
        <v>440478.81000000006</v>
      </c>
    </row>
    <row r="104" spans="1:7">
      <c r="A104" s="99"/>
      <c r="B104" s="100"/>
      <c r="C104" s="100"/>
      <c r="D104" s="100"/>
      <c r="E104" s="142"/>
    </row>
    <row r="105" spans="1:7">
      <c r="A105" s="99"/>
      <c r="B105" s="100"/>
      <c r="C105" s="100"/>
      <c r="D105" s="100"/>
      <c r="E105" s="100"/>
    </row>
    <row r="106" spans="1:7">
      <c r="A106" s="91" t="s">
        <v>65</v>
      </c>
      <c r="B106" s="149"/>
      <c r="C106" s="149"/>
      <c r="D106" s="149"/>
      <c r="E106" s="149">
        <v>-1629651.94</v>
      </c>
    </row>
    <row r="107" spans="1:7">
      <c r="A107" s="150">
        <v>42766</v>
      </c>
      <c r="B107" s="149">
        <v>730006.85</v>
      </c>
      <c r="C107" s="149">
        <v>790058.41</v>
      </c>
      <c r="D107" s="149">
        <v>-60051.56</v>
      </c>
      <c r="E107" s="149">
        <v>-1689703.5</v>
      </c>
    </row>
    <row r="108" spans="1:7">
      <c r="A108" s="150">
        <f>A107+28</f>
        <v>42794</v>
      </c>
      <c r="B108" s="149">
        <v>608686.03</v>
      </c>
      <c r="C108" s="149">
        <v>1129301.5900000001</v>
      </c>
      <c r="D108" s="149">
        <v>-520615.56</v>
      </c>
      <c r="E108" s="149">
        <v>-2210319.06</v>
      </c>
    </row>
    <row r="109" spans="1:7">
      <c r="A109" s="150">
        <f>A108+31</f>
        <v>42825</v>
      </c>
      <c r="B109" s="149">
        <v>740269.19</v>
      </c>
      <c r="C109" s="149">
        <v>907912.68</v>
      </c>
      <c r="D109" s="149">
        <v>-167643.49</v>
      </c>
      <c r="E109" s="149">
        <v>-2377962.5499999998</v>
      </c>
    </row>
    <row r="110" spans="1:7">
      <c r="A110" s="150">
        <f>A109+30</f>
        <v>42855</v>
      </c>
      <c r="B110" s="149">
        <v>559630.43000000005</v>
      </c>
      <c r="C110" s="149">
        <v>533073.31000000006</v>
      </c>
      <c r="D110" s="149">
        <v>26557.119999999999</v>
      </c>
      <c r="E110" s="149">
        <v>-2351405.4300000002</v>
      </c>
    </row>
    <row r="111" spans="1:7">
      <c r="A111" s="150">
        <f t="shared" ref="A111" si="18">A110+31</f>
        <v>42886</v>
      </c>
      <c r="B111" s="149">
        <v>498443.68</v>
      </c>
      <c r="C111" s="149">
        <v>526195.55000000005</v>
      </c>
      <c r="D111" s="149">
        <v>-27751.87</v>
      </c>
      <c r="E111" s="149">
        <v>-2379157.2999999998</v>
      </c>
    </row>
    <row r="112" spans="1:7">
      <c r="A112" s="150">
        <f>A111+30</f>
        <v>42916</v>
      </c>
      <c r="B112" s="149">
        <v>640017.76</v>
      </c>
      <c r="C112" s="149">
        <v>364503.5</v>
      </c>
      <c r="D112" s="149">
        <v>275514.26</v>
      </c>
      <c r="E112" s="149">
        <v>-2103643.04</v>
      </c>
    </row>
    <row r="113" spans="1:5">
      <c r="A113" s="150">
        <f>A112+31</f>
        <v>42947</v>
      </c>
      <c r="B113" s="149">
        <v>880985.69</v>
      </c>
      <c r="C113" s="149">
        <v>136966.17000000001</v>
      </c>
      <c r="D113" s="149">
        <v>744019.52</v>
      </c>
      <c r="E113" s="149">
        <v>-1359623.52</v>
      </c>
    </row>
    <row r="114" spans="1:5">
      <c r="A114" s="150">
        <f>A113+31</f>
        <v>42978</v>
      </c>
      <c r="B114" s="149">
        <v>818630.79</v>
      </c>
      <c r="C114" s="149">
        <v>541070.43999999994</v>
      </c>
      <c r="D114" s="149">
        <v>277560.34999999998</v>
      </c>
      <c r="E114" s="149">
        <v>-1082063.17</v>
      </c>
    </row>
    <row r="115" spans="1:5">
      <c r="A115" s="150">
        <f t="shared" ref="A115:A117" si="19">A114+30</f>
        <v>43008</v>
      </c>
      <c r="B115" s="149">
        <v>670658.93999999994</v>
      </c>
      <c r="C115" s="149">
        <v>434309.08</v>
      </c>
      <c r="D115" s="149">
        <v>236349.86</v>
      </c>
      <c r="E115" s="149">
        <v>-845713.31</v>
      </c>
    </row>
    <row r="116" spans="1:5">
      <c r="A116" s="150">
        <f>A115+31</f>
        <v>43039</v>
      </c>
      <c r="B116" s="149">
        <v>620162.51</v>
      </c>
      <c r="C116" s="149">
        <v>418299.33</v>
      </c>
      <c r="D116" s="149">
        <v>201863.18</v>
      </c>
      <c r="E116" s="149">
        <v>-643850.13</v>
      </c>
    </row>
    <row r="117" spans="1:5">
      <c r="A117" s="150">
        <f t="shared" si="19"/>
        <v>43069</v>
      </c>
      <c r="B117" s="149">
        <v>563065.34</v>
      </c>
      <c r="C117" s="149">
        <v>498869.2</v>
      </c>
      <c r="D117" s="149">
        <v>64196.14</v>
      </c>
      <c r="E117" s="149">
        <v>-579653.99</v>
      </c>
    </row>
    <row r="118" spans="1:5">
      <c r="A118" s="150">
        <f>A117+31</f>
        <v>43100</v>
      </c>
      <c r="B118" s="149">
        <v>526604.43999999994</v>
      </c>
      <c r="C118" s="149">
        <v>986680.73</v>
      </c>
      <c r="D118" s="149">
        <v>-460076.29</v>
      </c>
      <c r="E118" s="149">
        <v>-1039730.28</v>
      </c>
    </row>
    <row r="119" spans="1:5">
      <c r="A119" s="99"/>
      <c r="B119" s="100"/>
      <c r="C119" s="100"/>
      <c r="D119" s="100"/>
      <c r="E119" s="100"/>
    </row>
    <row r="120" spans="1:5">
      <c r="A120" s="99"/>
      <c r="B120" s="92"/>
      <c r="C120" s="93" t="s">
        <v>66</v>
      </c>
      <c r="D120" s="94">
        <f>SUM(D107:D119)</f>
        <v>589921.65999999992</v>
      </c>
      <c r="E120" s="100"/>
    </row>
    <row r="121" spans="1:5">
      <c r="A121" s="99"/>
      <c r="B121" s="100"/>
      <c r="C121" s="100"/>
      <c r="D121" s="100"/>
      <c r="E121" s="100"/>
    </row>
    <row r="122" spans="1:5">
      <c r="A122" s="99"/>
      <c r="B122" s="95" t="s">
        <v>67</v>
      </c>
      <c r="C122" s="96"/>
      <c r="D122" s="97"/>
      <c r="E122" s="94">
        <f>E118-E106</f>
        <v>589921.65999999992</v>
      </c>
    </row>
    <row r="123" spans="1:5">
      <c r="A123" s="86"/>
      <c r="B123" s="86"/>
      <c r="C123" s="86"/>
      <c r="D123" s="86"/>
      <c r="E123" s="86"/>
    </row>
    <row r="124" spans="1:5">
      <c r="A124" s="86"/>
      <c r="B124" s="86"/>
      <c r="C124" s="86"/>
      <c r="D124" s="86"/>
      <c r="E124" s="86"/>
    </row>
    <row r="125" spans="1:5">
      <c r="A125" s="87" t="s">
        <v>60</v>
      </c>
      <c r="B125" s="88" t="s">
        <v>61</v>
      </c>
      <c r="C125" s="88" t="s">
        <v>62</v>
      </c>
      <c r="D125" s="88" t="s">
        <v>63</v>
      </c>
      <c r="E125" s="88" t="s">
        <v>64</v>
      </c>
    </row>
    <row r="126" spans="1:5">
      <c r="A126" s="91" t="s">
        <v>65</v>
      </c>
      <c r="B126" s="149"/>
      <c r="C126" s="149"/>
      <c r="D126" s="149"/>
      <c r="E126" s="149">
        <v>-1608336.92</v>
      </c>
    </row>
    <row r="127" spans="1:5">
      <c r="A127" s="150">
        <v>42400</v>
      </c>
      <c r="B127" s="149">
        <v>787325.6</v>
      </c>
      <c r="C127" s="149">
        <v>1003174.92</v>
      </c>
      <c r="D127" s="149">
        <v>-215849.32</v>
      </c>
      <c r="E127" s="149">
        <v>-1824186.24</v>
      </c>
    </row>
    <row r="128" spans="1:5">
      <c r="A128" s="150">
        <f>A127+29</f>
        <v>42429</v>
      </c>
      <c r="B128" s="149">
        <v>882901.6</v>
      </c>
      <c r="C128" s="149">
        <v>662282.9</v>
      </c>
      <c r="D128" s="149">
        <v>220618.7</v>
      </c>
      <c r="E128" s="149">
        <v>-1603567.54</v>
      </c>
    </row>
    <row r="129" spans="1:5">
      <c r="A129" s="150">
        <f>A128+31</f>
        <v>42460</v>
      </c>
      <c r="B129" s="149">
        <v>738583.35</v>
      </c>
      <c r="C129" s="149">
        <v>385052.97</v>
      </c>
      <c r="D129" s="149">
        <v>353530.38</v>
      </c>
      <c r="E129" s="149">
        <v>-1250037.1599999999</v>
      </c>
    </row>
    <row r="130" spans="1:5">
      <c r="A130" s="150">
        <f>A129+30</f>
        <v>42490</v>
      </c>
      <c r="B130" s="149">
        <v>315339.48</v>
      </c>
      <c r="C130" s="149">
        <v>444178.1</v>
      </c>
      <c r="D130" s="149">
        <v>-128838.62</v>
      </c>
      <c r="E130" s="149">
        <v>-1378875.78</v>
      </c>
    </row>
    <row r="131" spans="1:5">
      <c r="A131" s="150">
        <f t="shared" ref="A131:A138" si="20">A130+31</f>
        <v>42521</v>
      </c>
      <c r="B131" s="149">
        <v>285826.65000000002</v>
      </c>
      <c r="C131" s="149">
        <v>491621.95</v>
      </c>
      <c r="D131" s="149">
        <v>-205795.3</v>
      </c>
      <c r="E131" s="149">
        <v>-1584671.08</v>
      </c>
    </row>
    <row r="132" spans="1:5">
      <c r="A132" s="150">
        <f>A131+30</f>
        <v>42551</v>
      </c>
      <c r="B132" s="149">
        <v>659568.13</v>
      </c>
      <c r="C132" s="149">
        <v>581226.93999999994</v>
      </c>
      <c r="D132" s="149">
        <v>78341.19</v>
      </c>
      <c r="E132" s="149">
        <v>-1506329.89</v>
      </c>
    </row>
    <row r="133" spans="1:5">
      <c r="A133" s="150">
        <f t="shared" si="20"/>
        <v>42582</v>
      </c>
      <c r="B133" s="149">
        <v>585666.36</v>
      </c>
      <c r="C133" s="149">
        <v>480162.61</v>
      </c>
      <c r="D133" s="149">
        <v>105503.75</v>
      </c>
      <c r="E133" s="149">
        <v>-1400826.14</v>
      </c>
    </row>
    <row r="134" spans="1:5">
      <c r="A134" s="150">
        <f t="shared" si="20"/>
        <v>42613</v>
      </c>
      <c r="B134" s="149">
        <v>443614.79</v>
      </c>
      <c r="C134" s="149">
        <v>635794.48</v>
      </c>
      <c r="D134" s="149">
        <v>-192179.69</v>
      </c>
      <c r="E134" s="149">
        <v>-1593005.83</v>
      </c>
    </row>
    <row r="135" spans="1:5">
      <c r="A135" s="150">
        <f>A134+30</f>
        <v>42643</v>
      </c>
      <c r="B135" s="149">
        <v>678320.72</v>
      </c>
      <c r="C135" s="149">
        <v>625683.75</v>
      </c>
      <c r="D135" s="149">
        <v>52636.97</v>
      </c>
      <c r="E135" s="149">
        <v>-1540368.86</v>
      </c>
    </row>
    <row r="136" spans="1:5">
      <c r="A136" s="150">
        <f t="shared" si="20"/>
        <v>42674</v>
      </c>
      <c r="B136" s="149">
        <v>410153.5</v>
      </c>
      <c r="C136" s="149">
        <v>290894.55</v>
      </c>
      <c r="D136" s="149">
        <v>119258.95</v>
      </c>
      <c r="E136" s="149">
        <v>-1421109.91</v>
      </c>
    </row>
    <row r="137" spans="1:5">
      <c r="A137" s="150">
        <f>A136+30</f>
        <v>42704</v>
      </c>
      <c r="B137" s="149">
        <v>494260.95</v>
      </c>
      <c r="C137" s="149">
        <v>427286.36</v>
      </c>
      <c r="D137" s="149">
        <v>66974.59</v>
      </c>
      <c r="E137" s="149">
        <v>-1354135.32</v>
      </c>
    </row>
    <row r="138" spans="1:5">
      <c r="A138" s="150">
        <f t="shared" si="20"/>
        <v>42735</v>
      </c>
      <c r="B138" s="149">
        <v>543080.81999999995</v>
      </c>
      <c r="C138" s="149">
        <v>818597.44</v>
      </c>
      <c r="D138" s="149">
        <v>-275516.62</v>
      </c>
      <c r="E138" s="149">
        <v>-1629651.94</v>
      </c>
    </row>
    <row r="139" spans="1:5">
      <c r="A139" s="99"/>
      <c r="B139" s="100"/>
      <c r="C139" s="100"/>
      <c r="D139" s="100"/>
      <c r="E139" s="100"/>
    </row>
    <row r="140" spans="1:5">
      <c r="A140" s="99"/>
      <c r="B140" s="92"/>
      <c r="C140" s="93" t="s">
        <v>66</v>
      </c>
      <c r="D140" s="94">
        <f>SUM(D127:D139)</f>
        <v>-21315.01999999999</v>
      </c>
      <c r="E140" s="100"/>
    </row>
    <row r="141" spans="1:5">
      <c r="A141" s="99"/>
      <c r="B141" s="100"/>
      <c r="C141" s="100"/>
      <c r="D141" s="100"/>
      <c r="E141" s="100"/>
    </row>
    <row r="142" spans="1:5">
      <c r="A142" s="99"/>
      <c r="B142" s="95" t="s">
        <v>67</v>
      </c>
      <c r="C142" s="96"/>
      <c r="D142" s="97"/>
      <c r="E142" s="94">
        <f>E138-E126</f>
        <v>-21315.020000000019</v>
      </c>
    </row>
    <row r="143" spans="1:5">
      <c r="A143" s="99"/>
      <c r="B143" s="100"/>
      <c r="C143" s="100"/>
      <c r="D143" s="100"/>
      <c r="E143" s="100"/>
    </row>
    <row r="144" spans="1:5">
      <c r="A144" s="89"/>
      <c r="B144" s="90"/>
      <c r="C144" s="90"/>
      <c r="D144" s="90"/>
      <c r="E144" s="90"/>
    </row>
    <row r="145" spans="1:8">
      <c r="A145" s="91" t="s">
        <v>65</v>
      </c>
      <c r="B145" s="149"/>
      <c r="C145" s="149"/>
      <c r="D145" s="149"/>
      <c r="E145" s="149">
        <v>-1306919.18</v>
      </c>
    </row>
    <row r="146" spans="1:8">
      <c r="A146" s="150">
        <v>42035</v>
      </c>
      <c r="B146" s="149">
        <v>508806.85</v>
      </c>
      <c r="C146" s="149">
        <v>511200.79</v>
      </c>
      <c r="D146" s="149">
        <v>-2393.94</v>
      </c>
      <c r="E146" s="149">
        <v>-1309313.1200000001</v>
      </c>
    </row>
    <row r="147" spans="1:8">
      <c r="A147" s="150">
        <f>A146+28</f>
        <v>42063</v>
      </c>
      <c r="B147" s="149">
        <v>466862.49</v>
      </c>
      <c r="C147" s="149">
        <v>525093.24</v>
      </c>
      <c r="D147" s="149">
        <v>-58230.75</v>
      </c>
      <c r="E147" s="149">
        <v>-1367543.87</v>
      </c>
      <c r="H147" s="98"/>
    </row>
    <row r="148" spans="1:8">
      <c r="A148" s="150">
        <f>A147+31</f>
        <v>42094</v>
      </c>
      <c r="B148" s="149">
        <v>506647.66</v>
      </c>
      <c r="C148" s="149">
        <v>716502.61</v>
      </c>
      <c r="D148" s="149">
        <v>-209854.95</v>
      </c>
      <c r="E148" s="149">
        <v>-1577398.82</v>
      </c>
    </row>
    <row r="149" spans="1:8">
      <c r="A149" s="150">
        <f>A148+30</f>
        <v>42124</v>
      </c>
      <c r="B149" s="149">
        <v>384777.15</v>
      </c>
      <c r="C149" s="149">
        <v>668338.66</v>
      </c>
      <c r="D149" s="149">
        <v>-283561.51</v>
      </c>
      <c r="E149" s="149">
        <v>-1860960.33</v>
      </c>
    </row>
    <row r="150" spans="1:8">
      <c r="A150" s="150">
        <f t="shared" ref="A150:A157" si="21">A149+31</f>
        <v>42155</v>
      </c>
      <c r="B150" s="149">
        <v>435786.96</v>
      </c>
      <c r="C150" s="149">
        <v>530847.14</v>
      </c>
      <c r="D150" s="149">
        <v>-95060.18</v>
      </c>
      <c r="E150" s="149">
        <v>-1956020.51</v>
      </c>
    </row>
    <row r="151" spans="1:8">
      <c r="A151" s="150">
        <f>A150+30</f>
        <v>42185</v>
      </c>
      <c r="B151" s="149">
        <v>682632.01</v>
      </c>
      <c r="C151" s="149">
        <v>593987.31000000006</v>
      </c>
      <c r="D151" s="149">
        <v>88644.7</v>
      </c>
      <c r="E151" s="149">
        <v>-1867375.81</v>
      </c>
    </row>
    <row r="152" spans="1:8">
      <c r="A152" s="150">
        <f t="shared" si="21"/>
        <v>42216</v>
      </c>
      <c r="B152" s="149">
        <v>601156.36</v>
      </c>
      <c r="C152" s="149">
        <v>476045.48</v>
      </c>
      <c r="D152" s="149">
        <v>125110.88</v>
      </c>
      <c r="E152" s="149">
        <v>-1742264.93</v>
      </c>
    </row>
    <row r="153" spans="1:8">
      <c r="A153" s="150">
        <f t="shared" si="21"/>
        <v>42247</v>
      </c>
      <c r="B153" s="149">
        <v>216438.58</v>
      </c>
      <c r="C153" s="149">
        <v>300450.15000000002</v>
      </c>
      <c r="D153" s="149">
        <v>-84011.57</v>
      </c>
      <c r="E153" s="149">
        <v>-1826276.5</v>
      </c>
    </row>
    <row r="154" spans="1:8">
      <c r="A154" s="150">
        <f>A153+30</f>
        <v>42277</v>
      </c>
      <c r="B154" s="149">
        <v>141361.28</v>
      </c>
      <c r="C154" s="149">
        <v>501199.75</v>
      </c>
      <c r="D154" s="149">
        <v>-359838.47</v>
      </c>
      <c r="E154" s="149">
        <v>-2186114.9700000002</v>
      </c>
    </row>
    <row r="155" spans="1:8">
      <c r="A155" s="150">
        <f t="shared" si="21"/>
        <v>42308</v>
      </c>
      <c r="B155" s="149">
        <v>773851.44</v>
      </c>
      <c r="C155" s="149">
        <v>462884.78</v>
      </c>
      <c r="D155" s="149">
        <v>310966.65999999997</v>
      </c>
      <c r="E155" s="149">
        <v>-1875148.31</v>
      </c>
    </row>
    <row r="156" spans="1:8">
      <c r="A156" s="150">
        <f>A155+30</f>
        <v>42338</v>
      </c>
      <c r="B156" s="149">
        <v>202827.54</v>
      </c>
      <c r="C156" s="149">
        <v>262241.28999999998</v>
      </c>
      <c r="D156" s="149">
        <v>-59413.75</v>
      </c>
      <c r="E156" s="149">
        <v>-1934562.06</v>
      </c>
    </row>
    <row r="157" spans="1:8">
      <c r="A157" s="150">
        <f t="shared" si="21"/>
        <v>42369</v>
      </c>
      <c r="B157" s="149">
        <v>786631.25</v>
      </c>
      <c r="C157" s="149">
        <v>460406.11</v>
      </c>
      <c r="D157" s="149">
        <v>326225.14</v>
      </c>
      <c r="E157" s="149">
        <v>-1608336.92</v>
      </c>
    </row>
    <row r="158" spans="1:8">
      <c r="B158" s="141"/>
      <c r="C158" s="141"/>
      <c r="D158" s="141"/>
      <c r="E158" s="141"/>
    </row>
    <row r="159" spans="1:8">
      <c r="B159" s="92"/>
      <c r="C159" s="93" t="s">
        <v>66</v>
      </c>
      <c r="D159" s="94">
        <f>SUM(D145:D158)</f>
        <v>-301417.74000000011</v>
      </c>
    </row>
    <row r="161" spans="1:12">
      <c r="B161" s="95" t="s">
        <v>67</v>
      </c>
      <c r="C161" s="96"/>
      <c r="D161" s="97"/>
      <c r="E161" s="94">
        <f>E157-E145</f>
        <v>-301417.74</v>
      </c>
    </row>
    <row r="163" spans="1:12">
      <c r="A163" s="91" t="s">
        <v>65</v>
      </c>
      <c r="B163" s="141"/>
      <c r="C163" s="141"/>
      <c r="D163" s="141"/>
      <c r="E163" s="149">
        <v>-1607130.96</v>
      </c>
      <c r="G163" s="152"/>
    </row>
    <row r="164" spans="1:12">
      <c r="A164" s="150">
        <v>41670</v>
      </c>
      <c r="B164" s="149">
        <v>604159.06000000006</v>
      </c>
      <c r="C164" s="149">
        <v>859023.16</v>
      </c>
      <c r="D164" s="149">
        <v>-254864.1</v>
      </c>
      <c r="E164" s="149">
        <v>-1861995.06</v>
      </c>
    </row>
    <row r="165" spans="1:12">
      <c r="A165" s="150">
        <f>A164+28</f>
        <v>41698</v>
      </c>
      <c r="B165" s="149">
        <v>610753.27</v>
      </c>
      <c r="C165" s="149">
        <v>582433.81999999995</v>
      </c>
      <c r="D165" s="149">
        <v>28319.45</v>
      </c>
      <c r="E165" s="149">
        <v>-1833675.61</v>
      </c>
    </row>
    <row r="166" spans="1:12">
      <c r="A166" s="150">
        <f>A165+31</f>
        <v>41729</v>
      </c>
      <c r="B166" s="149">
        <v>648449.48</v>
      </c>
      <c r="C166" s="149">
        <v>608211.38</v>
      </c>
      <c r="D166" s="149">
        <v>40238.1</v>
      </c>
      <c r="E166" s="149">
        <v>-1793437.51</v>
      </c>
    </row>
    <row r="167" spans="1:12">
      <c r="A167" s="150">
        <f>A166+30</f>
        <v>41759</v>
      </c>
      <c r="B167" s="149">
        <v>381098.35</v>
      </c>
      <c r="C167" s="149">
        <v>656592.65</v>
      </c>
      <c r="D167" s="149">
        <v>-275494.3</v>
      </c>
      <c r="E167" s="149">
        <v>-2068931.81</v>
      </c>
    </row>
    <row r="168" spans="1:12">
      <c r="A168" s="150">
        <f t="shared" ref="A168:A175" si="22">A167+31</f>
        <v>41790</v>
      </c>
      <c r="B168" s="149">
        <v>518685.16</v>
      </c>
      <c r="C168" s="149">
        <v>606542.29</v>
      </c>
      <c r="D168" s="149">
        <v>-87857.13</v>
      </c>
      <c r="E168" s="149">
        <v>-2156788.94</v>
      </c>
    </row>
    <row r="169" spans="1:12">
      <c r="A169" s="150">
        <f>A168+30</f>
        <v>41820</v>
      </c>
      <c r="B169" s="149">
        <v>823996.31</v>
      </c>
      <c r="C169" s="149">
        <v>904536.24</v>
      </c>
      <c r="D169" s="149">
        <v>-80539.929999999993</v>
      </c>
      <c r="E169" s="149">
        <v>-2237328.87</v>
      </c>
    </row>
    <row r="170" spans="1:12">
      <c r="A170" s="150">
        <f t="shared" si="22"/>
        <v>41851</v>
      </c>
      <c r="B170" s="149">
        <v>884134.32</v>
      </c>
      <c r="C170" s="149">
        <v>810019</v>
      </c>
      <c r="D170" s="149">
        <v>74115.320000000007</v>
      </c>
      <c r="E170" s="149">
        <v>-2163213.5499999998</v>
      </c>
    </row>
    <row r="171" spans="1:12">
      <c r="A171" s="150">
        <f t="shared" si="22"/>
        <v>41882</v>
      </c>
      <c r="B171" s="149">
        <v>865154.84</v>
      </c>
      <c r="C171" s="149">
        <v>660608.98</v>
      </c>
      <c r="D171" s="149">
        <v>204545.86</v>
      </c>
      <c r="E171" s="149">
        <v>-1958667.69</v>
      </c>
    </row>
    <row r="172" spans="1:12">
      <c r="A172" s="150">
        <f>A171+30</f>
        <v>41912</v>
      </c>
      <c r="B172" s="149">
        <v>802408.73</v>
      </c>
      <c r="C172" s="149">
        <v>632000.85</v>
      </c>
      <c r="D172" s="149">
        <v>170407.88</v>
      </c>
      <c r="E172" s="149">
        <v>-1788259.81</v>
      </c>
      <c r="G172" s="141"/>
      <c r="H172" s="141"/>
      <c r="I172" s="153"/>
      <c r="J172" s="141"/>
      <c r="K172" s="153"/>
      <c r="L172" s="153"/>
    </row>
    <row r="173" spans="1:12">
      <c r="A173" s="150">
        <f t="shared" si="22"/>
        <v>41943</v>
      </c>
      <c r="B173" s="149">
        <v>868764.58</v>
      </c>
      <c r="C173" s="149">
        <v>603444.38</v>
      </c>
      <c r="D173" s="149">
        <v>265320.2</v>
      </c>
      <c r="E173" s="149">
        <v>-1522939.61</v>
      </c>
      <c r="G173" s="141"/>
    </row>
    <row r="174" spans="1:12">
      <c r="A174" s="150">
        <f>A173+30</f>
        <v>41973</v>
      </c>
      <c r="B174" s="149">
        <v>649912.31999999995</v>
      </c>
      <c r="C174" s="149">
        <v>609563.06000000006</v>
      </c>
      <c r="D174" s="149">
        <v>40349.26</v>
      </c>
      <c r="E174" s="149">
        <v>-1482590.35</v>
      </c>
      <c r="G174" s="153"/>
      <c r="I174" s="153"/>
    </row>
    <row r="175" spans="1:12">
      <c r="A175" s="150">
        <f t="shared" si="22"/>
        <v>42004</v>
      </c>
      <c r="B175" s="149">
        <v>775400.82</v>
      </c>
      <c r="C175" s="149">
        <v>599729.65</v>
      </c>
      <c r="D175" s="149">
        <v>175671.17</v>
      </c>
      <c r="E175" s="149">
        <v>-1306919.18</v>
      </c>
    </row>
    <row r="176" spans="1:12">
      <c r="B176" s="141"/>
      <c r="C176" s="141"/>
      <c r="D176" s="141"/>
      <c r="E176" s="141"/>
      <c r="H176" s="153"/>
    </row>
    <row r="177" spans="1:5">
      <c r="B177" s="92"/>
      <c r="C177" s="93" t="s">
        <v>66</v>
      </c>
      <c r="D177" s="94">
        <f>SUM(D163:D176)</f>
        <v>300211.78000000014</v>
      </c>
    </row>
    <row r="179" spans="1:5">
      <c r="B179" s="95" t="s">
        <v>67</v>
      </c>
      <c r="C179" s="96"/>
      <c r="D179" s="97"/>
      <c r="E179" s="94">
        <f>E175-E163</f>
        <v>300211.78000000003</v>
      </c>
    </row>
    <row r="181" spans="1:5" hidden="1" outlineLevel="1">
      <c r="A181" s="91" t="s">
        <v>65</v>
      </c>
      <c r="B181" s="152">
        <v>0</v>
      </c>
      <c r="C181" s="152">
        <v>0</v>
      </c>
      <c r="D181" s="152">
        <v>0</v>
      </c>
      <c r="E181" s="152">
        <v>-2479144.15</v>
      </c>
    </row>
    <row r="182" spans="1:5" hidden="1" outlineLevel="1">
      <c r="A182" s="98">
        <v>40574</v>
      </c>
      <c r="B182" s="152">
        <v>13490431.609999999</v>
      </c>
      <c r="C182" s="152">
        <v>13617945.76</v>
      </c>
      <c r="D182" s="152">
        <v>-127514.15</v>
      </c>
      <c r="E182" s="152">
        <v>-2606658.2999999998</v>
      </c>
    </row>
    <row r="183" spans="1:5" hidden="1" outlineLevel="1">
      <c r="A183" s="98">
        <v>40602</v>
      </c>
      <c r="B183" s="152">
        <v>13702936.84</v>
      </c>
      <c r="C183" s="152">
        <v>13757812.380000001</v>
      </c>
      <c r="D183" s="152">
        <v>-54875.54</v>
      </c>
      <c r="E183" s="152">
        <v>-2661533.84</v>
      </c>
    </row>
    <row r="184" spans="1:5" hidden="1" outlineLevel="1">
      <c r="A184" s="98">
        <v>40633</v>
      </c>
      <c r="B184" s="152">
        <v>13892569.189999999</v>
      </c>
      <c r="C184" s="152">
        <v>13724799.58</v>
      </c>
      <c r="D184" s="152">
        <v>167769.60999999999</v>
      </c>
      <c r="E184" s="152">
        <v>-2493764.23</v>
      </c>
    </row>
    <row r="185" spans="1:5" hidden="1" outlineLevel="1">
      <c r="A185" s="98">
        <v>40663</v>
      </c>
      <c r="B185" s="152">
        <v>13881203.630000001</v>
      </c>
      <c r="C185" s="152">
        <v>13740520.77</v>
      </c>
      <c r="D185" s="152">
        <v>140682.85999999999</v>
      </c>
      <c r="E185" s="152">
        <v>-2353081.37</v>
      </c>
    </row>
    <row r="186" spans="1:5" hidden="1" outlineLevel="1">
      <c r="A186" s="98">
        <v>40694</v>
      </c>
      <c r="B186" s="152">
        <v>14053527.93</v>
      </c>
      <c r="C186" s="152">
        <v>13767250.630000001</v>
      </c>
      <c r="D186" s="152">
        <v>286277.3</v>
      </c>
      <c r="E186" s="152">
        <v>-2066804.07</v>
      </c>
    </row>
    <row r="187" spans="1:5" hidden="1" outlineLevel="1">
      <c r="A187" s="98">
        <v>40724</v>
      </c>
      <c r="B187" s="152">
        <v>14234900.619999999</v>
      </c>
      <c r="C187" s="152">
        <v>13982085.07</v>
      </c>
      <c r="D187" s="152">
        <v>252815.55</v>
      </c>
      <c r="E187" s="152">
        <v>-1813988.52</v>
      </c>
    </row>
    <row r="188" spans="1:5" hidden="1" outlineLevel="1">
      <c r="A188" s="98">
        <v>40755</v>
      </c>
      <c r="B188" s="152">
        <v>14411851.91</v>
      </c>
      <c r="C188" s="152">
        <v>14285374.85</v>
      </c>
      <c r="D188" s="152">
        <v>126477.06</v>
      </c>
      <c r="E188" s="152">
        <v>-1687511.46</v>
      </c>
    </row>
    <row r="189" spans="1:5" hidden="1" outlineLevel="1">
      <c r="A189" s="98">
        <v>40786</v>
      </c>
      <c r="B189" s="152">
        <v>14791413.380000001</v>
      </c>
      <c r="C189" s="152">
        <v>14783490.9</v>
      </c>
      <c r="D189" s="152">
        <v>7922.48</v>
      </c>
      <c r="E189" s="152">
        <v>-1679588.98</v>
      </c>
    </row>
    <row r="190" spans="1:5" hidden="1" outlineLevel="1">
      <c r="A190" s="98">
        <v>40816</v>
      </c>
      <c r="B190" s="152">
        <v>15546853.210000001</v>
      </c>
      <c r="C190" s="152">
        <v>15515881.220000001</v>
      </c>
      <c r="D190" s="152">
        <v>30971.99</v>
      </c>
      <c r="E190" s="152">
        <v>-1648616.99</v>
      </c>
    </row>
    <row r="191" spans="1:5" hidden="1" outlineLevel="1">
      <c r="A191" s="98">
        <v>40847</v>
      </c>
      <c r="B191" s="152">
        <v>16104517.029999999</v>
      </c>
      <c r="C191" s="152">
        <v>16289400.949999999</v>
      </c>
      <c r="D191" s="152">
        <v>-184883.92</v>
      </c>
      <c r="E191" s="152">
        <v>-1833500.91</v>
      </c>
    </row>
    <row r="192" spans="1:5" hidden="1" outlineLevel="1">
      <c r="A192" s="98">
        <v>40877</v>
      </c>
      <c r="B192" s="152">
        <v>16643636.369999999</v>
      </c>
      <c r="C192" s="152">
        <v>16812041.739999998</v>
      </c>
      <c r="D192" s="152">
        <v>-168405.37</v>
      </c>
      <c r="E192" s="152">
        <v>-2001906.28</v>
      </c>
    </row>
    <row r="193" spans="1:5" hidden="1" outlineLevel="1">
      <c r="A193" s="98">
        <v>40908</v>
      </c>
      <c r="B193" s="152">
        <v>17360222.850000001</v>
      </c>
      <c r="C193" s="152">
        <v>17496068.02</v>
      </c>
      <c r="D193" s="152">
        <v>-135845.17000000001</v>
      </c>
      <c r="E193" s="152">
        <v>-2137751.4500000002</v>
      </c>
    </row>
    <row r="194" spans="1:5" hidden="1" outlineLevel="1">
      <c r="B194" s="141"/>
      <c r="C194" s="141"/>
      <c r="D194" s="141"/>
      <c r="E194" s="141"/>
    </row>
    <row r="195" spans="1:5" hidden="1" outlineLevel="1">
      <c r="B195" s="92"/>
      <c r="C195" s="93" t="s">
        <v>66</v>
      </c>
      <c r="D195" s="94">
        <v>341392.69999999984</v>
      </c>
    </row>
    <row r="196" spans="1:5" hidden="1" outlineLevel="1"/>
    <row r="197" spans="1:5" hidden="1" outlineLevel="1">
      <c r="B197" s="95" t="s">
        <v>67</v>
      </c>
      <c r="C197" s="96"/>
      <c r="D197" s="97"/>
      <c r="E197" s="94">
        <v>341392.69999999972</v>
      </c>
    </row>
    <row r="198" spans="1:5" hidden="1" outlineLevel="1"/>
    <row r="199" spans="1:5" hidden="1" outlineLevel="1">
      <c r="A199" s="91" t="s">
        <v>65</v>
      </c>
      <c r="B199" s="141">
        <v>0</v>
      </c>
      <c r="C199" s="141">
        <v>0</v>
      </c>
      <c r="D199" s="141">
        <v>0</v>
      </c>
      <c r="E199" s="141">
        <v>-2197858.0499999998</v>
      </c>
    </row>
    <row r="200" spans="1:5" hidden="1" outlineLevel="1">
      <c r="A200" s="98">
        <v>40209</v>
      </c>
      <c r="B200" s="141">
        <v>7866501.6500000004</v>
      </c>
      <c r="C200" s="141">
        <v>7795548.1600000001</v>
      </c>
      <c r="D200" s="141">
        <v>70953.490000000005</v>
      </c>
      <c r="E200" s="141">
        <v>-2126904.56</v>
      </c>
    </row>
    <row r="201" spans="1:5" hidden="1" outlineLevel="1">
      <c r="A201" s="98">
        <v>40237</v>
      </c>
      <c r="B201" s="141">
        <v>8140658.5</v>
      </c>
      <c r="C201" s="141">
        <v>8044960.0199999996</v>
      </c>
      <c r="D201" s="141">
        <v>95698.48</v>
      </c>
      <c r="E201" s="141">
        <v>-2031206.08</v>
      </c>
    </row>
    <row r="202" spans="1:5" hidden="1" outlineLevel="1">
      <c r="A202" s="98">
        <v>40268</v>
      </c>
      <c r="B202" s="141">
        <v>8463937.9199999999</v>
      </c>
      <c r="C202" s="141">
        <v>8418834.1300000008</v>
      </c>
      <c r="D202" s="141">
        <v>45103.79</v>
      </c>
      <c r="E202" s="141">
        <v>-1986102.29</v>
      </c>
    </row>
    <row r="203" spans="1:5" hidden="1" outlineLevel="1">
      <c r="A203" s="98">
        <v>40298</v>
      </c>
      <c r="B203" s="141">
        <v>8924828.4600000009</v>
      </c>
      <c r="C203" s="141">
        <v>8810000.6500000004</v>
      </c>
      <c r="D203" s="141">
        <v>114827.81</v>
      </c>
      <c r="E203" s="141">
        <v>-1871274.48</v>
      </c>
    </row>
    <row r="204" spans="1:5" hidden="1" outlineLevel="1">
      <c r="A204" s="98">
        <v>40329</v>
      </c>
      <c r="B204" s="141">
        <v>9346478.4700000007</v>
      </c>
      <c r="C204" s="141">
        <v>9282922.6199999992</v>
      </c>
      <c r="D204" s="141">
        <v>63555.85</v>
      </c>
      <c r="E204" s="141">
        <v>-1807718.63</v>
      </c>
    </row>
    <row r="205" spans="1:5" hidden="1" outlineLevel="1">
      <c r="A205" s="98">
        <v>40359</v>
      </c>
      <c r="B205" s="141">
        <v>19610758.800000001</v>
      </c>
      <c r="C205" s="141">
        <v>19520283.960000001</v>
      </c>
      <c r="D205" s="141">
        <v>90474.84</v>
      </c>
      <c r="E205" s="141">
        <v>-1717243.79</v>
      </c>
    </row>
    <row r="206" spans="1:5" hidden="1" outlineLevel="1">
      <c r="A206" s="98">
        <v>40390</v>
      </c>
      <c r="B206" s="141">
        <v>10248909.199999999</v>
      </c>
      <c r="C206" s="141">
        <v>10151130.199999999</v>
      </c>
      <c r="D206" s="141">
        <v>97779</v>
      </c>
      <c r="E206" s="141">
        <v>-1619464.79</v>
      </c>
    </row>
    <row r="207" spans="1:5" hidden="1" outlineLevel="1">
      <c r="A207" s="98">
        <v>40421</v>
      </c>
      <c r="B207" s="141">
        <v>10652049.15</v>
      </c>
      <c r="C207" s="141">
        <v>10626637.369999999</v>
      </c>
      <c r="D207" s="141">
        <v>25411.78</v>
      </c>
      <c r="E207" s="141">
        <v>-1594053.01</v>
      </c>
    </row>
    <row r="208" spans="1:5" hidden="1" outlineLevel="1">
      <c r="A208" s="98">
        <v>40451</v>
      </c>
      <c r="B208" s="141">
        <v>11217627.75</v>
      </c>
      <c r="C208" s="141">
        <v>11237851.140000001</v>
      </c>
      <c r="D208" s="141">
        <v>-20223.39</v>
      </c>
      <c r="E208" s="141">
        <v>-1614276.4</v>
      </c>
    </row>
    <row r="209" spans="1:5" hidden="1" outlineLevel="1">
      <c r="A209" s="98">
        <v>40482</v>
      </c>
      <c r="B209" s="141">
        <v>11796714.73</v>
      </c>
      <c r="C209" s="141">
        <v>11970434.539999999</v>
      </c>
      <c r="D209" s="141">
        <v>-173719.81</v>
      </c>
      <c r="E209" s="141">
        <v>-1787996.21</v>
      </c>
    </row>
    <row r="210" spans="1:5" hidden="1" outlineLevel="1">
      <c r="A210" s="98">
        <v>40512</v>
      </c>
      <c r="B210" s="141">
        <v>12282313.300000001</v>
      </c>
      <c r="C210" s="141">
        <v>12729803.49</v>
      </c>
      <c r="D210" s="141">
        <v>-447490.19</v>
      </c>
      <c r="E210" s="141">
        <v>-2235486.4</v>
      </c>
    </row>
    <row r="211" spans="1:5" hidden="1" outlineLevel="1">
      <c r="A211" s="98">
        <v>40543</v>
      </c>
      <c r="B211" s="141">
        <v>13047028.880000001</v>
      </c>
      <c r="C211" s="141">
        <v>13290686.630000001</v>
      </c>
      <c r="D211" s="141">
        <v>-243657.75</v>
      </c>
      <c r="E211" s="141">
        <v>-2479144.15</v>
      </c>
    </row>
    <row r="212" spans="1:5" hidden="1" outlineLevel="1">
      <c r="B212" s="141"/>
      <c r="C212" s="141"/>
      <c r="D212" s="141"/>
      <c r="E212" s="141"/>
    </row>
    <row r="213" spans="1:5" hidden="1" outlineLevel="1">
      <c r="B213" s="92"/>
      <c r="C213" s="93" t="s">
        <v>66</v>
      </c>
      <c r="D213" s="94">
        <v>-281286.09999999998</v>
      </c>
    </row>
    <row r="214" spans="1:5" hidden="1" outlineLevel="1"/>
    <row r="215" spans="1:5" hidden="1" outlineLevel="1">
      <c r="B215" s="95" t="s">
        <v>67</v>
      </c>
      <c r="C215" s="96"/>
      <c r="D215" s="97"/>
      <c r="E215" s="94">
        <v>-281286.10000000009</v>
      </c>
    </row>
    <row r="216" spans="1:5" hidden="1" outlineLevel="1"/>
    <row r="217" spans="1:5" hidden="1" outlineLevel="1">
      <c r="A217" s="91" t="s">
        <v>65</v>
      </c>
      <c r="B217" s="141">
        <v>0</v>
      </c>
      <c r="C217" s="141">
        <v>0</v>
      </c>
      <c r="D217" s="141">
        <v>0</v>
      </c>
      <c r="E217" s="141">
        <v>-1719418.91</v>
      </c>
    </row>
    <row r="218" spans="1:5" hidden="1" outlineLevel="1">
      <c r="A218" s="98">
        <v>39844</v>
      </c>
      <c r="B218" s="141">
        <v>2477023.31</v>
      </c>
      <c r="C218" s="141">
        <v>2581548.86</v>
      </c>
      <c r="D218" s="141">
        <v>-104525.55</v>
      </c>
      <c r="E218" s="141">
        <v>-1823944.46</v>
      </c>
    </row>
    <row r="219" spans="1:5" hidden="1" outlineLevel="1">
      <c r="A219" s="98">
        <v>39872</v>
      </c>
      <c r="B219" s="141">
        <v>1846886.53</v>
      </c>
      <c r="C219" s="141">
        <v>1838052.5</v>
      </c>
      <c r="D219" s="141">
        <v>8834.0300000000007</v>
      </c>
      <c r="E219" s="141">
        <v>-1815110.43</v>
      </c>
    </row>
    <row r="220" spans="1:5" hidden="1" outlineLevel="1">
      <c r="A220" s="98">
        <v>39903</v>
      </c>
      <c r="B220" s="141">
        <v>2054898.62</v>
      </c>
      <c r="C220" s="141">
        <v>2061287.52</v>
      </c>
      <c r="D220" s="141">
        <v>-6388.9</v>
      </c>
      <c r="E220" s="141">
        <v>-1821499.33</v>
      </c>
    </row>
    <row r="221" spans="1:5" hidden="1" outlineLevel="1">
      <c r="A221" s="98">
        <v>39933</v>
      </c>
      <c r="B221" s="141">
        <v>2385910.56</v>
      </c>
      <c r="C221" s="141">
        <v>2261142</v>
      </c>
      <c r="D221" s="141">
        <v>124768.56</v>
      </c>
      <c r="E221" s="141">
        <v>-1696730.77</v>
      </c>
    </row>
    <row r="222" spans="1:5" hidden="1" outlineLevel="1">
      <c r="A222" s="98">
        <v>39964</v>
      </c>
      <c r="B222" s="141">
        <v>2612422.2599999998</v>
      </c>
      <c r="C222" s="141">
        <v>2542962.38</v>
      </c>
      <c r="D222" s="141">
        <v>69459.88</v>
      </c>
      <c r="E222" s="141">
        <v>-1627270.89</v>
      </c>
    </row>
    <row r="223" spans="1:5" hidden="1" outlineLevel="1">
      <c r="A223" s="98">
        <v>39994</v>
      </c>
      <c r="B223" s="141">
        <v>3044490.01</v>
      </c>
      <c r="C223" s="141">
        <v>2929737.72</v>
      </c>
      <c r="D223" s="141">
        <v>114752.29</v>
      </c>
      <c r="E223" s="141">
        <v>-1512518.6</v>
      </c>
    </row>
    <row r="224" spans="1:5" hidden="1" outlineLevel="1">
      <c r="A224" s="98">
        <v>40025</v>
      </c>
      <c r="B224" s="141">
        <v>3566969.87</v>
      </c>
      <c r="C224" s="141">
        <v>3517580.73</v>
      </c>
      <c r="D224" s="141">
        <v>49389.14</v>
      </c>
      <c r="E224" s="141">
        <v>-1463129.46</v>
      </c>
    </row>
    <row r="225" spans="1:5" hidden="1" outlineLevel="1">
      <c r="A225" s="98">
        <v>40056</v>
      </c>
      <c r="B225" s="141">
        <v>4084032.35</v>
      </c>
      <c r="C225" s="141">
        <v>4089895.97</v>
      </c>
      <c r="D225" s="141">
        <v>-5863.62</v>
      </c>
      <c r="E225" s="141">
        <v>-1468993.08</v>
      </c>
    </row>
    <row r="226" spans="1:5" hidden="1" outlineLevel="1">
      <c r="A226" s="98">
        <v>40086</v>
      </c>
      <c r="B226" s="141">
        <v>4892496.59</v>
      </c>
      <c r="C226" s="141">
        <v>4880642.6500000004</v>
      </c>
      <c r="D226" s="141">
        <v>11853.94</v>
      </c>
      <c r="E226" s="141">
        <v>-1457139.14</v>
      </c>
    </row>
    <row r="227" spans="1:5" hidden="1" outlineLevel="1">
      <c r="A227" s="98">
        <v>40117</v>
      </c>
      <c r="B227" s="141">
        <v>5557986.8300000001</v>
      </c>
      <c r="C227" s="141">
        <v>5657550.54</v>
      </c>
      <c r="D227" s="141">
        <v>-99563.71</v>
      </c>
      <c r="E227" s="141">
        <v>-1556702.85</v>
      </c>
    </row>
    <row r="228" spans="1:5" hidden="1" outlineLevel="1">
      <c r="A228" s="98">
        <v>40147</v>
      </c>
      <c r="B228" s="141">
        <v>6251094.0599999996</v>
      </c>
      <c r="C228" s="141">
        <v>6414807.2999999998</v>
      </c>
      <c r="D228" s="141">
        <v>-163713.24</v>
      </c>
      <c r="E228" s="141">
        <v>-1720416.09</v>
      </c>
    </row>
    <row r="229" spans="1:5" hidden="1" outlineLevel="1">
      <c r="A229" s="98">
        <v>40178</v>
      </c>
      <c r="B229" s="141">
        <v>6939858.1600000001</v>
      </c>
      <c r="C229" s="141">
        <v>7417300.1200000001</v>
      </c>
      <c r="D229" s="141">
        <v>-477441.96</v>
      </c>
      <c r="E229" s="141">
        <v>-2197858.0499999998</v>
      </c>
    </row>
    <row r="230" spans="1:5" hidden="1" outlineLevel="1">
      <c r="B230" s="141"/>
      <c r="C230" s="141"/>
      <c r="D230" s="141"/>
      <c r="E230" s="141"/>
    </row>
    <row r="231" spans="1:5" hidden="1" outlineLevel="1">
      <c r="B231" s="92"/>
      <c r="C231" s="93" t="s">
        <v>66</v>
      </c>
      <c r="D231" s="94">
        <v>-478439.14</v>
      </c>
    </row>
    <row r="232" spans="1:5" hidden="1" outlineLevel="1"/>
    <row r="233" spans="1:5" hidden="1" outlineLevel="1">
      <c r="B233" s="95" t="s">
        <v>67</v>
      </c>
      <c r="C233" s="96"/>
      <c r="D233" s="97"/>
      <c r="E233" s="94">
        <v>-478439.1399999999</v>
      </c>
    </row>
    <row r="234" spans="1:5" hidden="1" outlineLevel="1"/>
    <row r="235" spans="1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4" activePane="bottomRight" state="frozen"/>
      <selection activeCell="D23" sqref="D23"/>
      <selection pane="topRight" activeCell="D23" sqref="D23"/>
      <selection pane="bottomLeft" activeCell="D23" sqref="D23"/>
      <selection pane="bottomRight" activeCell="L40" sqref="L40"/>
    </sheetView>
  </sheetViews>
  <sheetFormatPr defaultColWidth="8.88671875" defaultRowHeight="14.4"/>
  <cols>
    <col min="1" max="1" width="56.33203125" style="83" customWidth="1"/>
    <col min="2" max="2" width="21.33203125" style="83" customWidth="1"/>
    <col min="3" max="7" width="18.88671875" style="83" customWidth="1"/>
    <col min="8" max="8" width="21" style="83" customWidth="1"/>
    <col min="9" max="14" width="18.88671875" style="83" customWidth="1"/>
    <col min="15" max="16384" width="8.88671875" style="83"/>
  </cols>
  <sheetData>
    <row r="1" spans="1:14">
      <c r="A1" s="291" t="s">
        <v>131</v>
      </c>
    </row>
    <row r="3" spans="1:14">
      <c r="A3" s="78" t="s">
        <v>132</v>
      </c>
      <c r="B3" s="155" t="s">
        <v>133</v>
      </c>
      <c r="C3" s="155" t="s">
        <v>134</v>
      </c>
      <c r="D3" s="155" t="s">
        <v>135</v>
      </c>
      <c r="E3" s="155" t="s">
        <v>136</v>
      </c>
      <c r="F3" s="155" t="s">
        <v>137</v>
      </c>
      <c r="G3" s="155" t="s">
        <v>138</v>
      </c>
      <c r="H3" s="155" t="s">
        <v>139</v>
      </c>
      <c r="I3" s="155" t="s">
        <v>140</v>
      </c>
      <c r="J3" s="155" t="s">
        <v>141</v>
      </c>
      <c r="K3" s="155" t="s">
        <v>142</v>
      </c>
      <c r="L3" s="155" t="s">
        <v>143</v>
      </c>
      <c r="M3" s="155" t="s">
        <v>144</v>
      </c>
      <c r="N3" s="155" t="s">
        <v>145</v>
      </c>
    </row>
    <row r="4" spans="1:14">
      <c r="A4" s="156" t="s">
        <v>146</v>
      </c>
      <c r="B4" s="157">
        <v>17972410.350000001</v>
      </c>
      <c r="C4" s="157">
        <v>1131075.73</v>
      </c>
      <c r="D4" s="157">
        <v>1322580.8999999999</v>
      </c>
      <c r="E4" s="157">
        <v>970299.98</v>
      </c>
      <c r="F4" s="157">
        <v>2492117</v>
      </c>
      <c r="G4" s="157">
        <v>1432790.93</v>
      </c>
      <c r="H4" s="157">
        <v>1326648.81</v>
      </c>
      <c r="I4" s="157">
        <v>1545742.83</v>
      </c>
      <c r="J4" s="157">
        <v>1661071.31</v>
      </c>
      <c r="K4" s="157">
        <v>1397378.28</v>
      </c>
      <c r="L4" s="157">
        <v>1596741.61</v>
      </c>
      <c r="M4" s="157">
        <v>1396812.44</v>
      </c>
      <c r="N4" s="157">
        <v>1699150.53</v>
      </c>
    </row>
    <row r="5" spans="1:14">
      <c r="A5" s="156" t="s">
        <v>147</v>
      </c>
      <c r="B5" s="158">
        <v>415484.87</v>
      </c>
      <c r="C5" s="158">
        <v>415482.49</v>
      </c>
      <c r="D5" s="158">
        <v>0.83</v>
      </c>
      <c r="E5" s="158">
        <v>-324698.45</v>
      </c>
      <c r="F5" s="158">
        <v>324700</v>
      </c>
      <c r="G5" s="158">
        <v>0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</row>
    <row r="6" spans="1:14">
      <c r="A6" s="156" t="s">
        <v>148</v>
      </c>
      <c r="B6" s="158">
        <v>138055.31</v>
      </c>
      <c r="C6" s="158">
        <v>138055.31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</row>
    <row r="7" spans="1:14">
      <c r="A7" s="156" t="s">
        <v>149</v>
      </c>
      <c r="B7" s="158">
        <v>118854.72</v>
      </c>
      <c r="C7" s="158">
        <v>118854.72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</row>
    <row r="8" spans="1:14">
      <c r="A8" s="292" t="s">
        <v>130</v>
      </c>
      <c r="B8" s="293">
        <v>93557.45</v>
      </c>
      <c r="C8" s="293">
        <v>93557.45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</row>
    <row r="9" spans="1:14">
      <c r="A9" s="159" t="s">
        <v>150</v>
      </c>
      <c r="B9" s="160">
        <f>SUM(B4:B8)</f>
        <v>18738362.699999999</v>
      </c>
      <c r="C9" s="160">
        <f t="shared" ref="C9:N9" si="0">SUM(C4:C8)</f>
        <v>1897025.7</v>
      </c>
      <c r="D9" s="160">
        <f t="shared" si="0"/>
        <v>1322581.73</v>
      </c>
      <c r="E9" s="160">
        <f t="shared" si="0"/>
        <v>645601.53</v>
      </c>
      <c r="F9" s="160">
        <f t="shared" si="0"/>
        <v>2816817</v>
      </c>
      <c r="G9" s="160">
        <f t="shared" si="0"/>
        <v>1432790.93</v>
      </c>
      <c r="H9" s="160">
        <f t="shared" si="0"/>
        <v>1326648.81</v>
      </c>
      <c r="I9" s="160">
        <f t="shared" si="0"/>
        <v>1545742.83</v>
      </c>
      <c r="J9" s="160">
        <f t="shared" si="0"/>
        <v>1661071.31</v>
      </c>
      <c r="K9" s="160">
        <f t="shared" si="0"/>
        <v>1397378.28</v>
      </c>
      <c r="L9" s="160">
        <f t="shared" si="0"/>
        <v>1596741.61</v>
      </c>
      <c r="M9" s="160">
        <f t="shared" si="0"/>
        <v>1396812.44</v>
      </c>
      <c r="N9" s="160">
        <f t="shared" si="0"/>
        <v>1699150.53</v>
      </c>
    </row>
    <row r="10" spans="1:14">
      <c r="A10" s="156" t="s">
        <v>151</v>
      </c>
      <c r="B10" s="158">
        <v>4330979.28</v>
      </c>
      <c r="C10" s="158">
        <v>238387.28</v>
      </c>
      <c r="D10" s="158">
        <v>369349.17</v>
      </c>
      <c r="E10" s="158">
        <v>267112.78999999998</v>
      </c>
      <c r="F10" s="158">
        <v>788329.15</v>
      </c>
      <c r="G10" s="158">
        <v>361005.39</v>
      </c>
      <c r="H10" s="158">
        <v>295681.52</v>
      </c>
      <c r="I10" s="158">
        <v>354261.68</v>
      </c>
      <c r="J10" s="158">
        <v>311003.87</v>
      </c>
      <c r="K10" s="158">
        <v>313030.38</v>
      </c>
      <c r="L10" s="158">
        <v>329167.71000000002</v>
      </c>
      <c r="M10" s="158">
        <v>321039.19</v>
      </c>
      <c r="N10" s="158">
        <v>382611.15</v>
      </c>
    </row>
    <row r="11" spans="1:14">
      <c r="A11" s="156" t="s">
        <v>152</v>
      </c>
      <c r="B11" s="158">
        <v>0</v>
      </c>
      <c r="C11" s="158">
        <v>0</v>
      </c>
      <c r="D11" s="158">
        <v>0</v>
      </c>
      <c r="E11" s="158">
        <v>-205490</v>
      </c>
      <c r="F11" s="158">
        <v>205490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</row>
    <row r="12" spans="1:14">
      <c r="A12" s="159" t="s">
        <v>41</v>
      </c>
      <c r="B12" s="160">
        <f>SUM(B10:B11)</f>
        <v>4330979.28</v>
      </c>
      <c r="C12" s="160">
        <f t="shared" ref="C12:N12" si="1">SUM(C10:C11)</f>
        <v>238387.28</v>
      </c>
      <c r="D12" s="160">
        <f t="shared" si="1"/>
        <v>369349.17</v>
      </c>
      <c r="E12" s="160">
        <f t="shared" si="1"/>
        <v>61622.789999999979</v>
      </c>
      <c r="F12" s="160">
        <f t="shared" si="1"/>
        <v>993819.15</v>
      </c>
      <c r="G12" s="160">
        <f t="shared" si="1"/>
        <v>361005.39</v>
      </c>
      <c r="H12" s="160">
        <f t="shared" si="1"/>
        <v>295681.52</v>
      </c>
      <c r="I12" s="160">
        <f t="shared" si="1"/>
        <v>354261.68</v>
      </c>
      <c r="J12" s="160">
        <f t="shared" si="1"/>
        <v>311003.87</v>
      </c>
      <c r="K12" s="160">
        <f t="shared" si="1"/>
        <v>313030.38</v>
      </c>
      <c r="L12" s="160">
        <f t="shared" si="1"/>
        <v>329167.71000000002</v>
      </c>
      <c r="M12" s="160">
        <f t="shared" si="1"/>
        <v>321039.19</v>
      </c>
      <c r="N12" s="160">
        <f t="shared" si="1"/>
        <v>382611.15</v>
      </c>
    </row>
    <row r="13" spans="1:14">
      <c r="A13" s="156" t="s">
        <v>153</v>
      </c>
      <c r="B13" s="158">
        <v>6637.31</v>
      </c>
      <c r="C13" s="158">
        <v>0</v>
      </c>
      <c r="D13" s="158">
        <v>0</v>
      </c>
      <c r="E13" s="158">
        <v>6637.31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</row>
    <row r="14" spans="1:14">
      <c r="A14" s="159" t="s">
        <v>154</v>
      </c>
      <c r="B14" s="160">
        <f>SUM(B13)</f>
        <v>6637.31</v>
      </c>
      <c r="C14" s="160">
        <f t="shared" ref="C14:N14" si="2">SUM(C13)</f>
        <v>0</v>
      </c>
      <c r="D14" s="160">
        <f t="shared" si="2"/>
        <v>0</v>
      </c>
      <c r="E14" s="160">
        <f t="shared" si="2"/>
        <v>6637.31</v>
      </c>
      <c r="F14" s="160">
        <f t="shared" si="2"/>
        <v>0</v>
      </c>
      <c r="G14" s="160">
        <f t="shared" si="2"/>
        <v>0</v>
      </c>
      <c r="H14" s="160">
        <f t="shared" si="2"/>
        <v>0</v>
      </c>
      <c r="I14" s="160">
        <f t="shared" si="2"/>
        <v>0</v>
      </c>
      <c r="J14" s="160">
        <f t="shared" si="2"/>
        <v>0</v>
      </c>
      <c r="K14" s="160">
        <f t="shared" si="2"/>
        <v>0</v>
      </c>
      <c r="L14" s="160">
        <f t="shared" si="2"/>
        <v>0</v>
      </c>
      <c r="M14" s="160">
        <f t="shared" si="2"/>
        <v>0</v>
      </c>
      <c r="N14" s="160">
        <f t="shared" si="2"/>
        <v>0</v>
      </c>
    </row>
    <row r="15" spans="1:14">
      <c r="A15" s="161" t="s">
        <v>42</v>
      </c>
      <c r="B15" s="162">
        <f>B9+B12+B14</f>
        <v>23075979.289999999</v>
      </c>
      <c r="C15" s="162">
        <f t="shared" ref="C15:N15" si="3">C9+C12+C14</f>
        <v>2135412.98</v>
      </c>
      <c r="D15" s="162">
        <f t="shared" si="3"/>
        <v>1691930.9</v>
      </c>
      <c r="E15" s="162">
        <f t="shared" si="3"/>
        <v>713861.63000000012</v>
      </c>
      <c r="F15" s="162">
        <f t="shared" si="3"/>
        <v>3810636.15</v>
      </c>
      <c r="G15" s="162">
        <f t="shared" si="3"/>
        <v>1793796.3199999998</v>
      </c>
      <c r="H15" s="162">
        <f t="shared" si="3"/>
        <v>1622330.33</v>
      </c>
      <c r="I15" s="162">
        <f t="shared" si="3"/>
        <v>1900004.51</v>
      </c>
      <c r="J15" s="162">
        <f t="shared" si="3"/>
        <v>1972075.1800000002</v>
      </c>
      <c r="K15" s="162">
        <f t="shared" si="3"/>
        <v>1710408.6600000001</v>
      </c>
      <c r="L15" s="162">
        <f t="shared" si="3"/>
        <v>1925909.32</v>
      </c>
      <c r="M15" s="162">
        <f t="shared" si="3"/>
        <v>1717851.63</v>
      </c>
      <c r="N15" s="162">
        <f t="shared" si="3"/>
        <v>2081761.6800000002</v>
      </c>
    </row>
    <row r="16" spans="1:14">
      <c r="A16" s="163" t="s">
        <v>155</v>
      </c>
      <c r="B16" s="164">
        <v>22982421.84</v>
      </c>
      <c r="C16" s="164">
        <v>2041855.53</v>
      </c>
      <c r="D16" s="164">
        <v>1691930.9</v>
      </c>
      <c r="E16" s="164">
        <v>713861.63</v>
      </c>
      <c r="F16" s="164">
        <v>3810636.15</v>
      </c>
      <c r="G16" s="164">
        <v>1793796.32</v>
      </c>
      <c r="H16" s="164">
        <v>1622330.33</v>
      </c>
      <c r="I16" s="164">
        <v>1900004.51</v>
      </c>
      <c r="J16" s="164">
        <v>1972075.18</v>
      </c>
      <c r="K16" s="164">
        <v>1710408.66</v>
      </c>
      <c r="L16" s="164">
        <v>1925909.32</v>
      </c>
      <c r="M16" s="164">
        <v>1717851.63</v>
      </c>
      <c r="N16" s="164">
        <v>2081761.68</v>
      </c>
    </row>
    <row r="17" spans="1:14">
      <c r="A17" s="294" t="s">
        <v>156</v>
      </c>
      <c r="B17" s="295">
        <f>B15-B16</f>
        <v>93557.449999999255</v>
      </c>
      <c r="C17" s="295">
        <f t="shared" ref="C17:N17" si="4">C15-C16</f>
        <v>93557.449999999953</v>
      </c>
      <c r="D17" s="296">
        <f t="shared" si="4"/>
        <v>0</v>
      </c>
      <c r="E17" s="296">
        <f t="shared" si="4"/>
        <v>0</v>
      </c>
      <c r="F17" s="296">
        <f t="shared" si="4"/>
        <v>0</v>
      </c>
      <c r="G17" s="296">
        <f t="shared" si="4"/>
        <v>0</v>
      </c>
      <c r="H17" s="296">
        <f t="shared" si="4"/>
        <v>0</v>
      </c>
      <c r="I17" s="296">
        <f t="shared" si="4"/>
        <v>0</v>
      </c>
      <c r="J17" s="296">
        <f t="shared" si="4"/>
        <v>0</v>
      </c>
      <c r="K17" s="296">
        <f t="shared" si="4"/>
        <v>0</v>
      </c>
      <c r="L17" s="296">
        <f t="shared" si="4"/>
        <v>0</v>
      </c>
      <c r="M17" s="296">
        <f t="shared" si="4"/>
        <v>0</v>
      </c>
      <c r="N17" s="296">
        <f t="shared" si="4"/>
        <v>0</v>
      </c>
    </row>
    <row r="18" spans="1:14">
      <c r="A18" s="297" t="s">
        <v>157</v>
      </c>
      <c r="B18" s="295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</row>
    <row r="19" spans="1:14">
      <c r="A19" s="165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>
      <c r="A20" s="165" t="s">
        <v>158</v>
      </c>
      <c r="B20" s="298">
        <v>0.58079999999999998</v>
      </c>
    </row>
    <row r="21" spans="1:14">
      <c r="A21" s="165" t="s">
        <v>159</v>
      </c>
      <c r="B21" s="298">
        <v>0.41920000000000002</v>
      </c>
    </row>
    <row r="22" spans="1:14">
      <c r="A22" s="165"/>
      <c r="B22" s="298"/>
    </row>
    <row r="23" spans="1:14">
      <c r="A23" s="83" t="s">
        <v>160</v>
      </c>
      <c r="B23" s="168">
        <f>B27+(B$29*$B$20)</f>
        <v>18742217.649648</v>
      </c>
      <c r="C23" s="168">
        <f t="shared" ref="C23:N23" si="5">C27+(C$29*$B$20)</f>
        <v>1897025.7</v>
      </c>
      <c r="D23" s="168">
        <f t="shared" si="5"/>
        <v>1322581.73</v>
      </c>
      <c r="E23" s="168">
        <f t="shared" si="5"/>
        <v>649456.47964799998</v>
      </c>
      <c r="F23" s="168">
        <f t="shared" si="5"/>
        <v>2816817</v>
      </c>
      <c r="G23" s="168">
        <f t="shared" si="5"/>
        <v>1432790.93</v>
      </c>
      <c r="H23" s="168">
        <f t="shared" si="5"/>
        <v>1326648.81</v>
      </c>
      <c r="I23" s="168">
        <f t="shared" si="5"/>
        <v>1545742.83</v>
      </c>
      <c r="J23" s="168">
        <f t="shared" si="5"/>
        <v>1661071.31</v>
      </c>
      <c r="K23" s="168">
        <f t="shared" si="5"/>
        <v>1397378.28</v>
      </c>
      <c r="L23" s="168">
        <f t="shared" si="5"/>
        <v>1596741.61</v>
      </c>
      <c r="M23" s="168">
        <f t="shared" si="5"/>
        <v>1396812.44</v>
      </c>
      <c r="N23" s="168">
        <f t="shared" si="5"/>
        <v>1699150.53</v>
      </c>
    </row>
    <row r="24" spans="1:14">
      <c r="A24" s="83" t="s">
        <v>161</v>
      </c>
      <c r="B24" s="153">
        <f>B28+(B$29*$B$21)</f>
        <v>4333761.6403520005</v>
      </c>
      <c r="C24" s="153">
        <f t="shared" ref="C24:N24" si="6">C28+(C$29*$B$21)</f>
        <v>238387.28</v>
      </c>
      <c r="D24" s="153">
        <f t="shared" si="6"/>
        <v>369349.17</v>
      </c>
      <c r="E24" s="153">
        <f t="shared" si="6"/>
        <v>64405.150351999982</v>
      </c>
      <c r="F24" s="153">
        <f t="shared" si="6"/>
        <v>993819.15</v>
      </c>
      <c r="G24" s="153">
        <f t="shared" si="6"/>
        <v>361005.39</v>
      </c>
      <c r="H24" s="153">
        <f t="shared" si="6"/>
        <v>295681.52</v>
      </c>
      <c r="I24" s="153">
        <f t="shared" si="6"/>
        <v>354261.68</v>
      </c>
      <c r="J24" s="153">
        <f t="shared" si="6"/>
        <v>311003.87</v>
      </c>
      <c r="K24" s="153">
        <f t="shared" si="6"/>
        <v>313030.38</v>
      </c>
      <c r="L24" s="153">
        <f t="shared" si="6"/>
        <v>329167.71000000002</v>
      </c>
      <c r="M24" s="153">
        <f t="shared" si="6"/>
        <v>321039.19</v>
      </c>
      <c r="N24" s="153">
        <f t="shared" si="6"/>
        <v>382611.15</v>
      </c>
    </row>
    <row r="25" spans="1:14" ht="15" thickBot="1">
      <c r="B25" s="299">
        <f>SUM(B23:B24)</f>
        <v>23075979.289999999</v>
      </c>
      <c r="C25" s="299">
        <f t="shared" ref="C25:N25" si="7">SUM(C23:C24)</f>
        <v>2135412.98</v>
      </c>
      <c r="D25" s="299">
        <f t="shared" si="7"/>
        <v>1691930.9</v>
      </c>
      <c r="E25" s="299">
        <f t="shared" si="7"/>
        <v>713861.63</v>
      </c>
      <c r="F25" s="299">
        <f t="shared" si="7"/>
        <v>3810636.15</v>
      </c>
      <c r="G25" s="299">
        <f t="shared" si="7"/>
        <v>1793796.3199999998</v>
      </c>
      <c r="H25" s="299">
        <f t="shared" si="7"/>
        <v>1622330.33</v>
      </c>
      <c r="I25" s="299">
        <f t="shared" si="7"/>
        <v>1900004.51</v>
      </c>
      <c r="J25" s="299">
        <f t="shared" si="7"/>
        <v>1972075.1800000002</v>
      </c>
      <c r="K25" s="299">
        <f t="shared" si="7"/>
        <v>1710408.6600000001</v>
      </c>
      <c r="L25" s="299">
        <f t="shared" si="7"/>
        <v>1925909.32</v>
      </c>
      <c r="M25" s="299">
        <f t="shared" si="7"/>
        <v>1717851.63</v>
      </c>
      <c r="N25" s="299">
        <f t="shared" si="7"/>
        <v>2081761.6800000002</v>
      </c>
    </row>
    <row r="26" spans="1:14" ht="15" thickTop="1"/>
    <row r="27" spans="1:14">
      <c r="A27" s="83" t="s">
        <v>160</v>
      </c>
      <c r="B27" s="168">
        <f>B9</f>
        <v>18738362.699999999</v>
      </c>
      <c r="C27" s="168">
        <f t="shared" ref="C27:N27" si="8">C9</f>
        <v>1897025.7</v>
      </c>
      <c r="D27" s="168">
        <f t="shared" si="8"/>
        <v>1322581.73</v>
      </c>
      <c r="E27" s="168">
        <f t="shared" si="8"/>
        <v>645601.53</v>
      </c>
      <c r="F27" s="168">
        <f t="shared" si="8"/>
        <v>2816817</v>
      </c>
      <c r="G27" s="168">
        <f t="shared" si="8"/>
        <v>1432790.93</v>
      </c>
      <c r="H27" s="168">
        <f t="shared" si="8"/>
        <v>1326648.81</v>
      </c>
      <c r="I27" s="168">
        <f t="shared" si="8"/>
        <v>1545742.83</v>
      </c>
      <c r="J27" s="168">
        <f t="shared" si="8"/>
        <v>1661071.31</v>
      </c>
      <c r="K27" s="168">
        <f t="shared" si="8"/>
        <v>1397378.28</v>
      </c>
      <c r="L27" s="168">
        <f t="shared" si="8"/>
        <v>1596741.61</v>
      </c>
      <c r="M27" s="168">
        <f t="shared" si="8"/>
        <v>1396812.44</v>
      </c>
      <c r="N27" s="168">
        <f t="shared" si="8"/>
        <v>1699150.53</v>
      </c>
    </row>
    <row r="28" spans="1:14">
      <c r="A28" s="83" t="s">
        <v>161</v>
      </c>
      <c r="B28" s="153">
        <f>B12</f>
        <v>4330979.28</v>
      </c>
      <c r="C28" s="153">
        <f t="shared" ref="C28:N28" si="9">C12</f>
        <v>238387.28</v>
      </c>
      <c r="D28" s="153">
        <f t="shared" si="9"/>
        <v>369349.17</v>
      </c>
      <c r="E28" s="153">
        <f t="shared" si="9"/>
        <v>61622.789999999979</v>
      </c>
      <c r="F28" s="153">
        <f t="shared" si="9"/>
        <v>993819.15</v>
      </c>
      <c r="G28" s="153">
        <f t="shared" si="9"/>
        <v>361005.39</v>
      </c>
      <c r="H28" s="153">
        <f t="shared" si="9"/>
        <v>295681.52</v>
      </c>
      <c r="I28" s="153">
        <f t="shared" si="9"/>
        <v>354261.68</v>
      </c>
      <c r="J28" s="153">
        <f t="shared" si="9"/>
        <v>311003.87</v>
      </c>
      <c r="K28" s="153">
        <f t="shared" si="9"/>
        <v>313030.38</v>
      </c>
      <c r="L28" s="153">
        <f t="shared" si="9"/>
        <v>329167.71000000002</v>
      </c>
      <c r="M28" s="153">
        <f t="shared" si="9"/>
        <v>321039.19</v>
      </c>
      <c r="N28" s="153">
        <f t="shared" si="9"/>
        <v>382611.15</v>
      </c>
    </row>
    <row r="29" spans="1:14">
      <c r="A29" s="83" t="s">
        <v>162</v>
      </c>
      <c r="B29" s="153">
        <f>B14</f>
        <v>6637.31</v>
      </c>
      <c r="C29" s="153">
        <f t="shared" ref="C29:N29" si="10">C14</f>
        <v>0</v>
      </c>
      <c r="D29" s="153">
        <f t="shared" si="10"/>
        <v>0</v>
      </c>
      <c r="E29" s="153">
        <f t="shared" si="10"/>
        <v>6637.31</v>
      </c>
      <c r="F29" s="153">
        <f t="shared" si="10"/>
        <v>0</v>
      </c>
      <c r="G29" s="153">
        <f t="shared" si="10"/>
        <v>0</v>
      </c>
      <c r="H29" s="153">
        <f t="shared" si="10"/>
        <v>0</v>
      </c>
      <c r="I29" s="153">
        <f t="shared" si="10"/>
        <v>0</v>
      </c>
      <c r="J29" s="153">
        <f t="shared" si="10"/>
        <v>0</v>
      </c>
      <c r="K29" s="153">
        <f t="shared" si="10"/>
        <v>0</v>
      </c>
      <c r="L29" s="153">
        <f t="shared" si="10"/>
        <v>0</v>
      </c>
      <c r="M29" s="153">
        <f t="shared" si="10"/>
        <v>0</v>
      </c>
      <c r="N29" s="153">
        <f t="shared" si="10"/>
        <v>0</v>
      </c>
    </row>
    <row r="30" spans="1:14" ht="15" thickBot="1">
      <c r="B30" s="299">
        <f>SUM(B27:B29)</f>
        <v>23075979.289999999</v>
      </c>
      <c r="C30" s="299">
        <f t="shared" ref="C30:N30" si="11">SUM(C27:C29)</f>
        <v>2135412.98</v>
      </c>
      <c r="D30" s="299">
        <f t="shared" si="11"/>
        <v>1691930.9</v>
      </c>
      <c r="E30" s="299">
        <f t="shared" si="11"/>
        <v>713861.63000000012</v>
      </c>
      <c r="F30" s="299">
        <f t="shared" si="11"/>
        <v>3810636.15</v>
      </c>
      <c r="G30" s="299">
        <f t="shared" si="11"/>
        <v>1793796.3199999998</v>
      </c>
      <c r="H30" s="299">
        <f t="shared" si="11"/>
        <v>1622330.33</v>
      </c>
      <c r="I30" s="299">
        <f t="shared" si="11"/>
        <v>1900004.51</v>
      </c>
      <c r="J30" s="299">
        <f t="shared" si="11"/>
        <v>1972075.1800000002</v>
      </c>
      <c r="K30" s="299">
        <f t="shared" si="11"/>
        <v>1710408.6600000001</v>
      </c>
      <c r="L30" s="299">
        <f t="shared" si="11"/>
        <v>1925909.32</v>
      </c>
      <c r="M30" s="299">
        <f t="shared" si="11"/>
        <v>1717851.63</v>
      </c>
      <c r="N30" s="299">
        <f t="shared" si="11"/>
        <v>2081761.6800000002</v>
      </c>
    </row>
    <row r="31" spans="1:14" ht="15" thickTop="1"/>
    <row r="34" spans="1:10">
      <c r="A34" s="167" t="s">
        <v>163</v>
      </c>
      <c r="B34" s="167" t="s">
        <v>160</v>
      </c>
      <c r="C34" s="167" t="s">
        <v>164</v>
      </c>
      <c r="D34" s="167" t="s">
        <v>162</v>
      </c>
      <c r="E34" s="167" t="s">
        <v>165</v>
      </c>
      <c r="F34" s="167" t="s">
        <v>166</v>
      </c>
      <c r="G34" s="167" t="s">
        <v>167</v>
      </c>
      <c r="H34" s="167" t="s">
        <v>168</v>
      </c>
      <c r="I34" s="167" t="s">
        <v>169</v>
      </c>
    </row>
    <row r="35" spans="1:10">
      <c r="A35" s="83" t="s">
        <v>170</v>
      </c>
      <c r="B35" s="168">
        <v>18738362.699999999</v>
      </c>
      <c r="C35" s="168">
        <v>4330979.2799999993</v>
      </c>
      <c r="D35" s="168">
        <v>6637.31</v>
      </c>
      <c r="E35" s="168">
        <v>4393.24</v>
      </c>
      <c r="F35" s="168">
        <v>2244.0700000000002</v>
      </c>
      <c r="G35" s="168">
        <v>18742755.939999998</v>
      </c>
      <c r="H35" s="168">
        <v>4333223.3499999996</v>
      </c>
      <c r="I35" s="168">
        <v>23075979.289999999</v>
      </c>
    </row>
    <row r="36" spans="1:10">
      <c r="B36" s="300">
        <f>B27-B35</f>
        <v>0</v>
      </c>
      <c r="C36" s="300">
        <f>B28-C35</f>
        <v>0</v>
      </c>
      <c r="D36" s="300">
        <f>B29-D35</f>
        <v>0</v>
      </c>
      <c r="E36" s="300">
        <f>B29*B20-E35</f>
        <v>-538.29035199999953</v>
      </c>
      <c r="F36" s="300">
        <f>B29*B21-F35</f>
        <v>538.29035199999998</v>
      </c>
      <c r="G36" s="300">
        <f>B23-G35</f>
        <v>-538.29035199806094</v>
      </c>
      <c r="H36" s="300">
        <f>B24-H35</f>
        <v>538.29035200085491</v>
      </c>
      <c r="I36" s="300">
        <f>B25-I35</f>
        <v>0</v>
      </c>
      <c r="J36" s="301"/>
    </row>
    <row r="37" spans="1:10">
      <c r="B37" s="300">
        <f>B40+B44-B35</f>
        <v>0</v>
      </c>
      <c r="C37" s="300">
        <f t="shared" ref="C37:I37" si="12">C40+C44-C35</f>
        <v>0</v>
      </c>
      <c r="D37" s="300">
        <f t="shared" si="12"/>
        <v>0</v>
      </c>
      <c r="E37" s="300">
        <f t="shared" si="12"/>
        <v>-39.829999999999927</v>
      </c>
      <c r="F37" s="300">
        <f t="shared" si="12"/>
        <v>39.829999999999927</v>
      </c>
      <c r="G37" s="300">
        <f t="shared" si="12"/>
        <v>-39.829999998211861</v>
      </c>
      <c r="H37" s="300">
        <f t="shared" si="12"/>
        <v>39.830000000074506</v>
      </c>
      <c r="I37" s="300">
        <f t="shared" si="12"/>
        <v>0</v>
      </c>
    </row>
    <row r="38" spans="1:10">
      <c r="B38" s="168"/>
      <c r="C38" s="168"/>
      <c r="D38" s="168"/>
      <c r="E38" s="168"/>
      <c r="F38" s="168"/>
      <c r="G38" s="168"/>
      <c r="H38" s="168"/>
      <c r="I38" s="168"/>
    </row>
    <row r="39" spans="1:10">
      <c r="A39" s="167" t="s">
        <v>171</v>
      </c>
      <c r="B39" s="167" t="s">
        <v>160</v>
      </c>
      <c r="C39" s="167" t="s">
        <v>164</v>
      </c>
      <c r="D39" s="167" t="s">
        <v>162</v>
      </c>
      <c r="E39" s="167" t="s">
        <v>165</v>
      </c>
      <c r="F39" s="167" t="s">
        <v>166</v>
      </c>
      <c r="G39" s="167" t="s">
        <v>167</v>
      </c>
      <c r="H39" s="167" t="s">
        <v>168</v>
      </c>
      <c r="I39" s="167" t="s">
        <v>169</v>
      </c>
    </row>
    <row r="40" spans="1:10">
      <c r="A40" s="83" t="s">
        <v>170</v>
      </c>
      <c r="B40" s="168">
        <v>9441465.6999999993</v>
      </c>
      <c r="C40" s="168">
        <v>2319865.2999999998</v>
      </c>
      <c r="D40" s="168">
        <v>6637.31</v>
      </c>
      <c r="E40" s="168">
        <v>4353.41</v>
      </c>
      <c r="F40" s="168">
        <v>2283.9</v>
      </c>
      <c r="G40" s="168">
        <v>9445819.1099999994</v>
      </c>
      <c r="H40" s="168">
        <v>2322149.1999999997</v>
      </c>
      <c r="I40" s="168">
        <v>11767968.309999999</v>
      </c>
    </row>
    <row r="41" spans="1:10">
      <c r="B41" s="300">
        <f>SUM(C27:H27)-B40</f>
        <v>0</v>
      </c>
      <c r="C41" s="300">
        <f>SUM(C28:H28)-C40</f>
        <v>0</v>
      </c>
      <c r="D41" s="300">
        <f>SUM(C29:H29)-D40</f>
        <v>0</v>
      </c>
      <c r="E41" s="300">
        <f>SUM(C29:H29)*B20-E40</f>
        <v>-498.4603519999996</v>
      </c>
      <c r="F41" s="300">
        <f>SUM(C29:H29)*B21-F40</f>
        <v>498.46035200000006</v>
      </c>
      <c r="G41" s="300">
        <f>SUM(C23:H23)-G40</f>
        <v>-498.46035199984908</v>
      </c>
      <c r="H41" s="300">
        <f>SUM(C24:H24)-H40</f>
        <v>498.46035200031474</v>
      </c>
      <c r="I41" s="300">
        <f>SUM(C25:H25)-I40</f>
        <v>0</v>
      </c>
    </row>
    <row r="43" spans="1:10">
      <c r="A43" s="167" t="s">
        <v>172</v>
      </c>
      <c r="B43" s="167" t="s">
        <v>160</v>
      </c>
      <c r="C43" s="167" t="s">
        <v>164</v>
      </c>
      <c r="D43" s="167" t="s">
        <v>162</v>
      </c>
      <c r="E43" s="167" t="s">
        <v>165</v>
      </c>
      <c r="F43" s="167" t="s">
        <v>166</v>
      </c>
      <c r="G43" s="167" t="s">
        <v>167</v>
      </c>
      <c r="H43" s="167" t="s">
        <v>168</v>
      </c>
      <c r="I43" s="167" t="s">
        <v>169</v>
      </c>
    </row>
    <row r="44" spans="1:10">
      <c r="A44" s="83" t="s">
        <v>170</v>
      </c>
      <c r="B44" s="168">
        <v>9296897</v>
      </c>
      <c r="C44" s="168">
        <v>2011113.98</v>
      </c>
      <c r="D44" s="168">
        <v>0</v>
      </c>
      <c r="E44" s="168">
        <v>0</v>
      </c>
      <c r="F44" s="168">
        <v>0</v>
      </c>
      <c r="G44" s="168">
        <v>9296897</v>
      </c>
      <c r="H44" s="168">
        <v>2011113.98</v>
      </c>
      <c r="I44" s="168">
        <v>11308010.98</v>
      </c>
    </row>
    <row r="45" spans="1:10">
      <c r="B45" s="300">
        <f>SUM(I27:N27)-B44</f>
        <v>0</v>
      </c>
      <c r="C45" s="300">
        <f>SUM(I28:N28)-C44</f>
        <v>0</v>
      </c>
      <c r="D45" s="300">
        <f>SUM(I29:N29)-D44</f>
        <v>0</v>
      </c>
      <c r="E45" s="300">
        <f>SUM(I29:N29)*B20-E44</f>
        <v>0</v>
      </c>
      <c r="F45" s="300">
        <f>SUM(I29:N29)*B21-F44</f>
        <v>0</v>
      </c>
      <c r="G45" s="300">
        <f>SUM(I23:N23)-G44</f>
        <v>0</v>
      </c>
      <c r="H45" s="300">
        <f>SUM(I24:N24)-H44</f>
        <v>0</v>
      </c>
      <c r="I45" s="300">
        <f>SUM(I25:N25)-I44</f>
        <v>0</v>
      </c>
    </row>
    <row r="47" spans="1:10">
      <c r="E47" s="291" t="s">
        <v>173</v>
      </c>
      <c r="F47" s="291"/>
      <c r="G47" s="291"/>
      <c r="H47" s="291"/>
      <c r="I47" s="291"/>
    </row>
    <row r="48" spans="1:10">
      <c r="E48" s="291" t="s">
        <v>174</v>
      </c>
      <c r="F48" s="291"/>
      <c r="G48" s="291"/>
      <c r="H48" s="291"/>
      <c r="I48" s="291"/>
    </row>
    <row r="49" spans="2:12">
      <c r="E49" s="291" t="s">
        <v>175</v>
      </c>
      <c r="F49" s="291"/>
      <c r="G49" s="291"/>
      <c r="H49" s="291"/>
      <c r="I49" s="291"/>
    </row>
    <row r="52" spans="2:12">
      <c r="B52" s="291" t="s">
        <v>176</v>
      </c>
      <c r="C52" s="291"/>
      <c r="D52" s="291"/>
      <c r="E52" s="291"/>
      <c r="F52" s="291"/>
      <c r="G52" s="291"/>
      <c r="H52" s="291"/>
      <c r="I52" s="291"/>
      <c r="L52" s="151"/>
    </row>
    <row r="53" spans="2:12">
      <c r="L53" s="151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D23" sqref="D23"/>
    </sheetView>
  </sheetViews>
  <sheetFormatPr defaultColWidth="8.88671875" defaultRowHeight="14.4"/>
  <cols>
    <col min="1" max="2" width="32.33203125" style="83" customWidth="1"/>
    <col min="3" max="3" width="25.33203125" style="83" customWidth="1"/>
    <col min="4" max="6" width="17" style="83" bestFit="1" customWidth="1"/>
    <col min="7" max="16384" width="8.88671875" style="83"/>
  </cols>
  <sheetData>
    <row r="1" spans="1:6">
      <c r="A1" s="171" t="s">
        <v>20</v>
      </c>
      <c r="B1" s="171"/>
      <c r="C1" s="171"/>
      <c r="D1" s="171"/>
      <c r="E1" s="169"/>
      <c r="F1" s="170"/>
    </row>
    <row r="2" spans="1:6">
      <c r="A2" s="171" t="s">
        <v>68</v>
      </c>
      <c r="B2" s="171"/>
      <c r="C2" s="171"/>
      <c r="D2" s="171"/>
      <c r="E2" s="169"/>
      <c r="F2" s="170"/>
    </row>
    <row r="3" spans="1:6">
      <c r="A3" s="275" t="s">
        <v>237</v>
      </c>
      <c r="B3" s="171"/>
      <c r="C3" s="171"/>
      <c r="D3" s="171"/>
      <c r="E3" s="169"/>
      <c r="F3" s="170"/>
    </row>
    <row r="4" spans="1:6">
      <c r="A4" s="172" t="s">
        <v>69</v>
      </c>
      <c r="B4" s="172"/>
      <c r="C4" s="172"/>
      <c r="D4" s="172"/>
      <c r="E4" s="169"/>
      <c r="F4" s="170"/>
    </row>
    <row r="5" spans="1:6">
      <c r="A5" s="109"/>
      <c r="B5" s="109"/>
      <c r="C5" s="109"/>
      <c r="D5" s="109"/>
      <c r="E5" s="122"/>
    </row>
    <row r="6" spans="1:6">
      <c r="A6" s="111"/>
      <c r="B6" s="111"/>
      <c r="C6" s="111"/>
      <c r="D6" s="111"/>
      <c r="E6" s="122"/>
    </row>
    <row r="7" spans="1:6">
      <c r="A7" s="111" t="s">
        <v>70</v>
      </c>
      <c r="B7" s="112" t="s">
        <v>71</v>
      </c>
      <c r="C7" s="112" t="s">
        <v>71</v>
      </c>
      <c r="D7" s="112" t="s">
        <v>71</v>
      </c>
      <c r="E7" s="112" t="s">
        <v>71</v>
      </c>
      <c r="F7" s="113" t="s">
        <v>71</v>
      </c>
    </row>
    <row r="8" spans="1:6">
      <c r="A8" s="145" t="s">
        <v>72</v>
      </c>
      <c r="B8" s="276">
        <v>2022</v>
      </c>
      <c r="C8" s="276">
        <v>2021</v>
      </c>
      <c r="D8" s="276">
        <v>2020</v>
      </c>
      <c r="E8" s="276">
        <v>2019</v>
      </c>
      <c r="F8" s="276">
        <v>2018</v>
      </c>
    </row>
    <row r="9" spans="1:6">
      <c r="A9" s="111" t="s">
        <v>73</v>
      </c>
      <c r="B9" s="277">
        <v>775986284.16999996</v>
      </c>
      <c r="C9" s="277">
        <v>683095335.01999998</v>
      </c>
      <c r="D9" s="277">
        <v>659472093.04999995</v>
      </c>
      <c r="E9" s="277">
        <v>582902683.94000006</v>
      </c>
      <c r="F9" s="277">
        <v>635679851.5</v>
      </c>
    </row>
    <row r="10" spans="1:6">
      <c r="A10" s="111" t="s">
        <v>74</v>
      </c>
      <c r="B10" s="279">
        <v>305251864.94999999</v>
      </c>
      <c r="C10" s="279">
        <v>249079828.86000001</v>
      </c>
      <c r="D10" s="279">
        <v>233616391.25999999</v>
      </c>
      <c r="E10" s="279">
        <v>203685941.84999999</v>
      </c>
      <c r="F10" s="279">
        <v>234180837.47999999</v>
      </c>
    </row>
    <row r="11" spans="1:6">
      <c r="A11" s="111" t="s">
        <v>75</v>
      </c>
      <c r="B11" s="280">
        <v>21449524.969999999</v>
      </c>
      <c r="C11" s="280">
        <v>18380206.68</v>
      </c>
      <c r="D11" s="280">
        <v>18053622.82</v>
      </c>
      <c r="E11" s="280">
        <v>15152440.48</v>
      </c>
      <c r="F11" s="280">
        <v>18061853.899999999</v>
      </c>
    </row>
    <row r="12" spans="1:6">
      <c r="A12" s="111"/>
      <c r="B12" s="111"/>
      <c r="C12" s="111"/>
      <c r="D12" s="111"/>
      <c r="E12" s="282"/>
      <c r="F12" s="278"/>
    </row>
    <row r="13" spans="1:6">
      <c r="A13" s="111" t="s">
        <v>76</v>
      </c>
      <c r="B13" s="283">
        <f t="shared" ref="B13" si="0">SUM(B9:B11)</f>
        <v>1102687674.0899999</v>
      </c>
      <c r="C13" s="283">
        <f t="shared" ref="C13" si="1">SUM(C9:C11)</f>
        <v>950555370.55999994</v>
      </c>
      <c r="D13" s="283">
        <f t="shared" ref="D13:F13" si="2">SUM(D9:D11)</f>
        <v>911142107.13</v>
      </c>
      <c r="E13" s="283">
        <f t="shared" si="2"/>
        <v>801741066.2700001</v>
      </c>
      <c r="F13" s="283">
        <f t="shared" si="2"/>
        <v>887922542.88</v>
      </c>
    </row>
    <row r="14" spans="1:6">
      <c r="A14" s="111"/>
      <c r="B14" s="111"/>
      <c r="C14" s="111"/>
      <c r="D14" s="111"/>
      <c r="E14" s="282"/>
      <c r="F14" s="278"/>
    </row>
    <row r="15" spans="1:6">
      <c r="A15" s="145" t="s">
        <v>77</v>
      </c>
      <c r="B15" s="145"/>
      <c r="C15" s="145"/>
      <c r="D15" s="145"/>
      <c r="E15" s="282"/>
      <c r="F15" s="278"/>
    </row>
    <row r="16" spans="1:6">
      <c r="A16" s="111" t="s">
        <v>78</v>
      </c>
      <c r="B16" s="279">
        <v>23990036.539999999</v>
      </c>
      <c r="C16" s="279">
        <v>20750298.789999999</v>
      </c>
      <c r="D16" s="279">
        <v>21854904.300000001</v>
      </c>
      <c r="E16" s="279">
        <v>17029988.359999999</v>
      </c>
      <c r="F16" s="278">
        <v>21774042.120000001</v>
      </c>
    </row>
    <row r="17" spans="1:6">
      <c r="A17" s="111" t="s">
        <v>79</v>
      </c>
      <c r="B17" s="279">
        <v>1681434.7</v>
      </c>
      <c r="C17" s="279">
        <v>2236975.27</v>
      </c>
      <c r="D17" s="280">
        <v>833505.59</v>
      </c>
      <c r="E17" s="280">
        <v>682332.22</v>
      </c>
      <c r="F17" s="281">
        <v>999894.31</v>
      </c>
    </row>
    <row r="18" spans="1:6">
      <c r="A18" s="111"/>
      <c r="B18" s="111"/>
      <c r="C18" s="111"/>
      <c r="D18" s="111"/>
      <c r="E18" s="282"/>
      <c r="F18" s="278"/>
    </row>
    <row r="19" spans="1:6">
      <c r="A19" s="111" t="s">
        <v>80</v>
      </c>
      <c r="B19" s="284">
        <f t="shared" ref="B19" si="3">SUM(B16:B18)</f>
        <v>25671471.239999998</v>
      </c>
      <c r="C19" s="284">
        <f t="shared" ref="C19" si="4">SUM(C16:C18)</f>
        <v>22987274.059999999</v>
      </c>
      <c r="D19" s="284">
        <f t="shared" ref="D19:F19" si="5">SUM(D16:D18)</f>
        <v>22688409.890000001</v>
      </c>
      <c r="E19" s="284">
        <f t="shared" si="5"/>
        <v>17712320.579999998</v>
      </c>
      <c r="F19" s="284">
        <f t="shared" si="5"/>
        <v>22773936.43</v>
      </c>
    </row>
    <row r="20" spans="1:6">
      <c r="A20" s="111"/>
      <c r="B20" s="111"/>
      <c r="C20" s="111"/>
      <c r="D20" s="111"/>
      <c r="E20" s="282"/>
      <c r="F20" s="278"/>
    </row>
    <row r="21" spans="1:6">
      <c r="A21" s="111" t="s">
        <v>81</v>
      </c>
      <c r="B21" s="285">
        <f t="shared" ref="B21" si="6">B19+B13</f>
        <v>1128359145.3299999</v>
      </c>
      <c r="C21" s="285">
        <f t="shared" ref="C21" si="7">C19+C13</f>
        <v>973542644.61999989</v>
      </c>
      <c r="D21" s="285">
        <f t="shared" ref="D21:F21" si="8">D19+D13</f>
        <v>933830517.01999998</v>
      </c>
      <c r="E21" s="285">
        <f t="shared" si="8"/>
        <v>819453386.85000014</v>
      </c>
      <c r="F21" s="285">
        <f t="shared" si="8"/>
        <v>910696479.30999994</v>
      </c>
    </row>
    <row r="22" spans="1:6">
      <c r="A22" s="111"/>
      <c r="B22" s="111"/>
      <c r="C22" s="111"/>
      <c r="D22" s="111"/>
      <c r="E22" s="282"/>
      <c r="F22" s="278"/>
    </row>
    <row r="23" spans="1:6">
      <c r="A23" s="145" t="s">
        <v>82</v>
      </c>
      <c r="B23" s="145"/>
      <c r="C23" s="145"/>
      <c r="D23" s="145"/>
      <c r="E23" s="282"/>
      <c r="F23" s="278"/>
    </row>
    <row r="24" spans="1:6">
      <c r="A24" s="111" t="s">
        <v>83</v>
      </c>
      <c r="B24" s="279">
        <v>7127843.2199999997</v>
      </c>
      <c r="C24" s="279">
        <v>6766488.8300000001</v>
      </c>
      <c r="D24" s="286">
        <v>7077461.0300000003</v>
      </c>
      <c r="E24" s="279">
        <v>7066139.7300000004</v>
      </c>
      <c r="F24" s="278">
        <v>7203476.4199999999</v>
      </c>
    </row>
    <row r="25" spans="1:6">
      <c r="A25" s="111" t="s">
        <v>84</v>
      </c>
      <c r="B25" s="279">
        <v>13406458.369999999</v>
      </c>
      <c r="C25" s="279">
        <v>13038426.189999999</v>
      </c>
      <c r="D25" s="280">
        <v>12459225.6</v>
      </c>
      <c r="E25" s="280">
        <v>12701897.369999999</v>
      </c>
      <c r="F25" s="281">
        <v>13540197</v>
      </c>
    </row>
    <row r="26" spans="1:6">
      <c r="A26" s="111"/>
      <c r="B26" s="111"/>
      <c r="C26" s="111"/>
      <c r="D26" s="111"/>
      <c r="E26" s="282"/>
      <c r="F26" s="278"/>
    </row>
    <row r="27" spans="1:6">
      <c r="A27" s="111" t="s">
        <v>85</v>
      </c>
      <c r="B27" s="281">
        <f t="shared" ref="B27" si="9">SUM(B24:B26)</f>
        <v>20534301.59</v>
      </c>
      <c r="C27" s="281">
        <f t="shared" ref="C27" si="10">SUM(C24:C26)</f>
        <v>19804915.02</v>
      </c>
      <c r="D27" s="281">
        <f t="shared" ref="D27:F27" si="11">SUM(D24:D26)</f>
        <v>19536686.629999999</v>
      </c>
      <c r="E27" s="281">
        <f t="shared" si="11"/>
        <v>19768037.100000001</v>
      </c>
      <c r="F27" s="281">
        <f t="shared" si="11"/>
        <v>20743673.420000002</v>
      </c>
    </row>
    <row r="28" spans="1:6">
      <c r="A28" s="111"/>
      <c r="B28" s="111"/>
      <c r="C28" s="111"/>
      <c r="D28" s="111"/>
      <c r="E28" s="282"/>
      <c r="F28" s="278"/>
    </row>
    <row r="29" spans="1:6" ht="15" thickBot="1">
      <c r="A29" s="111" t="s">
        <v>86</v>
      </c>
      <c r="B29" s="287">
        <f t="shared" ref="B29" si="12">B27+B21</f>
        <v>1148893446.9199998</v>
      </c>
      <c r="C29" s="287">
        <f t="shared" ref="C29" si="13">C27+C21</f>
        <v>993347559.63999987</v>
      </c>
      <c r="D29" s="287">
        <f t="shared" ref="D29:F29" si="14">D27+D21</f>
        <v>953367203.64999998</v>
      </c>
      <c r="E29" s="287">
        <f t="shared" si="14"/>
        <v>839221423.95000017</v>
      </c>
      <c r="F29" s="287">
        <f t="shared" si="14"/>
        <v>931440152.7299999</v>
      </c>
    </row>
    <row r="30" spans="1:6" ht="15" thickTop="1">
      <c r="A30" s="111"/>
      <c r="B30" s="111"/>
      <c r="C30" s="111"/>
      <c r="D30" s="111"/>
      <c r="E30" s="282"/>
      <c r="F30" s="288"/>
    </row>
    <row r="31" spans="1:6">
      <c r="A31" s="111" t="s">
        <v>87</v>
      </c>
      <c r="B31" s="279">
        <v>-22336293.079999998</v>
      </c>
      <c r="C31" s="279">
        <v>16290322.689999999</v>
      </c>
      <c r="D31" s="286">
        <v>-1394986.07</v>
      </c>
      <c r="E31" s="279">
        <v>-37731693.32</v>
      </c>
      <c r="F31" s="278">
        <v>-31357975.370000001</v>
      </c>
    </row>
    <row r="32" spans="1:6">
      <c r="A32" s="111" t="s">
        <v>88</v>
      </c>
      <c r="B32" s="280">
        <v>15232684.039999999</v>
      </c>
      <c r="C32" s="280">
        <v>14177014.51</v>
      </c>
      <c r="D32" s="280">
        <v>17618700.510000002</v>
      </c>
      <c r="E32" s="280">
        <v>16532125.48</v>
      </c>
      <c r="F32" s="281">
        <v>1903626.66</v>
      </c>
    </row>
    <row r="33" spans="1:6">
      <c r="A33" s="111" t="s">
        <v>89</v>
      </c>
      <c r="B33" s="285">
        <f t="shared" ref="B33" si="15">SUM(B29:B32)</f>
        <v>1141789837.8799999</v>
      </c>
      <c r="C33" s="285">
        <f t="shared" ref="C33" si="16">SUM(C29:C32)</f>
        <v>1023814896.8399999</v>
      </c>
      <c r="D33" s="285">
        <f t="shared" ref="D33:F33" si="17">SUM(D29:D32)</f>
        <v>969590918.08999991</v>
      </c>
      <c r="E33" s="285">
        <f t="shared" si="17"/>
        <v>818021856.11000013</v>
      </c>
      <c r="F33" s="285">
        <f t="shared" si="17"/>
        <v>901985804.01999986</v>
      </c>
    </row>
    <row r="34" spans="1:6">
      <c r="A34" s="109" t="s">
        <v>90</v>
      </c>
      <c r="B34" s="109"/>
      <c r="C34" s="109"/>
      <c r="D34" s="144"/>
      <c r="E34" s="122"/>
      <c r="F34" s="168"/>
    </row>
    <row r="35" spans="1:6">
      <c r="A35" s="146"/>
      <c r="B35" s="146"/>
      <c r="C35" s="146"/>
      <c r="D35" s="110"/>
      <c r="E35" s="144"/>
    </row>
    <row r="36" spans="1:6">
      <c r="A36" s="146"/>
      <c r="B36" s="146"/>
      <c r="C36" s="146"/>
      <c r="D36" s="110"/>
      <c r="E36" s="122"/>
    </row>
    <row r="37" spans="1:6">
      <c r="A37" s="146"/>
      <c r="B37" s="146"/>
      <c r="C37" s="146"/>
      <c r="D37" s="110"/>
      <c r="E37" s="144"/>
    </row>
    <row r="38" spans="1:6">
      <c r="A38" s="146"/>
      <c r="B38" s="146"/>
      <c r="C38" s="146"/>
      <c r="D38" s="110"/>
      <c r="E38" s="122"/>
    </row>
    <row r="39" spans="1:6">
      <c r="A39" s="146"/>
      <c r="B39" s="146"/>
      <c r="C39" s="146"/>
      <c r="D39" s="110"/>
      <c r="E39" s="144"/>
    </row>
    <row r="40" spans="1:6">
      <c r="A40" s="146"/>
      <c r="B40" s="146"/>
      <c r="C40" s="146"/>
      <c r="D40" s="110"/>
      <c r="E40" s="122"/>
    </row>
    <row r="41" spans="1:6">
      <c r="A41" s="146"/>
      <c r="B41" s="146"/>
      <c r="C41" s="146"/>
      <c r="D41" s="110"/>
      <c r="E41" s="144"/>
    </row>
    <row r="42" spans="1:6">
      <c r="A42" s="146"/>
      <c r="B42" s="146"/>
      <c r="C42" s="146"/>
      <c r="D42" s="110"/>
      <c r="E42" s="122"/>
    </row>
    <row r="43" spans="1:6">
      <c r="A43" s="146"/>
      <c r="B43" s="146"/>
      <c r="C43" s="146"/>
      <c r="D43" s="110"/>
      <c r="E43" s="14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sqref="A1:XFD1048576"/>
    </sheetView>
  </sheetViews>
  <sheetFormatPr defaultColWidth="8" defaultRowHeight="15" customHeight="1"/>
  <cols>
    <col min="1" max="1" width="7.33203125" style="225" customWidth="1"/>
    <col min="2" max="2" width="1.6640625" style="225" customWidth="1"/>
    <col min="3" max="3" width="49.5546875" style="225" bestFit="1" customWidth="1"/>
    <col min="4" max="4" width="10.88671875" style="226" bestFit="1" customWidth="1"/>
    <col min="5" max="5" width="16.109375" style="225" bestFit="1" customWidth="1"/>
    <col min="6" max="6" width="16" style="225" bestFit="1" customWidth="1"/>
    <col min="7" max="7" width="15.6640625" style="225" bestFit="1" customWidth="1"/>
    <col min="8" max="8" width="10.44140625" style="225" customWidth="1"/>
    <col min="9" max="9" width="5.33203125" style="225" customWidth="1"/>
    <col min="10" max="11" width="7.33203125" style="225" customWidth="1"/>
    <col min="12" max="12" width="1.6640625" style="225" customWidth="1"/>
    <col min="13" max="13" width="49.5546875" style="225" bestFit="1" customWidth="1"/>
    <col min="14" max="14" width="10.88671875" style="226" bestFit="1" customWidth="1"/>
    <col min="15" max="15" width="16.109375" style="225" bestFit="1" customWidth="1"/>
    <col min="16" max="16" width="16" style="225" bestFit="1" customWidth="1"/>
    <col min="17" max="17" width="15.6640625" style="225" bestFit="1" customWidth="1"/>
    <col min="18" max="16384" width="8" style="225"/>
  </cols>
  <sheetData>
    <row r="1" spans="1:17" ht="15" customHeight="1">
      <c r="G1" s="227"/>
      <c r="Q1" s="227"/>
    </row>
    <row r="2" spans="1:17" ht="14.25" customHeight="1">
      <c r="A2" s="228" t="s">
        <v>178</v>
      </c>
      <c r="B2" s="228"/>
      <c r="C2" s="228"/>
      <c r="D2" s="228"/>
      <c r="E2" s="228"/>
      <c r="F2" s="228"/>
      <c r="G2" s="228"/>
      <c r="K2" s="228" t="s">
        <v>178</v>
      </c>
      <c r="L2" s="228"/>
      <c r="M2" s="228"/>
      <c r="N2" s="228"/>
      <c r="O2" s="228"/>
      <c r="P2" s="228"/>
      <c r="Q2" s="228"/>
    </row>
    <row r="3" spans="1:17" ht="15" customHeight="1">
      <c r="A3" s="228" t="s">
        <v>236</v>
      </c>
      <c r="B3" s="228"/>
      <c r="C3" s="228"/>
      <c r="D3" s="228"/>
      <c r="E3" s="228"/>
      <c r="F3" s="228"/>
      <c r="G3" s="228"/>
      <c r="K3" s="228" t="s">
        <v>227</v>
      </c>
      <c r="L3" s="228"/>
      <c r="M3" s="228"/>
      <c r="N3" s="228"/>
      <c r="O3" s="228"/>
      <c r="P3" s="228"/>
      <c r="Q3" s="228"/>
    </row>
    <row r="4" spans="1:17" ht="15" customHeight="1">
      <c r="A4" s="228" t="s">
        <v>179</v>
      </c>
      <c r="B4" s="228"/>
      <c r="C4" s="228"/>
      <c r="D4" s="228"/>
      <c r="E4" s="228"/>
      <c r="F4" s="228"/>
      <c r="G4" s="228"/>
      <c r="K4" s="228" t="s">
        <v>179</v>
      </c>
      <c r="L4" s="228"/>
      <c r="M4" s="228"/>
      <c r="N4" s="228"/>
      <c r="O4" s="228"/>
      <c r="P4" s="228"/>
      <c r="Q4" s="228"/>
    </row>
    <row r="5" spans="1:17" s="230" customFormat="1" ht="15" customHeight="1">
      <c r="C5" s="231"/>
      <c r="D5" s="231"/>
      <c r="M5" s="231"/>
      <c r="N5" s="231"/>
    </row>
    <row r="6" spans="1:17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  <c r="K6" s="232" t="s">
        <v>180</v>
      </c>
      <c r="L6" s="232"/>
      <c r="M6" s="232" t="s">
        <v>181</v>
      </c>
      <c r="N6" s="232"/>
      <c r="O6" s="232" t="s">
        <v>160</v>
      </c>
      <c r="P6" s="232" t="s">
        <v>161</v>
      </c>
      <c r="Q6" s="232" t="s">
        <v>169</v>
      </c>
    </row>
    <row r="7" spans="1:17" s="230" customFormat="1" ht="29.25" customHeight="1">
      <c r="D7" s="233"/>
      <c r="N7" s="233"/>
    </row>
    <row r="8" spans="1:17" s="230" customFormat="1" ht="15" customHeight="1">
      <c r="A8" s="234">
        <v>1</v>
      </c>
      <c r="B8" s="234" t="s">
        <v>182</v>
      </c>
      <c r="C8" s="235" t="s">
        <v>183</v>
      </c>
      <c r="D8" s="239">
        <v>44926</v>
      </c>
      <c r="E8" s="236">
        <f>[3]Lead!E8</f>
        <v>1210402</v>
      </c>
      <c r="F8" s="236">
        <f>[3]Lead!F8</f>
        <v>869532</v>
      </c>
      <c r="G8" s="236">
        <f>SUM(E8:F8)</f>
        <v>2079934</v>
      </c>
      <c r="H8" s="302"/>
      <c r="K8" s="234">
        <v>1</v>
      </c>
      <c r="L8" s="234" t="s">
        <v>182</v>
      </c>
      <c r="M8" s="235" t="s">
        <v>183</v>
      </c>
      <c r="N8" s="239">
        <v>44561</v>
      </c>
      <c r="O8" s="236">
        <v>1196859</v>
      </c>
      <c r="P8" s="236">
        <v>860438</v>
      </c>
      <c r="Q8" s="236">
        <v>2057297</v>
      </c>
    </row>
    <row r="9" spans="1:17" s="230" customFormat="1" ht="18.899999999999999" customHeight="1" thickBot="1">
      <c r="B9" s="231"/>
      <c r="C9" s="237" t="s">
        <v>184</v>
      </c>
      <c r="D9" s="231"/>
      <c r="E9" s="256">
        <f>ROUND(+E8/G8,4)</f>
        <v>0.58189999999999997</v>
      </c>
      <c r="F9" s="256">
        <f>ROUND(+F8/G8,4)</f>
        <v>0.41810000000000003</v>
      </c>
      <c r="G9" s="250">
        <f>SUM(E9:F9)</f>
        <v>1</v>
      </c>
      <c r="H9" s="302"/>
      <c r="L9" s="231"/>
      <c r="M9" s="237" t="s">
        <v>184</v>
      </c>
      <c r="N9" s="231"/>
      <c r="O9" s="256">
        <v>0.58179999999999998</v>
      </c>
      <c r="P9" s="256">
        <v>0.41820000000000002</v>
      </c>
      <c r="Q9" s="250">
        <v>1</v>
      </c>
    </row>
    <row r="10" spans="1:17" s="230" customFormat="1" ht="15" customHeight="1" thickTop="1">
      <c r="A10" s="231"/>
      <c r="B10" s="231"/>
      <c r="D10" s="239"/>
      <c r="H10" s="302"/>
      <c r="K10" s="231"/>
      <c r="L10" s="231"/>
      <c r="N10" s="239"/>
    </row>
    <row r="11" spans="1:17" s="230" customFormat="1" ht="15" customHeight="1">
      <c r="A11" s="234">
        <v>2</v>
      </c>
      <c r="B11" s="234" t="s">
        <v>182</v>
      </c>
      <c r="C11" s="235" t="s">
        <v>185</v>
      </c>
      <c r="D11" s="239">
        <v>44926</v>
      </c>
      <c r="E11" s="236">
        <f>[3]Lead!E11</f>
        <v>835289</v>
      </c>
      <c r="F11" s="236">
        <f>[3]Lead!F11</f>
        <v>496951</v>
      </c>
      <c r="G11" s="240">
        <f>SUM(E11:F11)</f>
        <v>1332240</v>
      </c>
      <c r="H11" s="302"/>
      <c r="K11" s="234">
        <v>2</v>
      </c>
      <c r="L11" s="234" t="s">
        <v>182</v>
      </c>
      <c r="M11" s="235" t="s">
        <v>185</v>
      </c>
      <c r="N11" s="239">
        <v>44561</v>
      </c>
      <c r="O11" s="240">
        <v>826158</v>
      </c>
      <c r="P11" s="240">
        <v>491617</v>
      </c>
      <c r="Q11" s="240">
        <v>1317775</v>
      </c>
    </row>
    <row r="12" spans="1:17" s="230" customFormat="1" ht="18.899999999999999" customHeight="1" thickBot="1">
      <c r="B12" s="231"/>
      <c r="C12" s="237" t="s">
        <v>184</v>
      </c>
      <c r="D12" s="233"/>
      <c r="E12" s="256">
        <f>ROUND(+E11/G11,4)</f>
        <v>0.627</v>
      </c>
      <c r="F12" s="256">
        <f>ROUND(+F11/G11,4)</f>
        <v>0.373</v>
      </c>
      <c r="G12" s="250">
        <f>SUM(E12:F12)</f>
        <v>1</v>
      </c>
      <c r="H12" s="238"/>
      <c r="J12" s="302"/>
      <c r="L12" s="231"/>
      <c r="M12" s="237" t="s">
        <v>184</v>
      </c>
      <c r="N12" s="233"/>
      <c r="O12" s="256">
        <v>0.62690000000000001</v>
      </c>
      <c r="P12" s="256">
        <v>0.37309999999999999</v>
      </c>
      <c r="Q12" s="250">
        <v>1</v>
      </c>
    </row>
    <row r="13" spans="1:17" s="230" customFormat="1" ht="15" customHeight="1" thickTop="1">
      <c r="A13" s="231"/>
      <c r="B13" s="231"/>
      <c r="D13" s="233"/>
      <c r="J13" s="302"/>
      <c r="K13" s="231"/>
      <c r="L13" s="231"/>
      <c r="N13" s="233"/>
    </row>
    <row r="14" spans="1:17" s="230" customFormat="1" ht="15" customHeight="1">
      <c r="A14" s="234">
        <v>3</v>
      </c>
      <c r="B14" s="234" t="s">
        <v>182</v>
      </c>
      <c r="C14" s="235" t="s">
        <v>186</v>
      </c>
      <c r="D14" s="233"/>
      <c r="J14" s="302"/>
      <c r="K14" s="234">
        <v>3</v>
      </c>
      <c r="L14" s="234" t="s">
        <v>182</v>
      </c>
      <c r="M14" s="235" t="s">
        <v>186</v>
      </c>
      <c r="N14" s="233"/>
    </row>
    <row r="15" spans="1:17" s="230" customFormat="1" ht="15" customHeight="1">
      <c r="A15" s="231"/>
      <c r="B15" s="231"/>
      <c r="C15" s="241" t="s">
        <v>187</v>
      </c>
      <c r="D15" s="239">
        <f>+$D$8</f>
        <v>44926</v>
      </c>
      <c r="E15" s="236">
        <f>[3]Lead!E15</f>
        <v>4833676000</v>
      </c>
      <c r="F15" s="236">
        <f>[3]Lead!F15</f>
        <v>4649465704</v>
      </c>
      <c r="G15" s="244">
        <f>SUM(E15:F15)</f>
        <v>9483141704</v>
      </c>
      <c r="H15" s="242"/>
      <c r="J15" s="302"/>
      <c r="K15" s="231"/>
      <c r="L15" s="231"/>
      <c r="M15" s="241" t="s">
        <v>187</v>
      </c>
      <c r="N15" s="239">
        <v>44561</v>
      </c>
      <c r="O15" s="242">
        <v>4608923309</v>
      </c>
      <c r="P15" s="244">
        <v>4452229699</v>
      </c>
      <c r="Q15" s="244">
        <v>9061153008</v>
      </c>
    </row>
    <row r="16" spans="1:17" s="230" customFormat="1" ht="15" customHeight="1">
      <c r="A16" s="231"/>
      <c r="B16" s="231"/>
      <c r="C16" s="241" t="s">
        <v>188</v>
      </c>
      <c r="D16" s="239">
        <f>+D15</f>
        <v>44926</v>
      </c>
      <c r="E16" s="236">
        <f>[3]Lead!E16</f>
        <v>1693273969</v>
      </c>
      <c r="F16" s="236">
        <f>[3]Lead!F16</f>
        <v>0</v>
      </c>
      <c r="G16" s="242">
        <f>SUM(E16:F16)</f>
        <v>1693273969</v>
      </c>
      <c r="H16" s="242"/>
      <c r="J16" s="302"/>
      <c r="K16" s="231"/>
      <c r="L16" s="231"/>
      <c r="M16" s="241" t="s">
        <v>188</v>
      </c>
      <c r="N16" s="239">
        <v>44561</v>
      </c>
      <c r="O16" s="242">
        <v>1665560972</v>
      </c>
      <c r="P16" s="242">
        <v>0</v>
      </c>
      <c r="Q16" s="242">
        <v>1665560972</v>
      </c>
    </row>
    <row r="17" spans="1:20" s="230" customFormat="1" ht="15" customHeight="1">
      <c r="A17" s="231"/>
      <c r="B17" s="231"/>
      <c r="C17" s="241" t="s">
        <v>189</v>
      </c>
      <c r="D17" s="239">
        <f>+D16</f>
        <v>44926</v>
      </c>
      <c r="E17" s="236">
        <f>[3]Lead!E17</f>
        <v>248197053</v>
      </c>
      <c r="F17" s="236">
        <f>[3]Lead!F17</f>
        <v>41394313</v>
      </c>
      <c r="G17" s="242">
        <f>SUM(E17:F17)</f>
        <v>289591366</v>
      </c>
      <c r="H17" s="242"/>
      <c r="J17" s="302"/>
      <c r="K17" s="231"/>
      <c r="L17" s="231"/>
      <c r="M17" s="241" t="s">
        <v>189</v>
      </c>
      <c r="N17" s="239">
        <v>44561</v>
      </c>
      <c r="O17" s="242">
        <v>242290652</v>
      </c>
      <c r="P17" s="242">
        <v>41267887</v>
      </c>
      <c r="Q17" s="242">
        <v>283558539</v>
      </c>
    </row>
    <row r="18" spans="1:20" s="230" customFormat="1" ht="15" customHeight="1">
      <c r="A18" s="231"/>
      <c r="B18" s="231"/>
      <c r="C18" s="241" t="s">
        <v>169</v>
      </c>
      <c r="D18" s="243"/>
      <c r="E18" s="257">
        <f>SUM(E15:E17)</f>
        <v>6775147022</v>
      </c>
      <c r="F18" s="257">
        <f>SUM(F15:F17)</f>
        <v>4690860017</v>
      </c>
      <c r="G18" s="257">
        <f>SUM(G15:G17)</f>
        <v>11466007039</v>
      </c>
      <c r="H18" s="244"/>
      <c r="J18" s="302"/>
      <c r="K18" s="231"/>
      <c r="L18" s="231"/>
      <c r="M18" s="241" t="s">
        <v>169</v>
      </c>
      <c r="N18" s="243"/>
      <c r="O18" s="257">
        <v>6516774933</v>
      </c>
      <c r="P18" s="257">
        <v>4493497586</v>
      </c>
      <c r="Q18" s="257">
        <v>11010272519</v>
      </c>
    </row>
    <row r="19" spans="1:20" s="230" customFormat="1" ht="18.899999999999999" customHeight="1" thickBot="1">
      <c r="B19" s="231"/>
      <c r="C19" s="237" t="s">
        <v>184</v>
      </c>
      <c r="D19" s="233"/>
      <c r="E19" s="256">
        <f>ROUND(+E18/G18,4)</f>
        <v>0.59089999999999998</v>
      </c>
      <c r="F19" s="256">
        <f>ROUND(+F18/G18,4)</f>
        <v>0.40910000000000002</v>
      </c>
      <c r="G19" s="250">
        <f>SUM(E19:F19)</f>
        <v>1</v>
      </c>
      <c r="H19" s="238"/>
      <c r="I19" s="302"/>
      <c r="J19" s="302"/>
      <c r="L19" s="231"/>
      <c r="M19" s="237" t="s">
        <v>184</v>
      </c>
      <c r="N19" s="233"/>
      <c r="O19" s="256">
        <v>0.59189999999999998</v>
      </c>
      <c r="P19" s="256">
        <v>0.40810000000000002</v>
      </c>
      <c r="Q19" s="250">
        <v>1</v>
      </c>
    </row>
    <row r="20" spans="1:20" s="230" customFormat="1" ht="15" customHeight="1" thickTop="1">
      <c r="A20" s="231"/>
      <c r="B20" s="231"/>
      <c r="D20" s="233"/>
      <c r="I20" s="302"/>
      <c r="J20" s="302"/>
      <c r="K20" s="231"/>
      <c r="L20" s="231"/>
      <c r="N20" s="233"/>
      <c r="R20" s="302"/>
      <c r="S20" s="302"/>
      <c r="T20" s="302"/>
    </row>
    <row r="21" spans="1:20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I21" s="302"/>
      <c r="J21" s="302"/>
      <c r="K21" s="234">
        <v>4</v>
      </c>
      <c r="L21" s="234" t="s">
        <v>182</v>
      </c>
      <c r="M21" s="235" t="s">
        <v>190</v>
      </c>
      <c r="N21" s="233" t="s">
        <v>191</v>
      </c>
      <c r="R21" s="302"/>
      <c r="S21" s="302"/>
      <c r="T21" s="302"/>
    </row>
    <row r="22" spans="1:20" s="230" customFormat="1" ht="15" customHeight="1">
      <c r="A22" s="231"/>
      <c r="B22" s="231"/>
      <c r="C22" s="241" t="s">
        <v>192</v>
      </c>
      <c r="D22" s="239">
        <f>+$D$8</f>
        <v>44926</v>
      </c>
      <c r="E22" s="236">
        <f>+E8</f>
        <v>1210402</v>
      </c>
      <c r="F22" s="236">
        <f>+F8</f>
        <v>869532</v>
      </c>
      <c r="G22" s="236">
        <f>SUM(E22:F22)</f>
        <v>2079934</v>
      </c>
      <c r="H22" s="236"/>
      <c r="I22" s="302"/>
      <c r="J22" s="302"/>
      <c r="K22" s="231"/>
      <c r="L22" s="231"/>
      <c r="M22" s="241" t="s">
        <v>192</v>
      </c>
      <c r="N22" s="239">
        <v>44561</v>
      </c>
      <c r="O22" s="236">
        <v>1196859</v>
      </c>
      <c r="P22" s="236">
        <v>860438</v>
      </c>
      <c r="Q22" s="236">
        <v>2057297</v>
      </c>
      <c r="R22" s="302"/>
      <c r="S22" s="302"/>
      <c r="T22" s="302"/>
    </row>
    <row r="23" spans="1:20" s="230" customFormat="1" ht="15" customHeight="1">
      <c r="A23" s="231"/>
      <c r="B23" s="231"/>
      <c r="C23" s="237" t="s">
        <v>193</v>
      </c>
      <c r="D23" s="231"/>
      <c r="E23" s="246">
        <f>+E22/G22</f>
        <v>0.58194250394483671</v>
      </c>
      <c r="F23" s="246">
        <f>+F22/G22</f>
        <v>0.41805749605516329</v>
      </c>
      <c r="G23" s="246">
        <f>SUM(E23:F23)</f>
        <v>1</v>
      </c>
      <c r="H23" s="238"/>
      <c r="I23" s="302"/>
      <c r="J23" s="302"/>
      <c r="K23" s="231"/>
      <c r="L23" s="231"/>
      <c r="M23" s="237" t="s">
        <v>193</v>
      </c>
      <c r="N23" s="231"/>
      <c r="O23" s="246">
        <v>0.58176286651854348</v>
      </c>
      <c r="P23" s="246">
        <v>0.41823713348145647</v>
      </c>
      <c r="Q23" s="246">
        <v>1</v>
      </c>
      <c r="R23" s="302"/>
      <c r="S23" s="302"/>
      <c r="T23" s="302"/>
    </row>
    <row r="24" spans="1:20" s="230" customFormat="1" ht="15" customHeight="1">
      <c r="A24" s="231"/>
      <c r="B24" s="231"/>
      <c r="D24" s="233"/>
      <c r="I24" s="302"/>
      <c r="J24" s="302"/>
      <c r="K24" s="231"/>
      <c r="L24" s="231"/>
      <c r="N24" s="233"/>
      <c r="R24" s="302"/>
      <c r="S24" s="302"/>
      <c r="T24" s="302"/>
    </row>
    <row r="25" spans="1:20" s="230" customFormat="1" ht="15" customHeight="1">
      <c r="A25" s="231"/>
      <c r="B25" s="231"/>
      <c r="C25" s="230" t="s">
        <v>194</v>
      </c>
      <c r="D25" s="239">
        <f>+$D$8</f>
        <v>44926</v>
      </c>
      <c r="E25" s="236">
        <f>[3]Lead!E25</f>
        <v>68062508.599999994</v>
      </c>
      <c r="F25" s="236">
        <f>[3]Lead!F25</f>
        <v>27795573.469999999</v>
      </c>
      <c r="G25" s="245">
        <f>SUM(E25:F25)</f>
        <v>95858082.069999993</v>
      </c>
      <c r="H25" s="258"/>
      <c r="I25" s="302"/>
      <c r="J25" s="302"/>
      <c r="K25" s="231"/>
      <c r="L25" s="231"/>
      <c r="M25" s="230" t="s">
        <v>194</v>
      </c>
      <c r="N25" s="239">
        <v>44561</v>
      </c>
      <c r="O25" s="236">
        <v>65034940.059999995</v>
      </c>
      <c r="P25" s="236">
        <v>26605801.210000001</v>
      </c>
      <c r="Q25" s="245">
        <v>91640741.269999996</v>
      </c>
      <c r="R25" s="302"/>
      <c r="S25" s="302"/>
      <c r="T25" s="302"/>
    </row>
    <row r="26" spans="1:20" s="230" customFormat="1" ht="15" customHeight="1">
      <c r="A26" s="231"/>
      <c r="B26" s="231"/>
      <c r="C26" s="237" t="s">
        <v>193</v>
      </c>
      <c r="D26" s="233"/>
      <c r="E26" s="246">
        <f>+E25/G25</f>
        <v>0.71003411637526415</v>
      </c>
      <c r="F26" s="246">
        <f>+F25/G25</f>
        <v>0.28996588362473585</v>
      </c>
      <c r="G26" s="246">
        <f>SUM(E26:F26)</f>
        <v>1</v>
      </c>
      <c r="H26" s="238"/>
      <c r="I26" s="302"/>
      <c r="J26" s="302"/>
      <c r="K26" s="231"/>
      <c r="L26" s="231"/>
      <c r="M26" s="237" t="s">
        <v>193</v>
      </c>
      <c r="N26" s="233"/>
      <c r="O26" s="246">
        <v>0.70967278481945428</v>
      </c>
      <c r="P26" s="246">
        <v>0.29032721518054566</v>
      </c>
      <c r="Q26" s="246">
        <v>1</v>
      </c>
      <c r="R26" s="302"/>
      <c r="S26" s="302"/>
      <c r="T26" s="302"/>
    </row>
    <row r="27" spans="1:20" s="230" customFormat="1" ht="15" customHeight="1">
      <c r="A27" s="231"/>
      <c r="B27" s="231"/>
      <c r="D27" s="233"/>
      <c r="I27" s="302"/>
      <c r="J27" s="302"/>
      <c r="K27" s="231"/>
      <c r="L27" s="231"/>
      <c r="N27" s="233"/>
      <c r="R27" s="302"/>
      <c r="S27" s="302"/>
      <c r="T27" s="302"/>
    </row>
    <row r="28" spans="1:20" s="230" customFormat="1" ht="15" customHeight="1">
      <c r="A28" s="247"/>
      <c r="B28" s="231"/>
      <c r="C28" s="230" t="s">
        <v>195</v>
      </c>
      <c r="D28" s="239">
        <f>+$D$8</f>
        <v>44926</v>
      </c>
      <c r="E28" s="236">
        <f>[3]Lead!E28</f>
        <v>84084959.75</v>
      </c>
      <c r="F28" s="236">
        <f>[3]Lead!F28</f>
        <v>38200040.449999996</v>
      </c>
      <c r="G28" s="245">
        <f>SUM(E28:F28)</f>
        <v>122285000.19999999</v>
      </c>
      <c r="H28" s="258"/>
      <c r="I28" s="302"/>
      <c r="J28" s="302"/>
      <c r="K28" s="247"/>
      <c r="L28" s="231"/>
      <c r="M28" s="230" t="s">
        <v>195</v>
      </c>
      <c r="N28" s="239">
        <v>44561</v>
      </c>
      <c r="O28" s="236">
        <v>79180132.569999993</v>
      </c>
      <c r="P28" s="236">
        <v>37224993.450000018</v>
      </c>
      <c r="Q28" s="245">
        <v>116405126.02000001</v>
      </c>
      <c r="R28" s="302"/>
      <c r="S28" s="302"/>
      <c r="T28" s="302"/>
    </row>
    <row r="29" spans="1:20" s="230" customFormat="1" ht="15" customHeight="1">
      <c r="A29" s="231"/>
      <c r="B29" s="231"/>
      <c r="C29" s="237" t="s">
        <v>193</v>
      </c>
      <c r="D29" s="248"/>
      <c r="E29" s="246">
        <f>+E28/G28</f>
        <v>0.68761466747742628</v>
      </c>
      <c r="F29" s="246">
        <f>+F28/G28</f>
        <v>0.31238533252257378</v>
      </c>
      <c r="G29" s="246">
        <f>SUM(E29:F29)</f>
        <v>1</v>
      </c>
      <c r="H29" s="238"/>
      <c r="I29" s="302"/>
      <c r="J29" s="302"/>
      <c r="K29" s="231"/>
      <c r="L29" s="231"/>
      <c r="M29" s="237" t="s">
        <v>193</v>
      </c>
      <c r="N29" s="248"/>
      <c r="O29" s="246">
        <v>0.68021173360008003</v>
      </c>
      <c r="P29" s="246">
        <v>0.31978826639991997</v>
      </c>
      <c r="Q29" s="246">
        <v>1</v>
      </c>
      <c r="R29" s="302"/>
      <c r="S29" s="302"/>
      <c r="T29" s="302"/>
    </row>
    <row r="30" spans="1:20" s="230" customFormat="1" ht="15" customHeight="1">
      <c r="A30" s="231"/>
      <c r="B30" s="231"/>
      <c r="D30" s="233"/>
      <c r="I30" s="302"/>
      <c r="J30" s="302"/>
      <c r="K30" s="231"/>
      <c r="L30" s="231"/>
      <c r="N30" s="233"/>
      <c r="R30" s="302"/>
      <c r="S30" s="302"/>
      <c r="T30" s="302"/>
    </row>
    <row r="31" spans="1:20" s="230" customFormat="1" ht="15" customHeight="1">
      <c r="A31" s="247"/>
      <c r="B31" s="231"/>
      <c r="C31" s="230" t="s">
        <v>196</v>
      </c>
      <c r="D31" s="239">
        <f>+$D$8</f>
        <v>44926</v>
      </c>
      <c r="E31" s="236">
        <f>[3]Lead!E31</f>
        <v>5725102400.3987532</v>
      </c>
      <c r="F31" s="236">
        <f>[3]Lead!F31</f>
        <v>3128739933.8720841</v>
      </c>
      <c r="G31" s="236">
        <f>SUM(E31:F31)</f>
        <v>8853842334.2708378</v>
      </c>
      <c r="H31" s="258"/>
      <c r="I31" s="302"/>
      <c r="J31" s="302"/>
      <c r="K31" s="247"/>
      <c r="L31" s="231"/>
      <c r="M31" s="230" t="s">
        <v>196</v>
      </c>
      <c r="N31" s="239">
        <v>44561</v>
      </c>
      <c r="O31" s="236">
        <v>5699624441.3454142</v>
      </c>
      <c r="P31" s="236">
        <v>2838750504.5029154</v>
      </c>
      <c r="Q31" s="236">
        <v>8538374945.8483295</v>
      </c>
      <c r="R31" s="302"/>
      <c r="S31" s="302"/>
      <c r="T31" s="302"/>
    </row>
    <row r="32" spans="1:20" s="230" customFormat="1" ht="15" customHeight="1">
      <c r="A32" s="231"/>
      <c r="B32" s="231"/>
      <c r="C32" s="237" t="s">
        <v>193</v>
      </c>
      <c r="D32" s="233"/>
      <c r="E32" s="246">
        <f>+E31/G31</f>
        <v>0.64662348664584013</v>
      </c>
      <c r="F32" s="246">
        <f>+F31/G31</f>
        <v>0.35337651335415982</v>
      </c>
      <c r="G32" s="246">
        <f>SUM(E32:F32)</f>
        <v>1</v>
      </c>
      <c r="H32" s="238"/>
      <c r="I32" s="302"/>
      <c r="J32" s="302"/>
      <c r="K32" s="231"/>
      <c r="L32" s="231"/>
      <c r="M32" s="237" t="s">
        <v>193</v>
      </c>
      <c r="N32" s="233"/>
      <c r="O32" s="246">
        <v>0.66753035296450414</v>
      </c>
      <c r="P32" s="246">
        <v>0.33246964703549586</v>
      </c>
      <c r="Q32" s="246">
        <v>1</v>
      </c>
      <c r="R32" s="302"/>
      <c r="S32" s="302"/>
      <c r="T32" s="302"/>
    </row>
    <row r="33" spans="1:20" s="230" customFormat="1" ht="15" customHeight="1">
      <c r="A33" s="231"/>
      <c r="D33" s="233"/>
      <c r="E33" s="249"/>
      <c r="F33" s="249"/>
      <c r="G33" s="249"/>
      <c r="I33" s="302"/>
      <c r="J33" s="302"/>
      <c r="K33" s="231"/>
      <c r="N33" s="233"/>
      <c r="O33" s="249"/>
      <c r="P33" s="249"/>
      <c r="Q33" s="249"/>
      <c r="R33" s="302"/>
      <c r="S33" s="302"/>
      <c r="T33" s="302"/>
    </row>
    <row r="34" spans="1:20" s="230" customFormat="1" ht="15" customHeight="1">
      <c r="A34" s="231"/>
      <c r="C34" s="230" t="s">
        <v>197</v>
      </c>
      <c r="D34" s="233"/>
      <c r="E34" s="259">
        <f>+E32+E29+E26+E23</f>
        <v>2.6262147744433673</v>
      </c>
      <c r="F34" s="259">
        <f>+F32+F29+F26+F23</f>
        <v>1.3737852255566327</v>
      </c>
      <c r="G34" s="259">
        <f>+G32+G29+G26+G23</f>
        <v>4</v>
      </c>
      <c r="H34" s="238"/>
      <c r="I34" s="302"/>
      <c r="J34" s="302"/>
      <c r="K34" s="231"/>
      <c r="M34" s="230" t="s">
        <v>197</v>
      </c>
      <c r="N34" s="233"/>
      <c r="O34" s="259">
        <v>2.6391777379025818</v>
      </c>
      <c r="P34" s="259">
        <v>1.360822262097418</v>
      </c>
      <c r="Q34" s="259">
        <v>4</v>
      </c>
      <c r="R34" s="302"/>
      <c r="S34" s="302"/>
      <c r="T34" s="302"/>
    </row>
    <row r="35" spans="1:20" s="230" customFormat="1" ht="18.899999999999999" customHeight="1" thickBot="1">
      <c r="C35" s="230" t="s">
        <v>184</v>
      </c>
      <c r="D35" s="233"/>
      <c r="E35" s="256">
        <f>ROUND(+E34/4,4)</f>
        <v>0.65659999999999996</v>
      </c>
      <c r="F35" s="256">
        <f>ROUND(+F34/4,4)</f>
        <v>0.34339999999999998</v>
      </c>
      <c r="G35" s="250">
        <f>+G34/4</f>
        <v>1</v>
      </c>
      <c r="H35" s="238"/>
      <c r="I35" s="302"/>
      <c r="J35" s="302"/>
      <c r="M35" s="230" t="s">
        <v>184</v>
      </c>
      <c r="N35" s="233"/>
      <c r="O35" s="256">
        <v>0.65980000000000005</v>
      </c>
      <c r="P35" s="256">
        <v>0.3402</v>
      </c>
      <c r="Q35" s="250">
        <v>1</v>
      </c>
      <c r="R35" s="302"/>
      <c r="S35" s="302"/>
      <c r="T35" s="302"/>
    </row>
    <row r="36" spans="1:20" s="230" customFormat="1" ht="15" customHeight="1" thickTop="1">
      <c r="D36" s="233"/>
      <c r="I36" s="302"/>
      <c r="J36" s="302"/>
      <c r="N36" s="233"/>
      <c r="R36" s="302"/>
      <c r="S36" s="302"/>
      <c r="T36" s="302"/>
    </row>
    <row r="37" spans="1:20" s="230" customFormat="1" ht="15" customHeight="1">
      <c r="A37" s="234">
        <v>5</v>
      </c>
      <c r="B37" s="234" t="s">
        <v>182</v>
      </c>
      <c r="C37" s="235" t="s">
        <v>198</v>
      </c>
      <c r="D37" s="233"/>
      <c r="I37" s="302"/>
      <c r="J37" s="302"/>
      <c r="K37" s="234">
        <v>5</v>
      </c>
      <c r="L37" s="234" t="s">
        <v>182</v>
      </c>
      <c r="M37" s="235" t="s">
        <v>198</v>
      </c>
      <c r="N37" s="233"/>
      <c r="R37" s="302"/>
      <c r="S37" s="302"/>
      <c r="T37" s="302"/>
    </row>
    <row r="38" spans="1:20" s="230" customFormat="1" ht="15" customHeight="1">
      <c r="C38" s="237" t="s">
        <v>199</v>
      </c>
      <c r="D38" s="239">
        <f>+$D$8</f>
        <v>44926</v>
      </c>
      <c r="E38" s="236">
        <f>[3]Lead!E38</f>
        <v>77576972.299999997</v>
      </c>
      <c r="F38" s="236">
        <f>[3]Lead!F38</f>
        <v>29025102.619999997</v>
      </c>
      <c r="G38" s="236">
        <f>SUM(E38:F38)</f>
        <v>106602074.91999999</v>
      </c>
      <c r="H38" s="258"/>
      <c r="I38" s="302"/>
      <c r="J38" s="302"/>
      <c r="M38" s="237" t="s">
        <v>199</v>
      </c>
      <c r="N38" s="239">
        <v>44561</v>
      </c>
      <c r="O38" s="236">
        <v>73132522.719999984</v>
      </c>
      <c r="P38" s="236">
        <v>27767872.469999999</v>
      </c>
      <c r="Q38" s="236">
        <v>100900395.18999998</v>
      </c>
      <c r="R38" s="302"/>
      <c r="S38" s="302"/>
      <c r="T38" s="302"/>
    </row>
    <row r="39" spans="1:20" s="230" customFormat="1" ht="15" customHeight="1">
      <c r="C39" s="230" t="s">
        <v>169</v>
      </c>
      <c r="D39" s="233"/>
      <c r="E39" s="260">
        <f>SUM(E38:E38)</f>
        <v>77576972.299999997</v>
      </c>
      <c r="F39" s="260">
        <f>SUM(F38:F38)</f>
        <v>29025102.619999997</v>
      </c>
      <c r="G39" s="260">
        <f>SUM(G38:G38)</f>
        <v>106602074.91999999</v>
      </c>
      <c r="H39" s="245"/>
      <c r="I39" s="302"/>
      <c r="J39" s="302"/>
      <c r="M39" s="230" t="s">
        <v>169</v>
      </c>
      <c r="N39" s="233"/>
      <c r="O39" s="260">
        <v>73132522.719999984</v>
      </c>
      <c r="P39" s="260">
        <v>27767872.469999999</v>
      </c>
      <c r="Q39" s="260">
        <v>100900395.18999998</v>
      </c>
      <c r="R39" s="302"/>
      <c r="S39" s="302"/>
      <c r="T39" s="302"/>
    </row>
    <row r="40" spans="1:20" s="230" customFormat="1" ht="18.899999999999999" customHeight="1" thickBot="1">
      <c r="C40" s="230" t="s">
        <v>184</v>
      </c>
      <c r="D40" s="233"/>
      <c r="E40" s="256">
        <f>ROUND(+E39/G39,4)</f>
        <v>0.72770000000000001</v>
      </c>
      <c r="F40" s="256">
        <f>ROUND(+F39/G39,4)</f>
        <v>0.27229999999999999</v>
      </c>
      <c r="G40" s="250">
        <f>SUM(E40:F40)</f>
        <v>1</v>
      </c>
      <c r="H40" s="238"/>
      <c r="I40" s="302"/>
      <c r="J40" s="302"/>
      <c r="M40" s="230" t="s">
        <v>184</v>
      </c>
      <c r="N40" s="233"/>
      <c r="O40" s="256">
        <v>0.7248</v>
      </c>
      <c r="P40" s="256">
        <v>0.2752</v>
      </c>
      <c r="Q40" s="250">
        <v>1</v>
      </c>
      <c r="R40" s="302"/>
      <c r="S40" s="302"/>
      <c r="T40" s="302"/>
    </row>
    <row r="41" spans="1:20" s="230" customFormat="1" ht="15" customHeight="1" thickTop="1">
      <c r="D41" s="231"/>
      <c r="J41" s="302"/>
      <c r="N41" s="231"/>
    </row>
    <row r="42" spans="1:20" s="230" customFormat="1" ht="15" customHeight="1">
      <c r="A42" s="234">
        <v>6</v>
      </c>
      <c r="C42" s="235" t="s">
        <v>200</v>
      </c>
      <c r="D42" s="239">
        <f>+$D$8</f>
        <v>44926</v>
      </c>
      <c r="F42" s="231" t="s">
        <v>201</v>
      </c>
      <c r="J42" s="302"/>
      <c r="K42" s="234">
        <v>6</v>
      </c>
      <c r="M42" s="235" t="s">
        <v>200</v>
      </c>
      <c r="N42" s="239">
        <v>44561</v>
      </c>
      <c r="P42" s="231" t="s">
        <v>201</v>
      </c>
    </row>
    <row r="43" spans="1:20" ht="15" customHeight="1">
      <c r="A43" s="230"/>
      <c r="B43" s="230"/>
      <c r="C43" s="230" t="s">
        <v>202</v>
      </c>
      <c r="D43" s="231"/>
      <c r="E43" s="230"/>
      <c r="F43" s="244">
        <f>[3]Lead!F43</f>
        <v>163681478.09</v>
      </c>
      <c r="G43" s="238">
        <f>'[3]SAP DL Downld'!H15</f>
        <v>0.47584930938870212</v>
      </c>
      <c r="J43" s="302"/>
      <c r="K43" s="230"/>
      <c r="L43" s="230"/>
      <c r="M43" s="230" t="s">
        <v>202</v>
      </c>
      <c r="N43" s="231"/>
      <c r="O43" s="230"/>
      <c r="P43" s="244">
        <v>153659198.66999999</v>
      </c>
      <c r="Q43" s="238">
        <v>0.48238392496676075</v>
      </c>
    </row>
    <row r="44" spans="1:20" ht="15" customHeight="1">
      <c r="A44" s="230"/>
      <c r="B44" s="230"/>
      <c r="C44" s="230" t="s">
        <v>203</v>
      </c>
      <c r="D44" s="231"/>
      <c r="E44" s="230"/>
      <c r="F44" s="244">
        <f>[3]Lead!F44</f>
        <v>2403018.8499999992</v>
      </c>
      <c r="G44" s="238">
        <f>'[3]SAP DL Downld'!H16</f>
        <v>6.9859758939358734E-3</v>
      </c>
      <c r="J44" s="302"/>
      <c r="K44" s="230"/>
      <c r="L44" s="230"/>
      <c r="M44" s="230" t="s">
        <v>203</v>
      </c>
      <c r="N44" s="231"/>
      <c r="O44" s="230"/>
      <c r="P44" s="244">
        <v>668354.53</v>
      </c>
      <c r="Q44" s="238">
        <v>2.0981723466039384E-3</v>
      </c>
    </row>
    <row r="45" spans="1:20" ht="15" customHeight="1">
      <c r="A45" s="230"/>
      <c r="B45" s="230"/>
      <c r="C45" s="230" t="s">
        <v>204</v>
      </c>
      <c r="D45" s="231"/>
      <c r="E45" s="230"/>
      <c r="F45" s="244">
        <f>[3]Lead!F45</f>
        <v>177893049.86000004</v>
      </c>
      <c r="G45" s="238">
        <f>'[3]SAP DL Downld'!H17</f>
        <v>0.51716471471736192</v>
      </c>
      <c r="J45" s="302"/>
      <c r="K45" s="230"/>
      <c r="L45" s="230"/>
      <c r="M45" s="230" t="s">
        <v>204</v>
      </c>
      <c r="N45" s="231"/>
      <c r="O45" s="230"/>
      <c r="P45" s="244">
        <v>164213738.74000001</v>
      </c>
      <c r="Q45" s="238">
        <v>0.51551790268663533</v>
      </c>
    </row>
    <row r="46" spans="1:20" ht="15" customHeight="1" thickBot="1">
      <c r="A46" s="230"/>
      <c r="B46" s="230"/>
      <c r="C46" s="230" t="s">
        <v>205</v>
      </c>
      <c r="D46" s="231"/>
      <c r="E46" s="230"/>
      <c r="F46" s="251">
        <f>SUM(F43:F45)</f>
        <v>343977546.80000007</v>
      </c>
      <c r="G46" s="250">
        <f>SUM(G43:G45)</f>
        <v>0.99999999999999989</v>
      </c>
      <c r="J46" s="302"/>
      <c r="K46" s="230"/>
      <c r="L46" s="230"/>
      <c r="M46" s="230" t="s">
        <v>205</v>
      </c>
      <c r="N46" s="231"/>
      <c r="O46" s="230"/>
      <c r="P46" s="251">
        <v>318541291.94</v>
      </c>
      <c r="Q46" s="250">
        <v>1</v>
      </c>
    </row>
    <row r="47" spans="1:20" ht="15" customHeight="1" thickTop="1">
      <c r="J47" s="302"/>
    </row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activeCell="D1" sqref="D1:D1048576"/>
    </sheetView>
  </sheetViews>
  <sheetFormatPr defaultColWidth="7.33203125" defaultRowHeight="15" customHeight="1"/>
  <cols>
    <col min="1" max="1" width="6.5546875" style="225" customWidth="1"/>
    <col min="2" max="2" width="1.5546875" style="225" customWidth="1"/>
    <col min="3" max="3" width="45" style="225" bestFit="1" customWidth="1"/>
    <col min="4" max="4" width="9.88671875" style="226" bestFit="1" customWidth="1"/>
    <col min="5" max="5" width="14.6640625" style="225" bestFit="1" customWidth="1"/>
    <col min="6" max="6" width="14.5546875" style="225" bestFit="1" customWidth="1"/>
    <col min="7" max="7" width="15.5546875" style="225" bestFit="1" customWidth="1"/>
    <col min="8" max="8" width="9.44140625" style="225" customWidth="1"/>
    <col min="9" max="9" width="4.6640625" style="225" customWidth="1"/>
    <col min="10" max="16384" width="7.33203125" style="225"/>
  </cols>
  <sheetData>
    <row r="1" spans="1:8" ht="15" customHeight="1">
      <c r="G1" s="227"/>
    </row>
    <row r="2" spans="1:8" ht="14.25" customHeight="1">
      <c r="A2" s="228" t="s">
        <v>178</v>
      </c>
      <c r="B2" s="228"/>
      <c r="C2" s="228"/>
      <c r="D2" s="228"/>
      <c r="E2" s="228"/>
      <c r="F2" s="228"/>
      <c r="G2" s="228"/>
    </row>
    <row r="3" spans="1:8" ht="15" customHeight="1">
      <c r="A3" s="228" t="s">
        <v>227</v>
      </c>
      <c r="B3" s="228"/>
      <c r="C3" s="228"/>
      <c r="D3" s="228"/>
      <c r="E3" s="228"/>
      <c r="F3" s="228"/>
      <c r="G3" s="228"/>
    </row>
    <row r="4" spans="1:8" ht="15" customHeight="1">
      <c r="A4" s="228" t="s">
        <v>179</v>
      </c>
      <c r="B4" s="228"/>
      <c r="C4" s="228"/>
      <c r="D4" s="228"/>
      <c r="E4" s="228"/>
      <c r="F4" s="228"/>
      <c r="G4" s="228"/>
    </row>
    <row r="5" spans="1:8" s="230" customFormat="1" ht="15" customHeight="1">
      <c r="C5" s="231"/>
      <c r="D5" s="231"/>
    </row>
    <row r="6" spans="1:8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</row>
    <row r="7" spans="1:8" s="230" customFormat="1" ht="29.25" customHeight="1">
      <c r="D7" s="233"/>
    </row>
    <row r="8" spans="1:8" s="230" customFormat="1" ht="15" customHeight="1">
      <c r="A8" s="234">
        <v>1</v>
      </c>
      <c r="B8" s="234" t="s">
        <v>182</v>
      </c>
      <c r="C8" s="235" t="s">
        <v>183</v>
      </c>
      <c r="D8" s="239">
        <v>44561</v>
      </c>
      <c r="E8" s="236">
        <f>'[3]Elect. Customer Counts Pg 10a '!D53</f>
        <v>1196859</v>
      </c>
      <c r="F8" s="236">
        <f>'[3]Gas Customer Counts Pg 10b'!D53</f>
        <v>860438</v>
      </c>
      <c r="G8" s="236">
        <f>SUM(E8:F8)</f>
        <v>2057297</v>
      </c>
      <c r="H8" s="229"/>
    </row>
    <row r="9" spans="1:8" s="230" customFormat="1" ht="18.899999999999999" customHeight="1" thickBot="1">
      <c r="B9" s="231"/>
      <c r="C9" s="237" t="s">
        <v>184</v>
      </c>
      <c r="D9" s="231"/>
      <c r="E9" s="256">
        <f>ROUND(+E8/G8,4)</f>
        <v>0.58179999999999998</v>
      </c>
      <c r="F9" s="256">
        <f>ROUND(+F8/G8,4)</f>
        <v>0.41820000000000002</v>
      </c>
      <c r="G9" s="250">
        <f>SUM(E9:F9)</f>
        <v>1</v>
      </c>
      <c r="H9" s="229"/>
    </row>
    <row r="10" spans="1:8" s="230" customFormat="1" ht="15" customHeight="1" thickTop="1">
      <c r="A10" s="231"/>
      <c r="B10" s="231"/>
      <c r="D10" s="239"/>
      <c r="H10" s="229"/>
    </row>
    <row r="11" spans="1:8" s="230" customFormat="1" ht="15" customHeight="1">
      <c r="A11" s="234">
        <v>2</v>
      </c>
      <c r="B11" s="234" t="s">
        <v>182</v>
      </c>
      <c r="C11" s="235" t="s">
        <v>185</v>
      </c>
      <c r="D11" s="239">
        <v>44561</v>
      </c>
      <c r="E11" s="240">
        <f>'[3]Meter Count'!D1799</f>
        <v>826158</v>
      </c>
      <c r="F11" s="240">
        <f>'[3]Meter Count'!E1799</f>
        <v>491617</v>
      </c>
      <c r="G11" s="240">
        <f>SUM(E11:F11)</f>
        <v>1317775</v>
      </c>
      <c r="H11" s="229"/>
    </row>
    <row r="12" spans="1:8" s="230" customFormat="1" ht="18.899999999999999" customHeight="1" thickBot="1">
      <c r="B12" s="231"/>
      <c r="C12" s="237" t="s">
        <v>184</v>
      </c>
      <c r="D12" s="233"/>
      <c r="E12" s="256">
        <f>ROUND(+E11/G11,4)</f>
        <v>0.62690000000000001</v>
      </c>
      <c r="F12" s="256">
        <f>ROUND(+F11/G11,4)</f>
        <v>0.37309999999999999</v>
      </c>
      <c r="G12" s="250">
        <f>SUM(E12:F12)</f>
        <v>1</v>
      </c>
      <c r="H12" s="238"/>
    </row>
    <row r="13" spans="1:8" s="230" customFormat="1" ht="15" customHeight="1" thickTop="1">
      <c r="A13" s="231"/>
      <c r="B13" s="231"/>
      <c r="D13" s="233"/>
    </row>
    <row r="14" spans="1:8" s="230" customFormat="1" ht="15" customHeight="1">
      <c r="A14" s="234">
        <v>3</v>
      </c>
      <c r="B14" s="234" t="s">
        <v>182</v>
      </c>
      <c r="C14" s="235" t="s">
        <v>186</v>
      </c>
      <c r="D14" s="233"/>
    </row>
    <row r="15" spans="1:8" s="230" customFormat="1" ht="15" customHeight="1">
      <c r="A15" s="231"/>
      <c r="B15" s="231"/>
      <c r="C15" s="241" t="s">
        <v>187</v>
      </c>
      <c r="D15" s="239">
        <v>44561</v>
      </c>
      <c r="E15" s="242">
        <f>[3]Electric!S630</f>
        <v>4608923309</v>
      </c>
      <c r="F15" s="244">
        <f>[3]Gas!S102</f>
        <v>4452229699</v>
      </c>
      <c r="G15" s="244">
        <f>SUM(E15:F15)</f>
        <v>9061153008</v>
      </c>
      <c r="H15" s="242"/>
    </row>
    <row r="16" spans="1:8" s="230" customFormat="1" ht="15" customHeight="1">
      <c r="A16" s="231"/>
      <c r="B16" s="231"/>
      <c r="C16" s="241" t="s">
        <v>188</v>
      </c>
      <c r="D16" s="239">
        <v>44561</v>
      </c>
      <c r="E16" s="242">
        <f>[3]Electric!S491</f>
        <v>1665560972</v>
      </c>
      <c r="F16" s="242">
        <f>[3]Gas!S10</f>
        <v>0</v>
      </c>
      <c r="G16" s="242">
        <f>SUM(E16:F16)</f>
        <v>1665560972</v>
      </c>
      <c r="H16" s="242"/>
    </row>
    <row r="17" spans="1:10" s="230" customFormat="1" ht="15" customHeight="1">
      <c r="A17" s="231"/>
      <c r="B17" s="231"/>
      <c r="C17" s="241" t="s">
        <v>189</v>
      </c>
      <c r="D17" s="239">
        <v>44561</v>
      </c>
      <c r="E17" s="242">
        <f>[3]Electric!S885</f>
        <v>242290652</v>
      </c>
      <c r="F17" s="242">
        <f>[3]Gas!S161</f>
        <v>41267887</v>
      </c>
      <c r="G17" s="242">
        <f>SUM(E17:F17)</f>
        <v>283558539</v>
      </c>
      <c r="H17" s="242"/>
    </row>
    <row r="18" spans="1:10" s="230" customFormat="1" ht="15" customHeight="1">
      <c r="A18" s="231"/>
      <c r="B18" s="231"/>
      <c r="C18" s="241" t="s">
        <v>169</v>
      </c>
      <c r="D18" s="243"/>
      <c r="E18" s="257">
        <f>SUM(E15:E17)</f>
        <v>6516774933</v>
      </c>
      <c r="F18" s="257">
        <f>SUM(F15:F17)</f>
        <v>4493497586</v>
      </c>
      <c r="G18" s="257">
        <f>SUM(G15:G17)</f>
        <v>11010272519</v>
      </c>
      <c r="H18" s="244"/>
    </row>
    <row r="19" spans="1:10" s="230" customFormat="1" ht="18.899999999999999" customHeight="1" thickBot="1">
      <c r="B19" s="231"/>
      <c r="C19" s="237" t="s">
        <v>184</v>
      </c>
      <c r="D19" s="233"/>
      <c r="E19" s="256">
        <f>ROUND(+E18/G18,4)</f>
        <v>0.59189999999999998</v>
      </c>
      <c r="F19" s="256">
        <f>ROUND(+F18/G18,4)</f>
        <v>0.40810000000000002</v>
      </c>
      <c r="G19" s="250">
        <f>SUM(E19:F19)</f>
        <v>1</v>
      </c>
      <c r="H19" s="238"/>
      <c r="I19" s="229"/>
    </row>
    <row r="20" spans="1:10" s="230" customFormat="1" ht="15" customHeight="1" thickTop="1">
      <c r="A20" s="231"/>
      <c r="B20" s="231"/>
      <c r="D20" s="233"/>
      <c r="I20" s="229"/>
      <c r="J20" s="229"/>
    </row>
    <row r="21" spans="1:10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I21" s="229"/>
      <c r="J21" s="229"/>
    </row>
    <row r="22" spans="1:10" s="230" customFormat="1" ht="15" customHeight="1">
      <c r="A22" s="231"/>
      <c r="B22" s="231"/>
      <c r="C22" s="241" t="s">
        <v>192</v>
      </c>
      <c r="D22" s="239">
        <v>44561</v>
      </c>
      <c r="E22" s="236">
        <f>+E8</f>
        <v>1196859</v>
      </c>
      <c r="F22" s="236">
        <f>+F8</f>
        <v>860438</v>
      </c>
      <c r="G22" s="236">
        <f>SUM(E22:F22)</f>
        <v>2057297</v>
      </c>
      <c r="H22" s="236"/>
      <c r="I22" s="229"/>
      <c r="J22" s="229"/>
    </row>
    <row r="23" spans="1:10" s="230" customFormat="1" ht="15" customHeight="1">
      <c r="A23" s="231"/>
      <c r="B23" s="231"/>
      <c r="C23" s="237" t="s">
        <v>193</v>
      </c>
      <c r="D23" s="231"/>
      <c r="E23" s="246">
        <f>+E22/G22</f>
        <v>0.58176286651854348</v>
      </c>
      <c r="F23" s="246">
        <f>+F22/G22</f>
        <v>0.41823713348145647</v>
      </c>
      <c r="G23" s="246">
        <f>SUM(E23:F23)</f>
        <v>1</v>
      </c>
      <c r="H23" s="238"/>
      <c r="I23" s="229"/>
      <c r="J23" s="229"/>
    </row>
    <row r="24" spans="1:10" s="230" customFormat="1" ht="15" customHeight="1">
      <c r="A24" s="231"/>
      <c r="B24" s="231"/>
      <c r="D24" s="233"/>
      <c r="I24" s="229"/>
      <c r="J24" s="229"/>
    </row>
    <row r="25" spans="1:10" s="230" customFormat="1" ht="15" customHeight="1">
      <c r="A25" s="231"/>
      <c r="B25" s="231"/>
      <c r="C25" s="230" t="s">
        <v>194</v>
      </c>
      <c r="D25" s="239">
        <v>44561</v>
      </c>
      <c r="E25" s="236">
        <f>'[3]SAP DL Downld'!G9</f>
        <v>65034940.059999995</v>
      </c>
      <c r="F25" s="236">
        <f>'[3]SAP DL Downld'!G10</f>
        <v>26605801.210000001</v>
      </c>
      <c r="G25" s="245">
        <f>SUM(E25:F25)</f>
        <v>91640741.269999996</v>
      </c>
      <c r="H25" s="258"/>
      <c r="I25" s="229"/>
      <c r="J25" s="229"/>
    </row>
    <row r="26" spans="1:10" s="230" customFormat="1" ht="15" customHeight="1">
      <c r="A26" s="231"/>
      <c r="B26" s="231"/>
      <c r="C26" s="237" t="s">
        <v>193</v>
      </c>
      <c r="D26" s="233"/>
      <c r="E26" s="246">
        <f>+E25/G25</f>
        <v>0.70967278481945428</v>
      </c>
      <c r="F26" s="246">
        <f>+F25/G25</f>
        <v>0.29032721518054566</v>
      </c>
      <c r="G26" s="246">
        <f>SUM(E26:F26)</f>
        <v>1</v>
      </c>
      <c r="H26" s="238"/>
      <c r="I26" s="229"/>
      <c r="J26" s="229"/>
    </row>
    <row r="27" spans="1:10" s="230" customFormat="1" ht="15" customHeight="1">
      <c r="A27" s="231"/>
      <c r="B27" s="231"/>
      <c r="D27" s="233"/>
      <c r="I27" s="229"/>
      <c r="J27" s="229"/>
    </row>
    <row r="28" spans="1:10" s="230" customFormat="1" ht="15" customHeight="1">
      <c r="A28" s="247"/>
      <c r="B28" s="231"/>
      <c r="C28" s="230" t="s">
        <v>195</v>
      </c>
      <c r="D28" s="239">
        <v>44561</v>
      </c>
      <c r="E28" s="236">
        <f>'[3]2021 Dec IS '!B8</f>
        <v>79180132.569999993</v>
      </c>
      <c r="F28" s="236">
        <f>'[3]2021 Dec IS '!C8</f>
        <v>37224993.450000018</v>
      </c>
      <c r="G28" s="245">
        <f>SUM(E28:F28)</f>
        <v>116405126.02000001</v>
      </c>
      <c r="H28" s="258"/>
      <c r="I28" s="229"/>
      <c r="J28" s="229"/>
    </row>
    <row r="29" spans="1:10" s="230" customFormat="1" ht="15" customHeight="1">
      <c r="A29" s="231"/>
      <c r="B29" s="231"/>
      <c r="C29" s="237" t="s">
        <v>193</v>
      </c>
      <c r="D29" s="248"/>
      <c r="E29" s="246">
        <f>+E28/G28</f>
        <v>0.68021173360008003</v>
      </c>
      <c r="F29" s="246">
        <f>+F28/G28</f>
        <v>0.31978826639991997</v>
      </c>
      <c r="G29" s="246">
        <f>SUM(E29:F29)</f>
        <v>1</v>
      </c>
      <c r="H29" s="238"/>
      <c r="I29" s="229"/>
      <c r="J29" s="229"/>
    </row>
    <row r="30" spans="1:10" s="230" customFormat="1" ht="15" customHeight="1">
      <c r="A30" s="231"/>
      <c r="B30" s="231"/>
      <c r="D30" s="233"/>
      <c r="I30" s="229"/>
      <c r="J30" s="229"/>
    </row>
    <row r="31" spans="1:10" s="230" customFormat="1" ht="15" customHeight="1">
      <c r="A31" s="247"/>
      <c r="B31" s="231"/>
      <c r="C31" s="230" t="s">
        <v>196</v>
      </c>
      <c r="D31" s="239">
        <v>44561</v>
      </c>
      <c r="E31" s="236">
        <f>'[3]E &amp; G RB'!D41</f>
        <v>5699624441.3454142</v>
      </c>
      <c r="F31" s="236">
        <f>'[3]E &amp; G RB'!D58</f>
        <v>2838750504.5029154</v>
      </c>
      <c r="G31" s="236">
        <f>SUM(E31:F31)</f>
        <v>8538374945.8483295</v>
      </c>
      <c r="H31" s="258"/>
      <c r="I31" s="229"/>
      <c r="J31" s="229"/>
    </row>
    <row r="32" spans="1:10" s="230" customFormat="1" ht="15" customHeight="1">
      <c r="A32" s="231"/>
      <c r="B32" s="231"/>
      <c r="C32" s="237" t="s">
        <v>193</v>
      </c>
      <c r="D32" s="233"/>
      <c r="E32" s="246">
        <f>+E31/G31</f>
        <v>0.66753035296450414</v>
      </c>
      <c r="F32" s="246">
        <f>+F31/G31</f>
        <v>0.33246964703549586</v>
      </c>
      <c r="G32" s="246">
        <f>SUM(E32:F32)</f>
        <v>1</v>
      </c>
      <c r="H32" s="238"/>
      <c r="I32" s="229"/>
      <c r="J32" s="229"/>
    </row>
    <row r="33" spans="1:10" s="230" customFormat="1" ht="15" customHeight="1">
      <c r="A33" s="231"/>
      <c r="D33" s="233"/>
      <c r="E33" s="249"/>
      <c r="F33" s="249"/>
      <c r="G33" s="249"/>
      <c r="I33" s="229"/>
      <c r="J33" s="229"/>
    </row>
    <row r="34" spans="1:10" s="230" customFormat="1" ht="15" customHeight="1">
      <c r="A34" s="231"/>
      <c r="C34" s="230" t="s">
        <v>197</v>
      </c>
      <c r="D34" s="233"/>
      <c r="E34" s="259">
        <f>+E32+E29+E26+E23</f>
        <v>2.6391777379025818</v>
      </c>
      <c r="F34" s="259">
        <f>+F32+F29+F26+F23</f>
        <v>1.360822262097418</v>
      </c>
      <c r="G34" s="259">
        <f>+G32+G29+G26+G23</f>
        <v>4</v>
      </c>
      <c r="H34" s="238"/>
      <c r="I34" s="229"/>
      <c r="J34" s="229"/>
    </row>
    <row r="35" spans="1:10" s="230" customFormat="1" ht="18.899999999999999" customHeight="1" thickBot="1">
      <c r="C35" s="230" t="s">
        <v>184</v>
      </c>
      <c r="D35" s="233"/>
      <c r="E35" s="256">
        <f>ROUND(+E34/4,4)</f>
        <v>0.65980000000000005</v>
      </c>
      <c r="F35" s="256">
        <f>ROUND(+F34/4,4)</f>
        <v>0.3402</v>
      </c>
      <c r="G35" s="250">
        <f>+G34/4</f>
        <v>1</v>
      </c>
      <c r="H35" s="238"/>
      <c r="I35" s="229"/>
      <c r="J35" s="229"/>
    </row>
    <row r="36" spans="1:10" s="230" customFormat="1" ht="15" customHeight="1" thickTop="1">
      <c r="D36" s="233"/>
      <c r="I36" s="229"/>
      <c r="J36" s="229"/>
    </row>
    <row r="37" spans="1:10" s="230" customFormat="1" ht="15" customHeight="1">
      <c r="A37" s="234">
        <v>5</v>
      </c>
      <c r="B37" s="234" t="s">
        <v>182</v>
      </c>
      <c r="C37" s="235" t="s">
        <v>198</v>
      </c>
      <c r="D37" s="233"/>
      <c r="I37" s="229"/>
      <c r="J37" s="229"/>
    </row>
    <row r="38" spans="1:10" s="230" customFormat="1" ht="15" customHeight="1">
      <c r="C38" s="237" t="s">
        <v>199</v>
      </c>
      <c r="D38" s="239">
        <v>44561</v>
      </c>
      <c r="E38" s="236">
        <f>'[3]SAP DL Downld'!G40</f>
        <v>73132522.719999984</v>
      </c>
      <c r="F38" s="236">
        <f>'[3]SAP DL Downld'!G41</f>
        <v>27767872.469999999</v>
      </c>
      <c r="G38" s="236">
        <f>SUM(E38:F38)</f>
        <v>100900395.18999998</v>
      </c>
      <c r="H38" s="258"/>
      <c r="I38" s="229"/>
      <c r="J38" s="229"/>
    </row>
    <row r="39" spans="1:10" s="230" customFormat="1" ht="15" customHeight="1">
      <c r="C39" s="230" t="s">
        <v>169</v>
      </c>
      <c r="D39" s="233"/>
      <c r="E39" s="260">
        <f>SUM(E38:E38)</f>
        <v>73132522.719999984</v>
      </c>
      <c r="F39" s="260">
        <f>SUM(F38:F38)</f>
        <v>27767872.469999999</v>
      </c>
      <c r="G39" s="260">
        <f>SUM(G38:G38)</f>
        <v>100900395.18999998</v>
      </c>
      <c r="H39" s="245"/>
      <c r="I39" s="229"/>
      <c r="J39" s="229"/>
    </row>
    <row r="40" spans="1:10" s="230" customFormat="1" ht="18.899999999999999" customHeight="1" thickBot="1">
      <c r="C40" s="230" t="s">
        <v>184</v>
      </c>
      <c r="D40" s="233"/>
      <c r="E40" s="256">
        <f>ROUND(+E39/G39,4)</f>
        <v>0.7248</v>
      </c>
      <c r="F40" s="256">
        <f>ROUND(+F39/G39,4)</f>
        <v>0.2752</v>
      </c>
      <c r="G40" s="250">
        <f>SUM(E40:F40)</f>
        <v>1</v>
      </c>
      <c r="H40" s="238"/>
      <c r="I40" s="229"/>
      <c r="J40" s="229"/>
    </row>
    <row r="41" spans="1:10" s="230" customFormat="1" ht="15" customHeight="1" thickTop="1">
      <c r="D41" s="231"/>
    </row>
    <row r="42" spans="1:10" s="230" customFormat="1" ht="15" customHeight="1">
      <c r="A42" s="234">
        <v>6</v>
      </c>
      <c r="C42" s="235" t="s">
        <v>200</v>
      </c>
      <c r="D42" s="239">
        <v>44561</v>
      </c>
      <c r="F42" s="231" t="s">
        <v>201</v>
      </c>
    </row>
    <row r="43" spans="1:10" ht="15" customHeight="1">
      <c r="A43" s="230"/>
      <c r="B43" s="230"/>
      <c r="C43" s="230" t="s">
        <v>202</v>
      </c>
      <c r="D43" s="231"/>
      <c r="E43" s="230"/>
      <c r="F43" s="244">
        <f>'[3]SAP DL Downld'!G15</f>
        <v>153659198.66999999</v>
      </c>
      <c r="G43" s="238">
        <f>'[3]SAP DL Downld'!H15</f>
        <v>0.47584930938870212</v>
      </c>
    </row>
    <row r="44" spans="1:10" ht="15" customHeight="1">
      <c r="A44" s="230"/>
      <c r="B44" s="230"/>
      <c r="C44" s="230" t="s">
        <v>203</v>
      </c>
      <c r="D44" s="231"/>
      <c r="E44" s="230"/>
      <c r="F44" s="244">
        <f>'[3]SAP DL Downld'!G16</f>
        <v>668354.53</v>
      </c>
      <c r="G44" s="238">
        <f>'[3]SAP DL Downld'!H16</f>
        <v>6.9859758939358734E-3</v>
      </c>
    </row>
    <row r="45" spans="1:10" ht="15" customHeight="1">
      <c r="A45" s="230"/>
      <c r="B45" s="230"/>
      <c r="C45" s="230" t="s">
        <v>204</v>
      </c>
      <c r="D45" s="231"/>
      <c r="E45" s="230"/>
      <c r="F45" s="244">
        <f>'[3]SAP DL Downld'!G17</f>
        <v>164213738.74000001</v>
      </c>
      <c r="G45" s="238">
        <f>'[3]SAP DL Downld'!H17</f>
        <v>0.51716471471736192</v>
      </c>
    </row>
    <row r="46" spans="1:10" ht="15" customHeight="1" thickBot="1">
      <c r="A46" s="230"/>
      <c r="B46" s="230"/>
      <c r="C46" s="230" t="s">
        <v>205</v>
      </c>
      <c r="D46" s="231"/>
      <c r="E46" s="230"/>
      <c r="F46" s="251">
        <f>'[3]SAP DL Downld'!G18</f>
        <v>318541291.94</v>
      </c>
      <c r="G46" s="250">
        <f>SUM(G43:G45)</f>
        <v>0.99999999999999989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sqref="A1:XFD1048576"/>
    </sheetView>
  </sheetViews>
  <sheetFormatPr defaultColWidth="7.33203125" defaultRowHeight="15" customHeight="1"/>
  <cols>
    <col min="1" max="1" width="6.5546875" style="225" customWidth="1"/>
    <col min="2" max="2" width="1.5546875" style="225" customWidth="1"/>
    <col min="3" max="3" width="45" style="225" bestFit="1" customWidth="1"/>
    <col min="4" max="4" width="9.88671875" style="226" bestFit="1" customWidth="1"/>
    <col min="5" max="5" width="14.6640625" style="225" bestFit="1" customWidth="1"/>
    <col min="6" max="6" width="14.5546875" style="225" bestFit="1" customWidth="1"/>
    <col min="7" max="7" width="15.5546875" style="225" bestFit="1" customWidth="1"/>
    <col min="8" max="8" width="9.44140625" style="225" customWidth="1"/>
    <col min="9" max="9" width="7.33203125" style="225"/>
    <col min="10" max="10" width="13.109375" style="225" bestFit="1" customWidth="1"/>
    <col min="11" max="11" width="11.6640625" style="225" customWidth="1"/>
    <col min="12" max="16384" width="7.33203125" style="225"/>
  </cols>
  <sheetData>
    <row r="1" spans="1:11" ht="15" customHeight="1">
      <c r="G1" s="227"/>
    </row>
    <row r="2" spans="1:11" ht="14.25" customHeight="1">
      <c r="A2" s="228" t="s">
        <v>178</v>
      </c>
      <c r="B2" s="228"/>
      <c r="C2" s="228"/>
      <c r="D2" s="228"/>
      <c r="E2" s="228"/>
      <c r="F2" s="228"/>
      <c r="G2" s="228"/>
    </row>
    <row r="3" spans="1:11" ht="15" customHeight="1">
      <c r="A3" s="228" t="s">
        <v>224</v>
      </c>
      <c r="B3" s="228"/>
      <c r="C3" s="228"/>
      <c r="D3" s="228"/>
      <c r="E3" s="228"/>
      <c r="F3" s="228"/>
      <c r="G3" s="228"/>
    </row>
    <row r="4" spans="1:11" ht="15" customHeight="1">
      <c r="A4" s="228" t="s">
        <v>179</v>
      </c>
      <c r="B4" s="228"/>
      <c r="C4" s="228"/>
      <c r="D4" s="228"/>
      <c r="E4" s="228"/>
      <c r="F4" s="228"/>
      <c r="G4" s="228"/>
      <c r="J4" s="302"/>
    </row>
    <row r="5" spans="1:11" s="230" customFormat="1" ht="15" customHeight="1">
      <c r="C5" s="231"/>
      <c r="D5" s="231"/>
    </row>
    <row r="6" spans="1:11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  <c r="J6" s="302"/>
      <c r="K6" s="302"/>
    </row>
    <row r="7" spans="1:11" s="230" customFormat="1" ht="29.25" customHeight="1">
      <c r="D7" s="233"/>
      <c r="J7" s="302"/>
      <c r="K7" s="302"/>
    </row>
    <row r="8" spans="1:11" s="230" customFormat="1" ht="15" customHeight="1">
      <c r="A8" s="234">
        <v>1</v>
      </c>
      <c r="B8" s="234" t="s">
        <v>182</v>
      </c>
      <c r="C8" s="235" t="s">
        <v>183</v>
      </c>
      <c r="D8" s="239">
        <v>44196</v>
      </c>
      <c r="E8" s="173">
        <v>1181577</v>
      </c>
      <c r="F8" s="173">
        <v>850720</v>
      </c>
      <c r="G8" s="173">
        <f>SUM(E8:F8)</f>
        <v>2032297</v>
      </c>
      <c r="H8" s="236"/>
      <c r="J8" s="302"/>
      <c r="K8" s="302"/>
    </row>
    <row r="9" spans="1:11" s="230" customFormat="1" ht="18.899999999999999" customHeight="1" thickBot="1">
      <c r="B9" s="231"/>
      <c r="C9" s="237" t="s">
        <v>184</v>
      </c>
      <c r="D9" s="231"/>
      <c r="E9" s="195">
        <f>ROUND(+E8/G8,4)</f>
        <v>0.58140000000000003</v>
      </c>
      <c r="F9" s="195">
        <f>ROUND(+F8/G8,4)</f>
        <v>0.41860000000000003</v>
      </c>
      <c r="G9" s="196">
        <f>SUM(E9:F9)</f>
        <v>1</v>
      </c>
      <c r="H9" s="238"/>
      <c r="J9" s="302"/>
      <c r="K9" s="302"/>
    </row>
    <row r="10" spans="1:11" s="230" customFormat="1" ht="15" customHeight="1" thickTop="1">
      <c r="A10" s="231"/>
      <c r="B10" s="231"/>
      <c r="D10" s="239"/>
      <c r="J10" s="302"/>
      <c r="K10" s="302"/>
    </row>
    <row r="11" spans="1:11" s="230" customFormat="1" ht="15" customHeight="1">
      <c r="A11" s="234">
        <v>2</v>
      </c>
      <c r="B11" s="234" t="s">
        <v>182</v>
      </c>
      <c r="C11" s="235" t="s">
        <v>185</v>
      </c>
      <c r="D11" s="239">
        <v>44196</v>
      </c>
      <c r="E11" s="173">
        <v>813535</v>
      </c>
      <c r="F11" s="173">
        <v>486000</v>
      </c>
      <c r="G11" s="174">
        <f>SUM(E11:F11)</f>
        <v>1299535</v>
      </c>
      <c r="H11" s="240"/>
      <c r="J11" s="302"/>
      <c r="K11" s="302"/>
    </row>
    <row r="12" spans="1:11" s="230" customFormat="1" ht="18.899999999999999" customHeight="1" thickBot="1">
      <c r="B12" s="231"/>
      <c r="C12" s="237" t="s">
        <v>184</v>
      </c>
      <c r="D12" s="233"/>
      <c r="E12" s="195">
        <f>ROUND(+E11/G11,4)</f>
        <v>0.626</v>
      </c>
      <c r="F12" s="195">
        <f>ROUND(+F11/G11,4)</f>
        <v>0.374</v>
      </c>
      <c r="G12" s="196">
        <f>SUM(E12:F12)</f>
        <v>1</v>
      </c>
      <c r="H12" s="238"/>
      <c r="J12" s="302"/>
      <c r="K12" s="302"/>
    </row>
    <row r="13" spans="1:11" s="230" customFormat="1" ht="15" customHeight="1" thickTop="1">
      <c r="A13" s="231"/>
      <c r="B13" s="231"/>
      <c r="D13" s="233"/>
      <c r="J13" s="302"/>
      <c r="K13" s="302"/>
    </row>
    <row r="14" spans="1:11" s="230" customFormat="1" ht="15" customHeight="1">
      <c r="A14" s="234">
        <v>3</v>
      </c>
      <c r="B14" s="234" t="s">
        <v>182</v>
      </c>
      <c r="C14" s="235" t="s">
        <v>186</v>
      </c>
      <c r="D14" s="233"/>
      <c r="J14" s="302"/>
      <c r="K14" s="302"/>
    </row>
    <row r="15" spans="1:11" s="230" customFormat="1" ht="15" customHeight="1">
      <c r="A15" s="231"/>
      <c r="B15" s="231"/>
      <c r="C15" s="241" t="s">
        <v>187</v>
      </c>
      <c r="D15" s="239">
        <v>44196</v>
      </c>
      <c r="E15" s="173">
        <v>4405569600</v>
      </c>
      <c r="F15" s="173">
        <v>4221953175</v>
      </c>
      <c r="G15" s="176">
        <f>SUM(E15:F15)</f>
        <v>8627522775</v>
      </c>
      <c r="H15" s="242"/>
      <c r="J15" s="302"/>
      <c r="K15" s="302"/>
    </row>
    <row r="16" spans="1:11" s="230" customFormat="1" ht="15" customHeight="1">
      <c r="A16" s="231"/>
      <c r="B16" s="231"/>
      <c r="C16" s="241" t="s">
        <v>188</v>
      </c>
      <c r="D16" s="239">
        <v>44196</v>
      </c>
      <c r="E16" s="173">
        <v>1641489956</v>
      </c>
      <c r="F16" s="173">
        <v>0</v>
      </c>
      <c r="G16" s="175">
        <f>SUM(E16:F16)</f>
        <v>1641489956</v>
      </c>
      <c r="H16" s="242"/>
      <c r="J16" s="302"/>
      <c r="K16" s="302"/>
    </row>
    <row r="17" spans="1:11" s="230" customFormat="1" ht="15" customHeight="1">
      <c r="A17" s="231"/>
      <c r="B17" s="231"/>
      <c r="C17" s="241" t="s">
        <v>189</v>
      </c>
      <c r="D17" s="239">
        <v>44196</v>
      </c>
      <c r="E17" s="173">
        <v>238218585</v>
      </c>
      <c r="F17" s="173">
        <v>42710271</v>
      </c>
      <c r="G17" s="175">
        <f>SUM(E17:F17)</f>
        <v>280928856</v>
      </c>
      <c r="H17" s="242"/>
      <c r="J17" s="302"/>
      <c r="K17" s="302"/>
    </row>
    <row r="18" spans="1:11" s="230" customFormat="1" ht="15" customHeight="1">
      <c r="A18" s="231"/>
      <c r="B18" s="231"/>
      <c r="C18" s="241" t="s">
        <v>169</v>
      </c>
      <c r="D18" s="243"/>
      <c r="E18" s="204">
        <f>SUM(E15:E17)</f>
        <v>6285278141</v>
      </c>
      <c r="F18" s="204">
        <f>SUM(F15:F17)</f>
        <v>4264663446</v>
      </c>
      <c r="G18" s="204">
        <f>SUM(G15:G17)</f>
        <v>10549941587</v>
      </c>
      <c r="H18" s="244"/>
      <c r="J18" s="302"/>
      <c r="K18" s="302"/>
    </row>
    <row r="19" spans="1:11" s="230" customFormat="1" ht="18.899999999999999" customHeight="1" thickBot="1">
      <c r="B19" s="231"/>
      <c r="C19" s="237" t="s">
        <v>184</v>
      </c>
      <c r="D19" s="233"/>
      <c r="E19" s="195">
        <f>ROUND(+E18/G18,4)</f>
        <v>0.5958</v>
      </c>
      <c r="F19" s="195">
        <f>ROUND(+F18/G18,4)</f>
        <v>0.4042</v>
      </c>
      <c r="G19" s="196">
        <f>SUM(E19:F19)</f>
        <v>1</v>
      </c>
      <c r="H19" s="238"/>
      <c r="J19" s="302"/>
      <c r="K19" s="302"/>
    </row>
    <row r="20" spans="1:11" s="230" customFormat="1" ht="15" customHeight="1" thickTop="1">
      <c r="A20" s="231"/>
      <c r="B20" s="231"/>
      <c r="D20" s="233"/>
      <c r="J20" s="302"/>
      <c r="K20" s="302"/>
    </row>
    <row r="21" spans="1:11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J21" s="302"/>
      <c r="K21" s="302"/>
    </row>
    <row r="22" spans="1:11" s="230" customFormat="1" ht="15" customHeight="1">
      <c r="A22" s="231"/>
      <c r="B22" s="231"/>
      <c r="C22" s="241" t="s">
        <v>192</v>
      </c>
      <c r="D22" s="239">
        <v>44196</v>
      </c>
      <c r="E22" s="173">
        <v>1181577</v>
      </c>
      <c r="F22" s="173">
        <v>850720</v>
      </c>
      <c r="G22" s="173">
        <f>SUM(E22:F22)</f>
        <v>2032297</v>
      </c>
      <c r="H22" s="236"/>
      <c r="J22" s="302"/>
      <c r="K22" s="302"/>
    </row>
    <row r="23" spans="1:11" s="230" customFormat="1" ht="15" customHeight="1">
      <c r="A23" s="231"/>
      <c r="B23" s="231"/>
      <c r="C23" s="237" t="s">
        <v>193</v>
      </c>
      <c r="D23" s="231"/>
      <c r="E23" s="206">
        <f>+E22/G22</f>
        <v>0.58139976588067588</v>
      </c>
      <c r="F23" s="206">
        <f>+F22/G22</f>
        <v>0.41860023411932412</v>
      </c>
      <c r="G23" s="246">
        <f>SUM(E23:F23)</f>
        <v>1</v>
      </c>
      <c r="H23" s="238"/>
      <c r="J23" s="302"/>
      <c r="K23" s="302"/>
    </row>
    <row r="24" spans="1:11" s="230" customFormat="1" ht="15" customHeight="1">
      <c r="A24" s="231"/>
      <c r="B24" s="231"/>
      <c r="D24" s="233"/>
      <c r="J24" s="302"/>
      <c r="K24" s="302"/>
    </row>
    <row r="25" spans="1:11" s="230" customFormat="1" ht="15" customHeight="1">
      <c r="A25" s="231"/>
      <c r="B25" s="231"/>
      <c r="C25" s="230" t="s">
        <v>194</v>
      </c>
      <c r="D25" s="239">
        <v>44196</v>
      </c>
      <c r="E25" s="173">
        <v>59768671.730000004</v>
      </c>
      <c r="F25" s="173">
        <v>26253908.610000003</v>
      </c>
      <c r="G25" s="245">
        <f>SUM(E25:F25)</f>
        <v>86022580.340000004</v>
      </c>
      <c r="H25" s="236"/>
      <c r="J25" s="302"/>
      <c r="K25" s="302"/>
    </row>
    <row r="26" spans="1:11" s="230" customFormat="1" ht="15" customHeight="1">
      <c r="A26" s="231"/>
      <c r="B26" s="231"/>
      <c r="C26" s="237" t="s">
        <v>193</v>
      </c>
      <c r="D26" s="233"/>
      <c r="E26" s="206">
        <f>+E25/G25</f>
        <v>0.69480212629948179</v>
      </c>
      <c r="F26" s="206">
        <f>+F25/G25</f>
        <v>0.30519787370051821</v>
      </c>
      <c r="G26" s="246">
        <f>SUM(E26:F26)</f>
        <v>1</v>
      </c>
      <c r="H26" s="238"/>
      <c r="J26" s="302"/>
      <c r="K26" s="302"/>
    </row>
    <row r="27" spans="1:11" s="230" customFormat="1" ht="15" customHeight="1">
      <c r="A27" s="231"/>
      <c r="B27" s="231"/>
      <c r="D27" s="233"/>
      <c r="J27" s="302"/>
      <c r="K27" s="302"/>
    </row>
    <row r="28" spans="1:11" s="230" customFormat="1" ht="15" customHeight="1">
      <c r="A28" s="247"/>
      <c r="B28" s="231"/>
      <c r="C28" s="230" t="s">
        <v>195</v>
      </c>
      <c r="D28" s="239">
        <v>44196</v>
      </c>
      <c r="E28" s="173">
        <v>75670569.030000031</v>
      </c>
      <c r="F28" s="173">
        <v>34119707.200000003</v>
      </c>
      <c r="G28" s="177">
        <f>SUM(E28:F28)</f>
        <v>109790276.23000003</v>
      </c>
      <c r="H28" s="236"/>
      <c r="J28" s="302"/>
      <c r="K28" s="302"/>
    </row>
    <row r="29" spans="1:11" s="230" customFormat="1" ht="15" customHeight="1">
      <c r="A29" s="231"/>
      <c r="B29" s="231"/>
      <c r="C29" s="237" t="s">
        <v>193</v>
      </c>
      <c r="D29" s="248"/>
      <c r="E29" s="206">
        <f>+E28/G28</f>
        <v>0.68922833267563233</v>
      </c>
      <c r="F29" s="206">
        <f>+F28/G28</f>
        <v>0.31077166732436767</v>
      </c>
      <c r="G29" s="246">
        <f>SUM(E29:F29)</f>
        <v>1</v>
      </c>
      <c r="H29" s="238"/>
      <c r="J29" s="302"/>
      <c r="K29" s="302"/>
    </row>
    <row r="30" spans="1:11" s="230" customFormat="1" ht="15" customHeight="1">
      <c r="A30" s="231"/>
      <c r="B30" s="231"/>
      <c r="D30" s="233"/>
      <c r="J30" s="302"/>
      <c r="K30" s="302"/>
    </row>
    <row r="31" spans="1:11" s="230" customFormat="1" ht="15" customHeight="1">
      <c r="A31" s="247"/>
      <c r="B31" s="231"/>
      <c r="C31" s="230" t="s">
        <v>196</v>
      </c>
      <c r="D31" s="239">
        <v>44196</v>
      </c>
      <c r="E31" s="173">
        <v>5608994657.9250002</v>
      </c>
      <c r="F31" s="173">
        <v>2583606244.715416</v>
      </c>
      <c r="G31" s="173">
        <f>SUM(E31:F31)</f>
        <v>8192600902.6404161</v>
      </c>
      <c r="H31" s="236"/>
      <c r="J31" s="303"/>
      <c r="K31" s="303"/>
    </row>
    <row r="32" spans="1:11" s="230" customFormat="1" ht="15" customHeight="1">
      <c r="A32" s="231"/>
      <c r="B32" s="231"/>
      <c r="C32" s="237" t="s">
        <v>193</v>
      </c>
      <c r="D32" s="233"/>
      <c r="E32" s="206">
        <f>+E31/G31</f>
        <v>0.68464151062420986</v>
      </c>
      <c r="F32" s="206">
        <f>+F31/G31</f>
        <v>0.31535848937579009</v>
      </c>
      <c r="G32" s="246">
        <f>SUM(E32:F32)</f>
        <v>1</v>
      </c>
      <c r="H32" s="238"/>
      <c r="J32" s="302"/>
      <c r="K32" s="302"/>
    </row>
    <row r="33" spans="1:11" s="230" customFormat="1" ht="15" customHeight="1">
      <c r="A33" s="231"/>
      <c r="D33" s="233"/>
      <c r="E33" s="249"/>
      <c r="F33" s="249"/>
      <c r="G33" s="249"/>
      <c r="J33" s="302"/>
      <c r="K33" s="302"/>
    </row>
    <row r="34" spans="1:11" s="230" customFormat="1" ht="15" customHeight="1">
      <c r="A34" s="231"/>
      <c r="C34" s="230" t="s">
        <v>197</v>
      </c>
      <c r="D34" s="233"/>
      <c r="E34" s="212">
        <f>+E32+E29+E26+E23</f>
        <v>2.6500717354800001</v>
      </c>
      <c r="F34" s="212">
        <f>+F32+F29+F26+F23</f>
        <v>1.3499282645200001</v>
      </c>
      <c r="G34" s="212">
        <f>+G32+G29+G26+G23</f>
        <v>4</v>
      </c>
      <c r="H34" s="238"/>
      <c r="J34" s="302"/>
      <c r="K34" s="302"/>
    </row>
    <row r="35" spans="1:11" s="230" customFormat="1" ht="18.899999999999999" customHeight="1" thickBot="1">
      <c r="C35" s="230" t="s">
        <v>184</v>
      </c>
      <c r="D35" s="233"/>
      <c r="E35" s="195">
        <f>ROUND(+E34/4,4)</f>
        <v>0.66249999999999998</v>
      </c>
      <c r="F35" s="195">
        <f>ROUND(+F34/4,4)</f>
        <v>0.33750000000000002</v>
      </c>
      <c r="G35" s="196">
        <f>+G34/4</f>
        <v>1</v>
      </c>
      <c r="H35" s="238"/>
      <c r="J35" s="302"/>
      <c r="K35" s="302"/>
    </row>
    <row r="36" spans="1:11" s="230" customFormat="1" ht="15" customHeight="1" thickTop="1">
      <c r="D36" s="233"/>
      <c r="J36" s="302"/>
      <c r="K36" s="302"/>
    </row>
    <row r="37" spans="1:11" s="230" customFormat="1" ht="15" customHeight="1">
      <c r="A37" s="234">
        <v>5</v>
      </c>
      <c r="B37" s="234" t="s">
        <v>182</v>
      </c>
      <c r="C37" s="235" t="s">
        <v>198</v>
      </c>
      <c r="D37" s="233"/>
      <c r="J37" s="302"/>
      <c r="K37" s="302"/>
    </row>
    <row r="38" spans="1:11" s="230" customFormat="1" ht="15" customHeight="1">
      <c r="C38" s="237" t="s">
        <v>199</v>
      </c>
      <c r="D38" s="239">
        <v>44196</v>
      </c>
      <c r="E38" s="173">
        <v>67067413.680000007</v>
      </c>
      <c r="F38" s="173">
        <v>27486340.700000003</v>
      </c>
      <c r="G38" s="173">
        <f>SUM(E38:F38)</f>
        <v>94553754.38000001</v>
      </c>
      <c r="H38" s="236"/>
      <c r="I38" s="230" t="s">
        <v>220</v>
      </c>
      <c r="J38" s="302"/>
      <c r="K38" s="302"/>
    </row>
    <row r="39" spans="1:11" s="230" customFormat="1" ht="15" customHeight="1">
      <c r="C39" s="230" t="s">
        <v>169</v>
      </c>
      <c r="D39" s="233"/>
      <c r="E39" s="213">
        <f>SUM(E38:E38)</f>
        <v>67067413.680000007</v>
      </c>
      <c r="F39" s="213">
        <f>SUM(F38:F38)</f>
        <v>27486340.700000003</v>
      </c>
      <c r="G39" s="213">
        <f>SUM(G38:G38)</f>
        <v>94553754.38000001</v>
      </c>
      <c r="H39" s="245"/>
      <c r="J39" s="302"/>
      <c r="K39" s="302"/>
    </row>
    <row r="40" spans="1:11" s="230" customFormat="1" ht="18.899999999999999" customHeight="1" thickBot="1">
      <c r="C40" s="230" t="s">
        <v>184</v>
      </c>
      <c r="D40" s="233"/>
      <c r="E40" s="195">
        <f>ROUND(+E39/G39,4)</f>
        <v>0.70930000000000004</v>
      </c>
      <c r="F40" s="195">
        <f>ROUND(+F39/G39,4)</f>
        <v>0.29070000000000001</v>
      </c>
      <c r="G40" s="250">
        <f>SUM(E40:F40)</f>
        <v>1</v>
      </c>
      <c r="H40" s="238"/>
      <c r="J40" s="302"/>
      <c r="K40" s="302"/>
    </row>
    <row r="41" spans="1:11" s="230" customFormat="1" ht="15" customHeight="1" thickTop="1">
      <c r="D41" s="231"/>
      <c r="J41" s="302"/>
      <c r="K41" s="302"/>
    </row>
    <row r="42" spans="1:11" s="230" customFormat="1" ht="15" customHeight="1">
      <c r="A42" s="234">
        <v>6</v>
      </c>
      <c r="C42" s="235" t="s">
        <v>200</v>
      </c>
      <c r="D42" s="239">
        <v>44196</v>
      </c>
      <c r="F42" s="231" t="s">
        <v>201</v>
      </c>
      <c r="J42" s="302"/>
      <c r="K42" s="302"/>
    </row>
    <row r="43" spans="1:11" ht="15" customHeight="1">
      <c r="A43" s="230"/>
      <c r="B43" s="230"/>
      <c r="C43" s="230" t="s">
        <v>202</v>
      </c>
      <c r="D43" s="231"/>
      <c r="E43" s="230"/>
      <c r="F43" s="173">
        <v>148057613.35000002</v>
      </c>
      <c r="G43" s="238">
        <v>0.49083053809347571</v>
      </c>
      <c r="J43" s="302"/>
      <c r="K43" s="302"/>
    </row>
    <row r="44" spans="1:11" ht="15" customHeight="1">
      <c r="A44" s="230"/>
      <c r="B44" s="230"/>
      <c r="C44" s="230" t="s">
        <v>203</v>
      </c>
      <c r="D44" s="231"/>
      <c r="E44" s="230"/>
      <c r="F44" s="173">
        <v>4371320.9000000004</v>
      </c>
      <c r="G44" s="238">
        <v>1.4491505981892531E-2</v>
      </c>
      <c r="J44" s="302"/>
      <c r="K44" s="302"/>
    </row>
    <row r="45" spans="1:11" ht="15" customHeight="1">
      <c r="A45" s="230"/>
      <c r="B45" s="230"/>
      <c r="C45" s="230" t="s">
        <v>204</v>
      </c>
      <c r="D45" s="231"/>
      <c r="E45" s="230"/>
      <c r="F45" s="173">
        <v>149218175.81999999</v>
      </c>
      <c r="G45" s="238">
        <v>0.49467795592463165</v>
      </c>
      <c r="J45" s="302"/>
      <c r="K45" s="302"/>
    </row>
    <row r="46" spans="1:11" ht="15" customHeight="1" thickBot="1">
      <c r="A46" s="230"/>
      <c r="B46" s="230"/>
      <c r="C46" s="230" t="s">
        <v>205</v>
      </c>
      <c r="D46" s="231"/>
      <c r="E46" s="230"/>
      <c r="F46" s="251">
        <v>301647110.07000005</v>
      </c>
      <c r="G46" s="250">
        <f>SUM(G43:G45)</f>
        <v>1</v>
      </c>
      <c r="J46" s="302"/>
      <c r="K46" s="302"/>
    </row>
    <row r="47" spans="1:11" ht="15" customHeight="1" thickTop="1">
      <c r="J47" s="302"/>
      <c r="K47" s="302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794B83-6FEC-46B8-BEBC-1D2384D78CAD}"/>
</file>

<file path=customXml/itemProps2.xml><?xml version="1.0" encoding="utf-8"?>
<ds:datastoreItem xmlns:ds="http://schemas.openxmlformats.org/officeDocument/2006/customXml" ds:itemID="{ECC69E37-3306-40BC-B196-801476ACC2BD}"/>
</file>

<file path=customXml/itemProps3.xml><?xml version="1.0" encoding="utf-8"?>
<ds:datastoreItem xmlns:ds="http://schemas.openxmlformats.org/officeDocument/2006/customXml" ds:itemID="{2C4058B1-DC7F-4D28-82CE-B80FC3E6712B}"/>
</file>

<file path=customXml/itemProps4.xml><?xml version="1.0" encoding="utf-8"?>
<ds:datastoreItem xmlns:ds="http://schemas.openxmlformats.org/officeDocument/2006/customXml" ds:itemID="{1D123EC1-B585-4F35-A44A-3CAA00B9B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Sheet</vt:lpstr>
      <vt:lpstr>3-YR AVERAGE-GAS</vt:lpstr>
      <vt:lpstr>NetWriteoffs-Gas</vt:lpstr>
      <vt:lpstr>BS Acct-Gas</vt:lpstr>
      <vt:lpstr>ZO12</vt:lpstr>
      <vt:lpstr>SOG 12ME 8-2022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2018-03-01T15:52:38Z</cp:lastPrinted>
  <dcterms:created xsi:type="dcterms:W3CDTF">2017-08-14T17:09:01Z</dcterms:created>
  <dcterms:modified xsi:type="dcterms:W3CDTF">2023-03-28T18:49:06Z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