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x WA Reg\WA Emissions Reports\2020 WA Emissions Report\"/>
    </mc:Choice>
  </mc:AlternateContent>
  <xr:revisionPtr revIDLastSave="0" documentId="13_ncr:1_{6FCAED66-EBE2-4C65-ABAE-26629E7BA6D3}" xr6:coauthVersionLast="45" xr6:coauthVersionMax="45" xr10:uidLastSave="{00000000-0000-0000-0000-000000000000}"/>
  <bookViews>
    <workbookView xWindow="-19320" yWindow="-15" windowWidth="19440" windowHeight="15000" xr2:uid="{00000000-000D-0000-FFFF-FFFF00000000}"/>
  </bookViews>
  <sheets>
    <sheet name="Summary 2018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E7" i="4" l="1"/>
  <c r="E6" i="4"/>
  <c r="E5" i="4"/>
  <c r="E4" i="4" l="1"/>
  <c r="C4" i="4"/>
  <c r="C3" i="4"/>
  <c r="C7" i="4" s="1"/>
  <c r="C5" i="4" l="1"/>
  <c r="C6" i="4"/>
  <c r="B45" i="4"/>
  <c r="H1" i="3"/>
  <c r="B38" i="4" l="1"/>
  <c r="B39" i="4"/>
  <c r="B42" i="4"/>
  <c r="B41" i="4"/>
  <c r="B1" i="4" l="1"/>
  <c r="A19" i="3"/>
  <c r="K1" i="3"/>
  <c r="K2" i="3" l="1"/>
  <c r="B16" i="3"/>
  <c r="D16" i="3" s="1"/>
  <c r="E14" i="1"/>
  <c r="E11" i="1"/>
  <c r="E12" i="1"/>
  <c r="E13" i="1"/>
  <c r="E10" i="1"/>
  <c r="H10" i="1" l="1"/>
  <c r="B36" i="4" l="1"/>
  <c r="B8" i="3"/>
  <c r="G2" i="3"/>
  <c r="B1" i="3"/>
  <c r="B3" i="3"/>
  <c r="D2" i="4"/>
  <c r="B3" i="4"/>
  <c r="F17" i="3" l="1"/>
  <c r="B40" i="4"/>
  <c r="B28" i="4" l="1"/>
  <c r="B21" i="4"/>
  <c r="B14" i="4"/>
  <c r="B5" i="4" l="1"/>
  <c r="B4" i="4"/>
  <c r="B4" i="3" l="1"/>
  <c r="B10" i="3"/>
  <c r="C4" i="3" l="1"/>
  <c r="B35" i="4"/>
  <c r="B30" i="4" l="1"/>
  <c r="B6" i="4" l="1"/>
  <c r="C12" i="3" l="1"/>
  <c r="D4" i="3"/>
  <c r="B37" i="4" l="1"/>
  <c r="B34" i="4" l="1"/>
  <c r="B9" i="4"/>
  <c r="B10" i="4"/>
  <c r="B11" i="4"/>
  <c r="B12" i="4"/>
  <c r="B13" i="4"/>
  <c r="B15" i="4"/>
  <c r="B16" i="4"/>
  <c r="B17" i="4"/>
  <c r="B18" i="4"/>
  <c r="B19" i="4"/>
  <c r="B20" i="4"/>
  <c r="B22" i="4"/>
  <c r="B23" i="4"/>
  <c r="B24" i="4"/>
  <c r="B25" i="4"/>
  <c r="B26" i="4"/>
  <c r="B27" i="4"/>
  <c r="B29" i="4"/>
  <c r="B31" i="4"/>
  <c r="B32" i="4"/>
  <c r="B33" i="4"/>
  <c r="B8" i="4"/>
  <c r="B7" i="4"/>
  <c r="B43" i="4" s="1"/>
  <c r="B14" i="3"/>
  <c r="C14" i="3" s="1"/>
  <c r="B13" i="3"/>
  <c r="C13" i="3" s="1"/>
  <c r="B11" i="3"/>
  <c r="C11" i="3" s="1"/>
  <c r="C10" i="3"/>
  <c r="B9" i="3"/>
  <c r="C9" i="3" s="1"/>
  <c r="B7" i="3"/>
  <c r="C7" i="3" s="1"/>
  <c r="C8" i="3"/>
  <c r="B5" i="3"/>
  <c r="B6" i="3"/>
  <c r="C6" i="3" s="1"/>
  <c r="E20" i="1" l="1"/>
  <c r="B17" i="3"/>
  <c r="C5" i="3"/>
  <c r="B19" i="3"/>
  <c r="G43" i="4" l="1"/>
  <c r="E21" i="1" l="1"/>
  <c r="E8" i="4" l="1"/>
  <c r="E11" i="4"/>
  <c r="E12" i="4"/>
  <c r="E15" i="4"/>
  <c r="E16" i="4"/>
  <c r="E19" i="4"/>
  <c r="E20" i="4"/>
  <c r="E23" i="4"/>
  <c r="E24" i="4"/>
  <c r="E27" i="4"/>
  <c r="E28" i="4"/>
  <c r="E31" i="4"/>
  <c r="E32" i="4"/>
  <c r="E34" i="4"/>
  <c r="E35" i="4"/>
  <c r="E36" i="4"/>
  <c r="E39" i="4"/>
  <c r="E40" i="4"/>
  <c r="E9" i="4"/>
  <c r="E10" i="4"/>
  <c r="E13" i="4"/>
  <c r="E14" i="4"/>
  <c r="E17" i="4"/>
  <c r="E18" i="4"/>
  <c r="E21" i="4"/>
  <c r="E22" i="4"/>
  <c r="E25" i="4"/>
  <c r="E26" i="4"/>
  <c r="E29" i="4"/>
  <c r="E30" i="4"/>
  <c r="E33" i="4"/>
  <c r="E37" i="4"/>
  <c r="E38" i="4"/>
  <c r="D5" i="3"/>
  <c r="D6" i="3"/>
  <c r="D7" i="3"/>
  <c r="D8" i="3"/>
  <c r="D9" i="3"/>
  <c r="D10" i="3"/>
  <c r="D11" i="3"/>
  <c r="D12" i="3"/>
  <c r="D13" i="3"/>
  <c r="D14" i="3"/>
  <c r="D17" i="3" l="1"/>
  <c r="E43" i="4"/>
  <c r="G20" i="1" s="1"/>
  <c r="I20" i="1" s="1"/>
  <c r="I22" i="1" s="1"/>
  <c r="E5" i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H12" i="1" l="1"/>
  <c r="H13" i="1"/>
  <c r="H14" i="1"/>
  <c r="H24" i="1" l="1"/>
  <c r="H11" i="1" l="1"/>
  <c r="G21" i="1" l="1"/>
  <c r="G22" i="1" s="1"/>
  <c r="H22" i="1" s="1"/>
  <c r="F21" i="1" l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Shahumyan, Zepure</author>
  </authors>
  <commentList>
    <comment ref="B45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75%CAEW+25%CAGW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Kishore, Pooja</author>
  </authors>
  <commentList>
    <comment ref="H4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<sst xmlns="http://schemas.openxmlformats.org/spreadsheetml/2006/main" count="234" uniqueCount="147">
  <si>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</si>
  <si>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</si>
  <si>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</si>
  <si>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</si>
  <si>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</si>
  <si>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</si>
  <si>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</si>
  <si>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</si>
  <si>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</si>
  <si>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</si>
  <si>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</si>
  <si>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</si>
  <si>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</si>
  <si>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</si>
  <si>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</si>
  <si>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</si>
  <si>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</si>
  <si>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</si>
  <si>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</si>
  <si>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</si>
  <si>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</si>
  <si>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</si>
  <si>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</si>
  <si>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</si>
  <si>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</si>
  <si>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</si>
  <si>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</si>
  <si>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</si>
  <si>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</si>
  <si>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</si>
  <si>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</si>
  <si>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</si>
  <si>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</si>
  <si>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</si>
  <si>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</si>
  <si>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</si>
  <si>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</si>
  <si>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</si>
  <si>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</si>
  <si>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</si>
  <si>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</si>
  <si>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</si>
  <si>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</si>
  <si>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</si>
  <si>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</si>
  <si>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</si>
  <si>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</si>
  <si>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</si>
  <si>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</si>
  <si>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</si>
  <si>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</si>
  <si>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</si>
  <si>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</si>
  <si>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</si>
  <si>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</si>
  <si>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</si>
  <si>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</si>
  <si>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</si>
  <si>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</si>
  <si>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</si>
  <si>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</si>
  <si>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</si>
  <si>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</si>
  <si>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</si>
  <si>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</si>
  <si>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</si>
  <si>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</si>
  <si>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</si>
  <si>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</si>
  <si>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</si>
  <si>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</si>
  <si>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</si>
  <si>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</si>
  <si>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</si>
  <si>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</si>
  <si>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</si>
  <si>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</si>
  <si>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Douglas County PUD - Wells </t>
  </si>
  <si>
    <t>Grant PUD - Wanapum</t>
  </si>
  <si>
    <t>Grant PUD - Priest Rapids</t>
  </si>
  <si>
    <t>Yakima Tieton</t>
  </si>
  <si>
    <t>Coal</t>
  </si>
  <si>
    <t>Gas</t>
  </si>
  <si>
    <t>Wind</t>
  </si>
  <si>
    <t>Hydro</t>
  </si>
  <si>
    <t>Cogen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</si>
  <si>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</si>
  <si>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</si>
  <si>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</si>
  <si>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</si>
  <si>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</si>
  <si>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</si>
  <si>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</si>
  <si>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</si>
  <si>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</si>
  <si>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</si>
  <si>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</si>
  <si>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</si>
  <si>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</si>
  <si>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</si>
  <si>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</si>
  <si>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</si>
  <si>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</si>
  <si>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</si>
  <si>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</si>
  <si>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</si>
  <si>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</si>
  <si>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</si>
  <si>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</si>
  <si>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</si>
  <si>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</si>
  <si>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</si>
  <si>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</si>
  <si>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</si>
  <si>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</si>
  <si>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</si>
  <si>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</si>
  <si>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</si>
  <si>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</si>
  <si>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</si>
  <si>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</si>
  <si>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</si>
  <si>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</si>
  <si>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</si>
  <si>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</si>
  <si>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Market Purchases - Nevada-Oregon Border</t>
  </si>
  <si>
    <t>Other Firm Purchases (1)</t>
  </si>
  <si>
    <t>(1) Third party imbalance , transmission losses, misc exchanges. Per FERC accounting booked to purchase power</t>
  </si>
  <si>
    <t xml:space="preserve">Hermiston </t>
  </si>
  <si>
    <t>CAGW</t>
  </si>
  <si>
    <t>CAEW</t>
  </si>
  <si>
    <t>WA Situs</t>
  </si>
  <si>
    <t>Annual (Unallocated) MWh 2017</t>
  </si>
  <si>
    <t>Annual (Unallocated) MWh 2018</t>
  </si>
  <si>
    <t>Updated 5/15/2019</t>
  </si>
  <si>
    <t>Summary Energy and Emissions Intensity Report - 2018</t>
  </si>
  <si>
    <t>2018 Washington - WCA Allocation Factor</t>
  </si>
  <si>
    <t>EIM Export/Sales</t>
  </si>
  <si>
    <r>
      <t xml:space="preserve">EIM </t>
    </r>
    <r>
      <rPr>
        <sz val="11"/>
        <rFont val="Calibri"/>
        <family val="2"/>
      </rPr>
      <t>Import/Purchase from PACE to PACW</t>
    </r>
  </si>
  <si>
    <t>Cowlitz Swift #2 - Purchase and Exchange Agreement</t>
  </si>
  <si>
    <t>SCL Stateline - Purchase and Exchange Agreement</t>
  </si>
  <si>
    <t>Dept. of Ecology Unspecified Electricity EF =</t>
  </si>
  <si>
    <t>MT CO2e / MWh</t>
  </si>
  <si>
    <t>MT to lbs Converstion</t>
  </si>
  <si>
    <t>Transmission Loss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</si>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</sst>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0.000%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4" fillId="0" borderId="0" applyFont="0" applyFill="0" applyBorder="0" applyProtection="0">
      <alignment horizontal="right"/>
    </xf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8" fontId="15" fillId="0" borderId="0" applyNumberFormat="0" applyFill="0" applyBorder="0" applyAlignment="0" applyProtection="0"/>
    <xf numFmtId="0" fontId="16" fillId="0" borderId="35" applyNumberFormat="0" applyBorder="0" applyAlignment="0"/>
    <xf numFmtId="12" fontId="13" fillId="3" borderId="20">
      <alignment horizontal="left"/>
    </xf>
    <xf numFmtId="37" fontId="16" fillId="4" borderId="0" applyNumberFormat="0" applyBorder="0" applyAlignment="0" applyProtection="0"/>
    <xf numFmtId="37" fontId="16" fillId="0" borderId="0"/>
    <xf numFmtId="3" fontId="17" fillId="5" borderId="36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0" borderId="0"/>
    <xf numFmtId="169" fontId="20" fillId="0" borderId="0"/>
    <xf numFmtId="0" fontId="19" fillId="0" borderId="0"/>
    <xf numFmtId="0" fontId="11" fillId="0" borderId="0"/>
    <xf numFmtId="0" fontId="1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top"/>
      <protection locked="0"/>
    </xf>
    <xf numFmtId="165" fontId="26" fillId="0" borderId="0" applyFont="0" applyAlignment="0" applyProtection="0"/>
    <xf numFmtId="0" fontId="18" fillId="0" borderId="0"/>
    <xf numFmtId="0" fontId="18" fillId="0" borderId="0"/>
    <xf numFmtId="0" fontId="1" fillId="0" borderId="0"/>
    <xf numFmtId="0" fontId="27" fillId="0" borderId="0" applyNumberFormat="0" applyFill="0" applyBorder="0" applyAlignment="0" applyProtection="0"/>
    <xf numFmtId="170" fontId="28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NumberFormat="0" applyFill="0" applyBorder="0" applyAlignment="0">
      <protection locked="0"/>
    </xf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41" fontId="12" fillId="0" borderId="0"/>
    <xf numFmtId="43" fontId="1" fillId="0" borderId="0" applyFont="0" applyFill="0" applyBorder="0" applyAlignment="0" applyProtection="0"/>
    <xf numFmtId="0" fontId="18" fillId="0" borderId="0"/>
    <xf numFmtId="0" fontId="11" fillId="0" borderId="0">
      <alignment wrapText="1"/>
    </xf>
    <xf numFmtId="0" fontId="1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" fontId="4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7" fillId="0" borderId="0"/>
    <xf numFmtId="0" fontId="47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0" fontId="47" fillId="0" borderId="0"/>
    <xf numFmtId="5" fontId="47" fillId="0" borderId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47" fillId="0" borderId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73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16" fillId="33" borderId="0" applyNumberFormat="0" applyBorder="0" applyAlignment="0" applyProtection="0"/>
    <xf numFmtId="0" fontId="48" fillId="0" borderId="0"/>
    <xf numFmtId="0" fontId="13" fillId="0" borderId="41" applyNumberFormat="0" applyAlignment="0" applyProtection="0">
      <alignment horizontal="left" vertical="center"/>
    </xf>
    <xf numFmtId="0" fontId="13" fillId="0" borderId="34">
      <alignment horizontal="left"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0" fontId="16" fillId="34" borderId="2" applyNumberFormat="0" applyBorder="0" applyAlignment="0" applyProtection="0"/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16" fillId="0" borderId="35" applyNumberFormat="0" applyBorder="0" applyAlignment="0"/>
    <xf numFmtId="0" fontId="16" fillId="0" borderId="35" applyNumberFormat="0" applyBorder="0" applyAlignment="0"/>
    <xf numFmtId="0" fontId="16" fillId="0" borderId="35" applyNumberFormat="0" applyBorder="0" applyAlignment="0"/>
    <xf numFmtId="174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0" fontId="49" fillId="0" borderId="0"/>
    <xf numFmtId="0" fontId="11" fillId="0" borderId="0"/>
    <xf numFmtId="0" fontId="37" fillId="0" borderId="0"/>
    <xf numFmtId="37" fontId="47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7" fillId="0" borderId="0"/>
    <xf numFmtId="0" fontId="47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0" fillId="0" borderId="0"/>
    <xf numFmtId="37" fontId="51" fillId="35" borderId="0" applyNumberFormat="0" applyFont="0" applyBorder="0" applyAlignment="0" applyProtection="0"/>
    <xf numFmtId="176" fontId="11" fillId="0" borderId="4">
      <alignment horizontal="justify" vertical="top" wrapText="1"/>
    </xf>
    <xf numFmtId="0" fontId="32" fillId="0" borderId="2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7" fillId="0" borderId="42"/>
    <xf numFmtId="0" fontId="47" fillId="0" borderId="43"/>
    <xf numFmtId="38" fontId="18" fillId="0" borderId="44" applyFill="0" applyBorder="0" applyAlignment="0" applyProtection="0">
      <protection locked="0"/>
    </xf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37" fontId="16" fillId="4" borderId="0" applyNumberFormat="0" applyBorder="0" applyAlignment="0" applyProtection="0"/>
  </cellStyleXfs>
  <cellXfs count="177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0" fontId="10" fillId="0" borderId="0" xfId="0" applyFont="1" applyBorder="1"/>
    <xf numFmtId="0" fontId="10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8" xfId="0" applyFill="1" applyBorder="1"/>
    <xf numFmtId="165" fontId="0" fillId="0" borderId="19" xfId="0" applyNumberFormat="1" applyBorder="1" applyAlignment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29" xfId="0" applyBorder="1" applyAlignment="1"/>
    <xf numFmtId="0" fontId="0" fillId="0" borderId="33" xfId="0" applyBorder="1" applyAlignment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0" borderId="20" xfId="0" applyNumberFormat="1" applyBorder="1"/>
    <xf numFmtId="0" fontId="0" fillId="0" borderId="13" xfId="0" applyFont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164" fontId="0" fillId="0" borderId="16" xfId="0" applyNumberFormat="1" applyFont="1" applyBorder="1"/>
    <xf numFmtId="0" fontId="0" fillId="0" borderId="27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7" xfId="0" applyFont="1" applyBorder="1"/>
    <xf numFmtId="0" fontId="33" fillId="2" borderId="2" xfId="0" applyFont="1" applyFill="1" applyBorder="1"/>
    <xf numFmtId="165" fontId="33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165" fontId="33" fillId="2" borderId="2" xfId="1" applyNumberFormat="1" applyFont="1" applyFill="1" applyBorder="1" applyAlignment="1"/>
    <xf numFmtId="0" fontId="0" fillId="0" borderId="5" xfId="0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7" fillId="0" borderId="0" xfId="0" applyFont="1"/>
    <xf numFmtId="0" fontId="0" fillId="0" borderId="0" xfId="0"/>
    <xf numFmtId="165" fontId="33" fillId="0" borderId="2" xfId="1" applyNumberFormat="1" applyFont="1" applyBorder="1"/>
    <xf numFmtId="0" fontId="38" fillId="0" borderId="1" xfId="0" applyFont="1" applyBorder="1"/>
    <xf numFmtId="0" fontId="39" fillId="0" borderId="4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33" fillId="0" borderId="0" xfId="0" applyFont="1"/>
    <xf numFmtId="165" fontId="33" fillId="0" borderId="2" xfId="1" applyNumberFormat="1" applyFont="1" applyBorder="1" applyAlignment="1"/>
    <xf numFmtId="0" fontId="34" fillId="0" borderId="0" xfId="0" applyFont="1"/>
    <xf numFmtId="0" fontId="2" fillId="0" borderId="34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4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4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2" fillId="0" borderId="45" xfId="0" applyFont="1" applyBorder="1" applyAlignment="1">
      <alignment horizontal="right"/>
    </xf>
    <xf numFmtId="0" fontId="37" fillId="0" borderId="46" xfId="0" applyFont="1" applyBorder="1" applyAlignment="1">
      <alignment horizontal="center"/>
    </xf>
    <xf numFmtId="0" fontId="53" fillId="0" borderId="47" xfId="0" applyFont="1" applyBorder="1" applyAlignment="1">
      <alignment horizontal="right"/>
    </xf>
    <xf numFmtId="10" fontId="37" fillId="0" borderId="48" xfId="2" applyNumberFormat="1" applyFont="1" applyBorder="1" applyAlignment="1">
      <alignment horizontal="right"/>
    </xf>
    <xf numFmtId="0" fontId="53" fillId="0" borderId="49" xfId="0" applyFont="1" applyBorder="1" applyAlignment="1">
      <alignment horizontal="right"/>
    </xf>
    <xf numFmtId="9" fontId="37" fillId="0" borderId="48" xfId="0" applyNumberFormat="1" applyFont="1" applyBorder="1" applyAlignment="1">
      <alignment horizontal="right"/>
    </xf>
    <xf numFmtId="0" fontId="53" fillId="0" borderId="8" xfId="0" applyFont="1" applyBorder="1" applyAlignment="1">
      <alignment horizontal="right"/>
    </xf>
    <xf numFmtId="0" fontId="37" fillId="0" borderId="34" xfId="0" applyFont="1" applyBorder="1" applyAlignment="1">
      <alignment horizontal="right"/>
    </xf>
    <xf numFmtId="0" fontId="37" fillId="0" borderId="9" xfId="0" applyFont="1" applyBorder="1"/>
    <xf numFmtId="0" fontId="52" fillId="0" borderId="45" xfId="0" applyFont="1" applyFill="1" applyBorder="1" applyAlignment="1">
      <alignment horizontal="right"/>
    </xf>
    <xf numFmtId="0" fontId="0" fillId="0" borderId="46" xfId="0" applyBorder="1"/>
    <xf numFmtId="0" fontId="37" fillId="0" borderId="48" xfId="0" applyFont="1" applyBorder="1" applyAlignment="1">
      <alignment horizontal="right"/>
    </xf>
    <xf numFmtId="0" fontId="37" fillId="0" borderId="7" xfId="0" applyFont="1" applyBorder="1" applyAlignment="1">
      <alignment horizontal="right"/>
    </xf>
    <xf numFmtId="1" fontId="33" fillId="0" borderId="2" xfId="0" applyNumberFormat="1" applyFont="1" applyBorder="1" applyAlignment="1"/>
    <xf numFmtId="3" fontId="54" fillId="0" borderId="20" xfId="0" applyNumberFormat="1" applyFont="1" applyBorder="1" applyAlignment="1">
      <alignment horizontal="center"/>
    </xf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/>
    <xf numFmtId="165" fontId="2" fillId="0" borderId="29" xfId="0" applyNumberFormat="1" applyFont="1" applyBorder="1" applyAlignment="1"/>
    <xf numFmtId="37" fontId="0" fillId="0" borderId="6" xfId="0" applyNumberFormat="1" applyFont="1" applyBorder="1" applyAlignment="1">
      <alignment horizontal="center"/>
    </xf>
    <xf numFmtId="165" fontId="33" fillId="2" borderId="5" xfId="1" applyNumberFormat="1" applyFont="1" applyFill="1" applyBorder="1"/>
    <xf numFmtId="165" fontId="0" fillId="0" borderId="6" xfId="0" applyNumberFormat="1" applyBorder="1"/>
    <xf numFmtId="43" fontId="0" fillId="0" borderId="0" xfId="0" applyNumberFormat="1"/>
    <xf numFmtId="43" fontId="0" fillId="0" borderId="16" xfId="0" applyNumberFormat="1" applyFont="1" applyBorder="1"/>
    <xf numFmtId="10" fontId="0" fillId="0" borderId="0" xfId="0" applyNumberFormat="1" applyAlignment="1"/>
    <xf numFmtId="10" fontId="2" fillId="0" borderId="31" xfId="2" applyNumberFormat="1" applyFont="1" applyBorder="1" applyAlignment="1"/>
    <xf numFmtId="0" fontId="55" fillId="0" borderId="0" xfId="0" applyFont="1"/>
    <xf numFmtId="10" fontId="0" fillId="0" borderId="0" xfId="2" applyNumberFormat="1" applyFont="1" applyAlignment="1"/>
    <xf numFmtId="165" fontId="0" fillId="0" borderId="0" xfId="1" applyNumberFormat="1" applyFont="1"/>
    <xf numFmtId="171" fontId="33" fillId="36" borderId="0" xfId="31" applyNumberFormat="1" applyFont="1" applyFill="1" applyBorder="1" applyAlignment="1"/>
    <xf numFmtId="171" fontId="0" fillId="0" borderId="10" xfId="2" applyNumberFormat="1" applyFont="1" applyBorder="1"/>
    <xf numFmtId="171" fontId="0" fillId="0" borderId="22" xfId="2" applyNumberFormat="1" applyFont="1" applyBorder="1"/>
    <xf numFmtId="171" fontId="0" fillId="0" borderId="18" xfId="2" applyNumberFormat="1" applyFont="1" applyBorder="1"/>
    <xf numFmtId="0" fontId="0" fillId="0" borderId="50" xfId="0" applyBorder="1"/>
    <xf numFmtId="41" fontId="0" fillId="0" borderId="0" xfId="0" applyNumberFormat="1"/>
    <xf numFmtId="0" fontId="0" fillId="0" borderId="0" xfId="0" applyFill="1"/>
    <xf numFmtId="165" fontId="0" fillId="0" borderId="0" xfId="1" applyNumberFormat="1" applyFont="1" applyFill="1"/>
    <xf numFmtId="165" fontId="0" fillId="0" borderId="0" xfId="0" applyNumberFormat="1" applyFill="1"/>
    <xf numFmtId="165" fontId="0" fillId="0" borderId="0" xfId="0" applyNumberFormat="1" applyBorder="1"/>
    <xf numFmtId="165" fontId="0" fillId="0" borderId="0" xfId="1" applyNumberFormat="1" applyFont="1" applyBorder="1" applyAlignment="1"/>
    <xf numFmtId="165" fontId="0" fillId="0" borderId="0" xfId="1" applyNumberFormat="1" applyFont="1" applyBorder="1"/>
    <xf numFmtId="165" fontId="0" fillId="0" borderId="0" xfId="0" applyNumberFormat="1" applyFont="1" applyBorder="1" applyAlignment="1"/>
    <xf numFmtId="0" fontId="0" fillId="0" borderId="0" xfId="0" applyFont="1" applyAlignment="1">
      <alignment horizontal="center" vertical="center" wrapText="1"/>
    </xf>
    <xf numFmtId="37" fontId="33" fillId="37" borderId="2" xfId="1" applyNumberFormat="1" applyFont="1" applyFill="1" applyBorder="1" applyAlignment="1">
      <alignment horizontal="center" vertical="center"/>
    </xf>
    <xf numFmtId="171" fontId="0" fillId="0" borderId="22" xfId="2" applyNumberFormat="1" applyFont="1" applyFill="1" applyBorder="1"/>
    <xf numFmtId="171" fontId="33" fillId="0" borderId="0" xfId="31" applyNumberFormat="1" applyFont="1" applyFill="1" applyBorder="1" applyAlignment="1"/>
    <xf numFmtId="9" fontId="0" fillId="0" borderId="0" xfId="2" applyFont="1" applyAlignment="1"/>
    <xf numFmtId="10" fontId="0" fillId="0" borderId="2" xfId="2" applyNumberFormat="1" applyFont="1" applyBorder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57" fillId="0" borderId="0" xfId="0" applyFont="1"/>
    <xf numFmtId="165" fontId="33" fillId="2" borderId="51" xfId="1" applyNumberFormat="1" applyFont="1" applyFill="1" applyBorder="1"/>
    <xf numFmtId="10" fontId="0" fillId="0" borderId="18" xfId="2" applyNumberFormat="1" applyFont="1" applyBorder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165" fontId="0" fillId="0" borderId="53" xfId="1" applyNumberFormat="1" applyFont="1" applyBorder="1" applyAlignment="1">
      <alignment horizontal="center"/>
    </xf>
    <xf numFmtId="165" fontId="2" fillId="0" borderId="53" xfId="1" applyNumberFormat="1" applyFont="1" applyBorder="1" applyAlignment="1">
      <alignment horizontal="center"/>
    </xf>
    <xf numFmtId="165" fontId="2" fillId="0" borderId="54" xfId="0" applyNumberFormat="1" applyFont="1" applyBorder="1"/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32"/>
  <sheetViews>
    <sheetView tabSelected="1" workbookViewId="0">
      <selection activeCell="G5" sqref="G5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1" max="11" width="9.7109375" bestFit="1" customWidth="1"/>
    <col min="12" max="12" width="14.5703125" customWidth="1"/>
  </cols>
  <sheetData>
    <row r="1" spans="2:8" ht="18.75">
      <c r="B1" s="2" t="s">
        <v>135</v>
      </c>
    </row>
    <row r="2" spans="2:8" ht="15.75" thickBot="1"/>
    <row r="3" spans="2:8">
      <c r="B3" s="39"/>
      <c r="C3" s="40" t="s">
        <v>13</v>
      </c>
      <c r="D3" s="41" t="s">
        <v>41</v>
      </c>
      <c r="E3" s="44"/>
      <c r="F3" s="42"/>
    </row>
    <row r="4" spans="2:8">
      <c r="B4" s="169" t="s">
        <v>14</v>
      </c>
      <c r="C4" s="171"/>
      <c r="D4" s="24">
        <v>2018</v>
      </c>
      <c r="E4" s="46" t="s">
        <v>37</v>
      </c>
      <c r="F4" s="43"/>
    </row>
    <row r="5" spans="2:8" ht="15.75" thickBot="1">
      <c r="B5" s="172" t="s">
        <v>19</v>
      </c>
      <c r="C5" s="173"/>
      <c r="D5" s="117">
        <v>296875</v>
      </c>
      <c r="E5" s="118">
        <f>+E15/D5</f>
        <v>14.690380900237592</v>
      </c>
    </row>
    <row r="6" spans="2:8">
      <c r="B6" s="5"/>
      <c r="C6" s="5"/>
      <c r="D6" s="14"/>
      <c r="F6" s="13"/>
    </row>
    <row r="7" spans="2:8" ht="19.5" thickBot="1">
      <c r="B7" s="5"/>
      <c r="C7" s="37" t="s">
        <v>34</v>
      </c>
      <c r="D7" s="14"/>
      <c r="F7" s="13"/>
    </row>
    <row r="8" spans="2:8">
      <c r="B8" s="27"/>
      <c r="C8" s="28"/>
      <c r="D8" s="28"/>
      <c r="E8" s="28"/>
      <c r="F8" s="28"/>
      <c r="G8" s="29" t="s">
        <v>18</v>
      </c>
      <c r="H8" s="53" t="s">
        <v>38</v>
      </c>
    </row>
    <row r="9" spans="2:8">
      <c r="B9" s="30"/>
      <c r="C9" s="9"/>
      <c r="D9" s="9"/>
      <c r="E9" s="11" t="s">
        <v>12</v>
      </c>
      <c r="F9" s="20" t="s">
        <v>26</v>
      </c>
      <c r="G9" s="16" t="s">
        <v>33</v>
      </c>
      <c r="H9" s="54" t="s">
        <v>18</v>
      </c>
    </row>
    <row r="10" spans="2:8">
      <c r="B10" s="169" t="s">
        <v>10</v>
      </c>
      <c r="C10" s="170"/>
      <c r="D10" s="171"/>
      <c r="E10" s="51">
        <f>+$E$15*F10</f>
        <v>1678995.3603835886</v>
      </c>
      <c r="F10" s="10">
        <v>0.38498411699422685</v>
      </c>
      <c r="G10" s="51">
        <v>109499</v>
      </c>
      <c r="H10" s="133">
        <f>+E10/G10</f>
        <v>15.333430993740478</v>
      </c>
    </row>
    <row r="11" spans="2:8">
      <c r="B11" s="169" t="s">
        <v>15</v>
      </c>
      <c r="C11" s="170"/>
      <c r="D11" s="171"/>
      <c r="E11" s="51">
        <f t="shared" ref="E11:E14" si="0">+$E$15*F11</f>
        <v>1731270.345977735</v>
      </c>
      <c r="F11" s="10">
        <v>0.39697047481551978</v>
      </c>
      <c r="G11" s="51">
        <v>16177</v>
      </c>
      <c r="H11" s="55">
        <f>+E11/G11</f>
        <v>107.02048253555881</v>
      </c>
    </row>
    <row r="12" spans="2:8">
      <c r="B12" s="169" t="s">
        <v>16</v>
      </c>
      <c r="C12" s="170"/>
      <c r="D12" s="171"/>
      <c r="E12" s="51">
        <f t="shared" si="0"/>
        <v>758031.71029179427</v>
      </c>
      <c r="F12" s="10">
        <v>0.17381237347412179</v>
      </c>
      <c r="G12" s="51">
        <v>481</v>
      </c>
      <c r="H12" s="55">
        <f>+E12/G12</f>
        <v>1575.9495016461419</v>
      </c>
    </row>
    <row r="13" spans="2:8">
      <c r="B13" s="169" t="s">
        <v>39</v>
      </c>
      <c r="C13" s="170"/>
      <c r="D13" s="171"/>
      <c r="E13" s="51">
        <f t="shared" si="0"/>
        <v>183425.46168361985</v>
      </c>
      <c r="F13" s="10">
        <v>4.2058418424928613E-2</v>
      </c>
      <c r="G13" s="51">
        <v>5051</v>
      </c>
      <c r="H13" s="55">
        <f>+E13/G13</f>
        <v>36.314682574464435</v>
      </c>
    </row>
    <row r="14" spans="2:8">
      <c r="B14" s="174" t="s">
        <v>40</v>
      </c>
      <c r="C14" s="175"/>
      <c r="D14" s="176"/>
      <c r="E14" s="51">
        <f t="shared" si="0"/>
        <v>9483.9514212975955</v>
      </c>
      <c r="F14" s="10">
        <v>2.1746162912029965E-3</v>
      </c>
      <c r="G14" s="51">
        <v>245</v>
      </c>
      <c r="H14" s="55">
        <f>+E14/G14</f>
        <v>38.710005801214677</v>
      </c>
    </row>
    <row r="15" spans="2:8" ht="15.75" thickBot="1">
      <c r="B15" s="32"/>
      <c r="C15" s="48" t="s">
        <v>11</v>
      </c>
      <c r="D15" s="49"/>
      <c r="E15" s="45">
        <v>4361206.829758035</v>
      </c>
      <c r="F15" s="50"/>
      <c r="G15" s="52"/>
      <c r="H15" s="56"/>
    </row>
    <row r="17" spans="2:11" ht="19.5" thickBot="1">
      <c r="C17" s="38" t="s">
        <v>35</v>
      </c>
    </row>
    <row r="18" spans="2:11">
      <c r="B18" s="27"/>
      <c r="C18" s="28"/>
      <c r="D18" s="28"/>
      <c r="E18" s="28"/>
      <c r="F18" s="29" t="s">
        <v>27</v>
      </c>
      <c r="G18" s="34" t="s">
        <v>4</v>
      </c>
      <c r="H18" s="35"/>
      <c r="I18" s="164" t="s">
        <v>145</v>
      </c>
    </row>
    <row r="19" spans="2:11" ht="18">
      <c r="B19" s="36"/>
      <c r="C19" s="5"/>
      <c r="D19" s="5"/>
      <c r="E19" s="20" t="s">
        <v>17</v>
      </c>
      <c r="F19" s="16" t="s">
        <v>28</v>
      </c>
      <c r="G19" s="12" t="s">
        <v>146</v>
      </c>
      <c r="H19" s="31"/>
      <c r="I19" s="165" t="s">
        <v>146</v>
      </c>
      <c r="J19" s="145"/>
      <c r="K19" s="145"/>
    </row>
    <row r="20" spans="2:11" ht="15.75" thickBot="1">
      <c r="B20" s="169" t="s">
        <v>31</v>
      </c>
      <c r="C20" s="170"/>
      <c r="D20" s="171"/>
      <c r="E20" s="120">
        <f>'Known Resources'!B43</f>
        <v>3572299.8829487986</v>
      </c>
      <c r="F20" s="157">
        <f>+E20/(E20+E21)</f>
        <v>0.8435699843204516</v>
      </c>
      <c r="G20" s="120">
        <f>'Known Resources'!E43</f>
        <v>2627023.9314427311</v>
      </c>
      <c r="H20" s="119"/>
      <c r="I20" s="166">
        <f>G20*0.907185</f>
        <v>2383196.7052458739</v>
      </c>
      <c r="J20" s="146"/>
      <c r="K20" s="147"/>
    </row>
    <row r="21" spans="2:11" ht="18">
      <c r="B21" s="169" t="s">
        <v>32</v>
      </c>
      <c r="C21" s="170"/>
      <c r="D21" s="171"/>
      <c r="E21" s="121">
        <f>'Unknown Resources'!B17</f>
        <v>662440.50533861667</v>
      </c>
      <c r="F21" s="158">
        <f>+E21/(E20+E21)</f>
        <v>0.15643001567954826</v>
      </c>
      <c r="G21" s="122">
        <f>'Unknown Resources'!D17</f>
        <v>319103.86473319726</v>
      </c>
      <c r="H21" s="47" t="s">
        <v>36</v>
      </c>
      <c r="I21" s="167">
        <f>G21*0.907185</f>
        <v>289486.23952798557</v>
      </c>
      <c r="J21" s="146"/>
      <c r="K21" s="147"/>
    </row>
    <row r="22" spans="2:11" ht="18.75" thickBot="1">
      <c r="B22" s="32"/>
      <c r="C22" s="33"/>
      <c r="D22" s="33"/>
      <c r="E22" s="48">
        <v>2018</v>
      </c>
      <c r="F22" s="127" t="s">
        <v>3</v>
      </c>
      <c r="G22" s="128">
        <f>SUM(G20:G21)</f>
        <v>2946127.7961759283</v>
      </c>
      <c r="H22" s="135">
        <f>+G22/H24</f>
        <v>1.2280250146831109</v>
      </c>
      <c r="I22" s="168">
        <f>SUM(I20:I21)</f>
        <v>2672682.9447738593</v>
      </c>
    </row>
    <row r="23" spans="2:11">
      <c r="E23" s="3"/>
    </row>
    <row r="24" spans="2:11" ht="18">
      <c r="E24" s="147"/>
      <c r="G24" s="15" t="s">
        <v>25</v>
      </c>
      <c r="H24" s="21">
        <f>H30</f>
        <v>2399078</v>
      </c>
      <c r="I24" s="19"/>
      <c r="J24" s="77"/>
      <c r="K24" s="77"/>
    </row>
    <row r="26" spans="2:11">
      <c r="F26" s="19" t="s">
        <v>20</v>
      </c>
      <c r="G26" s="17"/>
      <c r="H26" s="17"/>
    </row>
    <row r="27" spans="2:11">
      <c r="F27" s="17"/>
      <c r="G27" s="17"/>
      <c r="H27" s="123" t="s">
        <v>24</v>
      </c>
    </row>
    <row r="28" spans="2:11" ht="18">
      <c r="F28" s="17"/>
      <c r="G28" s="17"/>
      <c r="H28" s="124" t="s">
        <v>2</v>
      </c>
    </row>
    <row r="29" spans="2:11">
      <c r="F29" s="17"/>
      <c r="G29" s="18" t="s">
        <v>21</v>
      </c>
      <c r="H29" s="125">
        <v>1131957</v>
      </c>
    </row>
    <row r="30" spans="2:11">
      <c r="F30" s="17"/>
      <c r="G30" s="18" t="s">
        <v>22</v>
      </c>
      <c r="H30" s="125">
        <v>2399078</v>
      </c>
    </row>
    <row r="31" spans="2:11">
      <c r="F31" s="17"/>
      <c r="G31" s="18" t="s">
        <v>23</v>
      </c>
      <c r="H31" s="125">
        <v>6946064</v>
      </c>
    </row>
    <row r="32" spans="2:11">
      <c r="H32" s="126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47"/>
  <sheetViews>
    <sheetView zoomScale="70" zoomScaleNormal="70" workbookViewId="0">
      <selection activeCell="D8" sqref="D8"/>
    </sheetView>
  </sheetViews>
  <sheetFormatPr defaultRowHeight="15"/>
  <cols>
    <col min="1" max="1" width="53.140625" bestFit="1" customWidth="1"/>
    <col min="2" max="2" width="14.85546875" customWidth="1"/>
    <col min="3" max="3" width="16.85546875" style="77" customWidth="1"/>
    <col min="4" max="5" width="14.85546875" customWidth="1"/>
    <col min="6" max="6" width="23.85546875" style="3" customWidth="1"/>
    <col min="7" max="7" width="31.42578125" style="3" customWidth="1"/>
    <col min="8" max="8" width="12" bestFit="1" customWidth="1"/>
  </cols>
  <sheetData>
    <row r="1" spans="1:9" ht="18.75">
      <c r="A1" s="2" t="s">
        <v>9</v>
      </c>
      <c r="B1" s="23">
        <f>'Summary 2018'!D4</f>
        <v>2018</v>
      </c>
      <c r="D1" s="1"/>
      <c r="E1" s="1"/>
      <c r="F1" s="65"/>
      <c r="G1" s="65"/>
      <c r="H1" s="140">
        <v>0.22602884521810968</v>
      </c>
      <c r="I1" s="35" t="s">
        <v>130</v>
      </c>
    </row>
    <row r="2" spans="1:9" ht="30.75">
      <c r="A2" s="2"/>
      <c r="B2" s="7" t="s">
        <v>29</v>
      </c>
      <c r="C2" s="162" t="s">
        <v>144</v>
      </c>
      <c r="D2" s="7">
        <f>B1</f>
        <v>2018</v>
      </c>
      <c r="E2" s="7" t="s">
        <v>4</v>
      </c>
      <c r="F2" s="65"/>
      <c r="G2" s="65" t="s">
        <v>134</v>
      </c>
      <c r="H2" s="141">
        <v>0.22429967986215482</v>
      </c>
      <c r="I2" s="31" t="s">
        <v>129</v>
      </c>
    </row>
    <row r="3" spans="1:9" ht="20.25" thickBot="1">
      <c r="A3" s="4" t="s">
        <v>0</v>
      </c>
      <c r="B3" s="8">
        <f>B1</f>
        <v>2018</v>
      </c>
      <c r="C3" s="163">
        <f>3.503%</f>
        <v>3.5029999999999999E-2</v>
      </c>
      <c r="D3" s="8" t="s">
        <v>6</v>
      </c>
      <c r="E3" s="8" t="s">
        <v>7</v>
      </c>
      <c r="F3" s="6"/>
      <c r="G3" s="65" t="s">
        <v>132</v>
      </c>
      <c r="H3" s="142">
        <v>1</v>
      </c>
      <c r="I3" s="143" t="s">
        <v>131</v>
      </c>
    </row>
    <row r="4" spans="1:9">
      <c r="A4" s="61" t="s">
        <v>46</v>
      </c>
      <c r="B4" s="62">
        <f>G4*$H$1</f>
        <v>105835.98777631066</v>
      </c>
      <c r="C4" s="62">
        <f>B4*(1+$C$3)</f>
        <v>109543.42242811482</v>
      </c>
      <c r="D4" s="62">
        <v>2319.457920920162</v>
      </c>
      <c r="E4" s="78">
        <f>(+C4*D4)/2000</f>
        <v>127040.67941779712</v>
      </c>
      <c r="F4" s="65" t="s">
        <v>81</v>
      </c>
      <c r="G4" s="153">
        <v>468241.06752473454</v>
      </c>
      <c r="H4" s="150"/>
    </row>
    <row r="5" spans="1:9">
      <c r="A5" s="61" t="s">
        <v>45</v>
      </c>
      <c r="B5" s="62">
        <f>G5*$H$1</f>
        <v>1904185.6842565762</v>
      </c>
      <c r="C5" s="62">
        <f t="shared" ref="C5:C7" si="0">B5*(1+$C$3)</f>
        <v>1970889.3087760839</v>
      </c>
      <c r="D5" s="62">
        <v>2209.8748747401214</v>
      </c>
      <c r="E5" s="78">
        <f t="shared" ref="E5:E7" si="1">(+C5*D5)/2000</f>
        <v>2177709.3821790963</v>
      </c>
      <c r="F5" s="65" t="s">
        <v>81</v>
      </c>
      <c r="G5" s="153">
        <v>8424525.1194337867</v>
      </c>
      <c r="H5" s="150"/>
    </row>
    <row r="6" spans="1:9">
      <c r="A6" s="61" t="s">
        <v>44</v>
      </c>
      <c r="B6" s="62">
        <f>G6*$H$1</f>
        <v>386230.59483836888</v>
      </c>
      <c r="C6" s="62">
        <f t="shared" si="0"/>
        <v>399760.25257555692</v>
      </c>
      <c r="D6" s="62">
        <v>874.50271309903019</v>
      </c>
      <c r="E6" s="78">
        <f t="shared" si="1"/>
        <v>174795.71273323905</v>
      </c>
      <c r="F6" s="65" t="s">
        <v>82</v>
      </c>
      <c r="G6" s="153">
        <v>1708766.8366648969</v>
      </c>
      <c r="H6" s="150"/>
    </row>
    <row r="7" spans="1:9">
      <c r="A7" s="61" t="s">
        <v>128</v>
      </c>
      <c r="B7" s="62">
        <f t="shared" ref="B7" si="2">G7*$H$1</f>
        <v>321822.97695543611</v>
      </c>
      <c r="C7" s="62">
        <f t="shared" si="0"/>
        <v>333096.43583818502</v>
      </c>
      <c r="D7" s="62">
        <v>885.49825963459057</v>
      </c>
      <c r="E7" s="78">
        <f t="shared" si="1"/>
        <v>147478.15711259894</v>
      </c>
      <c r="F7" s="65" t="s">
        <v>82</v>
      </c>
      <c r="G7" s="153">
        <v>1423813.7466255184</v>
      </c>
      <c r="H7" s="150"/>
    </row>
    <row r="8" spans="1:9">
      <c r="A8" s="61" t="s">
        <v>42</v>
      </c>
      <c r="B8" s="62">
        <f>G8*$H$2</f>
        <v>51703.992104064891</v>
      </c>
      <c r="C8" s="62"/>
      <c r="D8" s="62">
        <v>0</v>
      </c>
      <c r="E8" s="78">
        <f t="shared" ref="E8:E39" si="3">(+B8*D8)/2000</f>
        <v>0</v>
      </c>
      <c r="F8" s="74" t="s">
        <v>83</v>
      </c>
      <c r="G8" s="153">
        <v>230513</v>
      </c>
      <c r="H8" s="150"/>
    </row>
    <row r="9" spans="1:9">
      <c r="A9" s="61" t="s">
        <v>43</v>
      </c>
      <c r="B9" s="62">
        <f t="shared" ref="B9:B33" si="4">G9*$H$2</f>
        <v>45233.394939401449</v>
      </c>
      <c r="C9" s="62"/>
      <c r="D9" s="62">
        <v>0</v>
      </c>
      <c r="E9" s="78">
        <f t="shared" si="3"/>
        <v>0</v>
      </c>
      <c r="F9" s="74" t="s">
        <v>83</v>
      </c>
      <c r="G9" s="153">
        <v>201665</v>
      </c>
      <c r="H9" s="150"/>
    </row>
    <row r="10" spans="1:9">
      <c r="A10" s="61" t="s">
        <v>47</v>
      </c>
      <c r="B10" s="62">
        <f t="shared" si="4"/>
        <v>112343.18625511859</v>
      </c>
      <c r="C10" s="62"/>
      <c r="D10" s="62">
        <v>0</v>
      </c>
      <c r="E10" s="78">
        <f t="shared" si="3"/>
        <v>0</v>
      </c>
      <c r="F10" s="74" t="s">
        <v>83</v>
      </c>
      <c r="G10" s="153">
        <v>500862</v>
      </c>
      <c r="H10" s="150"/>
    </row>
    <row r="11" spans="1:9" s="58" customFormat="1">
      <c r="A11" s="61" t="s">
        <v>53</v>
      </c>
      <c r="B11" s="62">
        <f t="shared" si="4"/>
        <v>324.78593644040018</v>
      </c>
      <c r="C11" s="62"/>
      <c r="D11" s="62">
        <v>0</v>
      </c>
      <c r="E11" s="78">
        <f t="shared" si="3"/>
        <v>0</v>
      </c>
      <c r="F11" s="74" t="s">
        <v>84</v>
      </c>
      <c r="G11" s="153">
        <v>1448</v>
      </c>
      <c r="H11" s="150"/>
    </row>
    <row r="12" spans="1:9" s="58" customFormat="1">
      <c r="A12" s="61" t="s">
        <v>54</v>
      </c>
      <c r="B12" s="62">
        <f t="shared" si="4"/>
        <v>9082.7912363380965</v>
      </c>
      <c r="C12" s="62"/>
      <c r="D12" s="62">
        <v>0</v>
      </c>
      <c r="E12" s="78">
        <f t="shared" si="3"/>
        <v>0</v>
      </c>
      <c r="F12" s="74" t="s">
        <v>84</v>
      </c>
      <c r="G12" s="153">
        <v>40494</v>
      </c>
      <c r="H12" s="150"/>
    </row>
    <row r="13" spans="1:9" s="58" customFormat="1">
      <c r="A13" s="61" t="s">
        <v>55</v>
      </c>
      <c r="B13" s="62">
        <f t="shared" si="4"/>
        <v>8282.714278269792</v>
      </c>
      <c r="C13" s="62"/>
      <c r="D13" s="62">
        <v>0</v>
      </c>
      <c r="E13" s="78">
        <f t="shared" si="3"/>
        <v>0</v>
      </c>
      <c r="F13" s="74" t="s">
        <v>84</v>
      </c>
      <c r="G13" s="153">
        <v>36927</v>
      </c>
      <c r="H13" s="150"/>
    </row>
    <row r="14" spans="1:9" s="58" customFormat="1">
      <c r="A14" s="61" t="s">
        <v>56</v>
      </c>
      <c r="B14" s="62">
        <f>G14*$H$2</f>
        <v>16579.335136691036</v>
      </c>
      <c r="C14" s="62"/>
      <c r="D14" s="62">
        <v>0</v>
      </c>
      <c r="E14" s="78">
        <f t="shared" si="3"/>
        <v>0</v>
      </c>
      <c r="F14" s="74" t="s">
        <v>84</v>
      </c>
      <c r="G14" s="153">
        <v>73916</v>
      </c>
      <c r="H14" s="150"/>
    </row>
    <row r="15" spans="1:9" s="58" customFormat="1">
      <c r="A15" s="61" t="s">
        <v>57</v>
      </c>
      <c r="B15" s="62">
        <f t="shared" si="4"/>
        <v>20797.066316818997</v>
      </c>
      <c r="C15" s="62"/>
      <c r="D15" s="62">
        <v>0</v>
      </c>
      <c r="E15" s="78">
        <f t="shared" si="3"/>
        <v>0</v>
      </c>
      <c r="F15" s="74" t="s">
        <v>84</v>
      </c>
      <c r="G15" s="153">
        <v>92720</v>
      </c>
      <c r="H15" s="150"/>
    </row>
    <row r="16" spans="1:9" s="58" customFormat="1">
      <c r="A16" s="61" t="s">
        <v>58</v>
      </c>
      <c r="B16" s="62">
        <f t="shared" si="4"/>
        <v>3680.9820462178227</v>
      </c>
      <c r="C16" s="62"/>
      <c r="D16" s="62">
        <v>0</v>
      </c>
      <c r="E16" s="78">
        <f t="shared" si="3"/>
        <v>0</v>
      </c>
      <c r="F16" s="74" t="s">
        <v>84</v>
      </c>
      <c r="G16" s="153">
        <v>16411</v>
      </c>
      <c r="H16" s="150"/>
    </row>
    <row r="17" spans="1:8" s="58" customFormat="1">
      <c r="A17" s="61" t="s">
        <v>59</v>
      </c>
      <c r="B17" s="62">
        <f t="shared" si="4"/>
        <v>881.72204153813061</v>
      </c>
      <c r="C17" s="62"/>
      <c r="D17" s="62">
        <v>0</v>
      </c>
      <c r="E17" s="78">
        <f t="shared" si="3"/>
        <v>0</v>
      </c>
      <c r="F17" s="74" t="s">
        <v>84</v>
      </c>
      <c r="G17" s="153">
        <v>3931</v>
      </c>
      <c r="H17" s="150"/>
    </row>
    <row r="18" spans="1:8" s="58" customFormat="1">
      <c r="A18" s="61" t="s">
        <v>60</v>
      </c>
      <c r="B18" s="62">
        <f t="shared" si="4"/>
        <v>3310.2146754056807</v>
      </c>
      <c r="C18" s="62"/>
      <c r="D18" s="62">
        <v>0</v>
      </c>
      <c r="E18" s="78">
        <f t="shared" si="3"/>
        <v>0</v>
      </c>
      <c r="F18" s="74" t="s">
        <v>84</v>
      </c>
      <c r="G18" s="153">
        <v>14758</v>
      </c>
      <c r="H18" s="150"/>
    </row>
    <row r="19" spans="1:8" s="58" customFormat="1">
      <c r="A19" s="61" t="s">
        <v>61</v>
      </c>
      <c r="B19" s="62">
        <f t="shared" si="4"/>
        <v>19959.755611893572</v>
      </c>
      <c r="C19" s="62"/>
      <c r="D19" s="62">
        <v>0</v>
      </c>
      <c r="E19" s="78">
        <f t="shared" si="3"/>
        <v>0</v>
      </c>
      <c r="F19" s="74" t="s">
        <v>84</v>
      </c>
      <c r="G19" s="153">
        <v>88987</v>
      </c>
      <c r="H19" s="150"/>
    </row>
    <row r="20" spans="1:8" s="58" customFormat="1">
      <c r="A20" s="61" t="s">
        <v>62</v>
      </c>
      <c r="B20" s="62">
        <f t="shared" si="4"/>
        <v>43525.352877251142</v>
      </c>
      <c r="C20" s="62"/>
      <c r="D20" s="62">
        <v>0</v>
      </c>
      <c r="E20" s="78">
        <f t="shared" si="3"/>
        <v>0</v>
      </c>
      <c r="F20" s="74" t="s">
        <v>84</v>
      </c>
      <c r="G20" s="153">
        <v>194050</v>
      </c>
      <c r="H20" s="150"/>
    </row>
    <row r="21" spans="1:8" s="58" customFormat="1">
      <c r="A21" s="61" t="s">
        <v>63</v>
      </c>
      <c r="B21" s="62">
        <f>G21*$H$2</f>
        <v>28006.955226308099</v>
      </c>
      <c r="C21" s="62"/>
      <c r="D21" s="62">
        <v>0</v>
      </c>
      <c r="E21" s="78">
        <f t="shared" si="3"/>
        <v>0</v>
      </c>
      <c r="F21" s="74" t="s">
        <v>84</v>
      </c>
      <c r="G21" s="153">
        <v>124864</v>
      </c>
      <c r="H21" s="150"/>
    </row>
    <row r="22" spans="1:8">
      <c r="A22" s="61" t="s">
        <v>64</v>
      </c>
      <c r="B22" s="62">
        <f t="shared" si="4"/>
        <v>29839.483610781903</v>
      </c>
      <c r="C22" s="62"/>
      <c r="D22" s="62">
        <v>0</v>
      </c>
      <c r="E22" s="78">
        <f t="shared" si="3"/>
        <v>0</v>
      </c>
      <c r="F22" s="74" t="s">
        <v>84</v>
      </c>
      <c r="G22" s="153">
        <v>133034</v>
      </c>
      <c r="H22" s="150"/>
    </row>
    <row r="23" spans="1:8">
      <c r="A23" s="61" t="s">
        <v>65</v>
      </c>
      <c r="B23" s="62">
        <f t="shared" si="4"/>
        <v>101037.8094910264</v>
      </c>
      <c r="C23" s="62"/>
      <c r="D23" s="62">
        <v>0</v>
      </c>
      <c r="E23" s="78">
        <f t="shared" si="3"/>
        <v>0</v>
      </c>
      <c r="F23" s="74" t="s">
        <v>84</v>
      </c>
      <c r="G23" s="153">
        <v>450459</v>
      </c>
      <c r="H23" s="150"/>
    </row>
    <row r="24" spans="1:8">
      <c r="A24" s="61" t="s">
        <v>66</v>
      </c>
      <c r="B24" s="62">
        <f t="shared" si="4"/>
        <v>2717.1663218501435</v>
      </c>
      <c r="C24" s="62"/>
      <c r="D24" s="62">
        <v>0</v>
      </c>
      <c r="E24" s="78">
        <f t="shared" si="3"/>
        <v>0</v>
      </c>
      <c r="F24" s="74" t="s">
        <v>84</v>
      </c>
      <c r="G24" s="153">
        <v>12114</v>
      </c>
      <c r="H24" s="150"/>
    </row>
    <row r="25" spans="1:8">
      <c r="A25" s="61" t="s">
        <v>76</v>
      </c>
      <c r="B25" s="62">
        <f t="shared" si="4"/>
        <v>44680.944827900967</v>
      </c>
      <c r="C25" s="62"/>
      <c r="D25" s="62">
        <v>0</v>
      </c>
      <c r="E25" s="78">
        <f t="shared" si="3"/>
        <v>0</v>
      </c>
      <c r="F25" s="74" t="s">
        <v>84</v>
      </c>
      <c r="G25" s="153">
        <v>199202</v>
      </c>
      <c r="H25" s="150"/>
    </row>
    <row r="26" spans="1:8">
      <c r="A26" s="61" t="s">
        <v>75</v>
      </c>
      <c r="B26" s="62">
        <f t="shared" si="4"/>
        <v>4993.5837727711532</v>
      </c>
      <c r="C26" s="62"/>
      <c r="D26" s="62">
        <v>0</v>
      </c>
      <c r="E26" s="78">
        <f t="shared" si="3"/>
        <v>0</v>
      </c>
      <c r="F26" s="74" t="s">
        <v>84</v>
      </c>
      <c r="G26" s="153">
        <v>22263</v>
      </c>
      <c r="H26" s="150"/>
    </row>
    <row r="27" spans="1:8">
      <c r="A27" s="61" t="s">
        <v>74</v>
      </c>
      <c r="B27" s="62">
        <f t="shared" si="4"/>
        <v>569.94548652973538</v>
      </c>
      <c r="C27" s="62"/>
      <c r="D27" s="62">
        <v>0</v>
      </c>
      <c r="E27" s="78">
        <f t="shared" si="3"/>
        <v>0</v>
      </c>
      <c r="F27" s="74" t="s">
        <v>84</v>
      </c>
      <c r="G27" s="153">
        <v>2541</v>
      </c>
      <c r="H27" s="150"/>
    </row>
    <row r="28" spans="1:8">
      <c r="A28" s="61" t="s">
        <v>73</v>
      </c>
      <c r="B28" s="62">
        <f>G28*$H$2</f>
        <v>12755.47419440102</v>
      </c>
      <c r="C28" s="62"/>
      <c r="D28" s="62">
        <v>0</v>
      </c>
      <c r="E28" s="78">
        <f t="shared" si="3"/>
        <v>0</v>
      </c>
      <c r="F28" s="74" t="s">
        <v>84</v>
      </c>
      <c r="G28" s="153">
        <v>56868</v>
      </c>
      <c r="H28" s="150"/>
    </row>
    <row r="29" spans="1:8">
      <c r="A29" s="61" t="s">
        <v>72</v>
      </c>
      <c r="B29" s="62">
        <f t="shared" si="4"/>
        <v>9893.410279359925</v>
      </c>
      <c r="C29" s="62"/>
      <c r="D29" s="62">
        <v>0</v>
      </c>
      <c r="E29" s="78">
        <f t="shared" si="3"/>
        <v>0</v>
      </c>
      <c r="F29" s="74" t="s">
        <v>84</v>
      </c>
      <c r="G29" s="153">
        <v>44108</v>
      </c>
      <c r="H29" s="150"/>
    </row>
    <row r="30" spans="1:8">
      <c r="A30" s="61" t="s">
        <v>71</v>
      </c>
      <c r="B30" s="62">
        <f>G30*$H$2</f>
        <v>60277.183750956421</v>
      </c>
      <c r="C30" s="62"/>
      <c r="D30" s="62">
        <v>0</v>
      </c>
      <c r="E30" s="78">
        <f t="shared" si="3"/>
        <v>0</v>
      </c>
      <c r="F30" s="74" t="s">
        <v>84</v>
      </c>
      <c r="G30" s="153">
        <v>268735.04138748773</v>
      </c>
      <c r="H30" s="150"/>
    </row>
    <row r="31" spans="1:8">
      <c r="A31" s="61" t="s">
        <v>70</v>
      </c>
      <c r="B31" s="62">
        <f t="shared" si="4"/>
        <v>43751.222654872334</v>
      </c>
      <c r="C31" s="62"/>
      <c r="D31" s="62">
        <v>0</v>
      </c>
      <c r="E31" s="78">
        <f t="shared" si="3"/>
        <v>0</v>
      </c>
      <c r="F31" s="74" t="s">
        <v>84</v>
      </c>
      <c r="G31" s="153">
        <v>195057</v>
      </c>
      <c r="H31" s="150"/>
    </row>
    <row r="32" spans="1:8">
      <c r="A32" s="61" t="s">
        <v>69</v>
      </c>
      <c r="B32" s="62">
        <f t="shared" si="4"/>
        <v>1046.1337068770902</v>
      </c>
      <c r="C32" s="62"/>
      <c r="D32" s="62">
        <v>0</v>
      </c>
      <c r="E32" s="78">
        <f t="shared" si="3"/>
        <v>0</v>
      </c>
      <c r="F32" s="74" t="s">
        <v>84</v>
      </c>
      <c r="G32" s="153">
        <v>4664</v>
      </c>
      <c r="H32" s="150"/>
    </row>
    <row r="33" spans="1:8">
      <c r="A33" s="61" t="s">
        <v>67</v>
      </c>
      <c r="B33" s="62">
        <f t="shared" si="4"/>
        <v>78168.678907062043</v>
      </c>
      <c r="C33" s="62"/>
      <c r="D33" s="62">
        <v>0</v>
      </c>
      <c r="E33" s="78">
        <f t="shared" si="3"/>
        <v>0</v>
      </c>
      <c r="F33" s="74" t="s">
        <v>84</v>
      </c>
      <c r="G33" s="153">
        <v>348501.07211522205</v>
      </c>
      <c r="H33" s="150"/>
    </row>
    <row r="34" spans="1:8" s="59" customFormat="1">
      <c r="A34" s="61" t="s">
        <v>80</v>
      </c>
      <c r="B34" s="62">
        <f>G34</f>
        <v>6005</v>
      </c>
      <c r="C34" s="62"/>
      <c r="D34" s="62">
        <v>0</v>
      </c>
      <c r="E34" s="78">
        <f t="shared" si="3"/>
        <v>0</v>
      </c>
      <c r="F34" s="74" t="s">
        <v>84</v>
      </c>
      <c r="G34" s="153">
        <v>6005</v>
      </c>
      <c r="H34" s="150"/>
    </row>
    <row r="35" spans="1:8" s="59" customFormat="1">
      <c r="A35" s="61" t="s">
        <v>77</v>
      </c>
      <c r="B35" s="62">
        <f>(G35*$H$1*0.7)+(G35*$H$2*0.3)</f>
        <v>40578.737624492722</v>
      </c>
      <c r="C35" s="62"/>
      <c r="D35" s="62">
        <v>0</v>
      </c>
      <c r="E35" s="78">
        <f t="shared" si="3"/>
        <v>0</v>
      </c>
      <c r="F35" s="74" t="s">
        <v>84</v>
      </c>
      <c r="G35" s="153">
        <v>179942</v>
      </c>
      <c r="H35" s="150"/>
    </row>
    <row r="36" spans="1:8" s="59" customFormat="1">
      <c r="A36" s="61" t="s">
        <v>78</v>
      </c>
      <c r="B36" s="62">
        <f>(G36*$H$1*0.7)+(G36*$H$2*0.3)</f>
        <v>22122.765889566417</v>
      </c>
      <c r="C36" s="62"/>
      <c r="D36" s="62">
        <v>0</v>
      </c>
      <c r="E36" s="78">
        <f t="shared" si="3"/>
        <v>0</v>
      </c>
      <c r="F36" s="74" t="s">
        <v>84</v>
      </c>
      <c r="G36" s="153">
        <v>98101</v>
      </c>
      <c r="H36" s="150"/>
    </row>
    <row r="37" spans="1:8" s="63" customFormat="1">
      <c r="A37" s="61" t="s">
        <v>79</v>
      </c>
      <c r="B37" s="62">
        <f t="shared" ref="B37" si="5">(G37*$H$1*0.7)+(G37*$H$2*0.3)</f>
        <v>0</v>
      </c>
      <c r="C37" s="62"/>
      <c r="D37" s="62">
        <v>0</v>
      </c>
      <c r="E37" s="78">
        <f t="shared" si="3"/>
        <v>0</v>
      </c>
      <c r="F37" s="74" t="s">
        <v>84</v>
      </c>
      <c r="G37" s="153">
        <v>0</v>
      </c>
      <c r="H37" s="150"/>
    </row>
    <row r="38" spans="1:8" s="59" customFormat="1">
      <c r="A38" s="61" t="s">
        <v>49</v>
      </c>
      <c r="B38" s="62">
        <f>G38*H2</f>
        <v>25498.539009013675</v>
      </c>
      <c r="C38" s="62"/>
      <c r="D38" s="62">
        <v>0</v>
      </c>
      <c r="E38" s="78">
        <f t="shared" si="3"/>
        <v>0</v>
      </c>
      <c r="F38" s="74" t="s">
        <v>84</v>
      </c>
      <c r="G38" s="153">
        <v>113680.67500000003</v>
      </c>
      <c r="H38" s="150"/>
    </row>
    <row r="39" spans="1:8" s="59" customFormat="1">
      <c r="A39" s="61" t="s">
        <v>51</v>
      </c>
      <c r="B39" s="62">
        <f>G39*H2</f>
        <v>0</v>
      </c>
      <c r="C39" s="62"/>
      <c r="D39" s="62">
        <v>0</v>
      </c>
      <c r="E39" s="78">
        <f t="shared" si="3"/>
        <v>0</v>
      </c>
      <c r="F39" s="74" t="s">
        <v>85</v>
      </c>
      <c r="G39" s="153">
        <v>0</v>
      </c>
      <c r="H39" s="150"/>
    </row>
    <row r="40" spans="1:8" s="59" customFormat="1">
      <c r="A40" s="61" t="s">
        <v>52</v>
      </c>
      <c r="B40" s="62">
        <f>(G40*H1*79.264%)+(G40*H2*20.736%)</f>
        <v>2760.8502726834226</v>
      </c>
      <c r="C40" s="62"/>
      <c r="D40" s="62">
        <v>0</v>
      </c>
      <c r="E40" s="78">
        <f>(+B40*D40)/2000</f>
        <v>0</v>
      </c>
      <c r="F40" s="74" t="s">
        <v>84</v>
      </c>
      <c r="G40" s="153">
        <v>12234</v>
      </c>
      <c r="H40" s="150"/>
    </row>
    <row r="41" spans="1:8" s="77" customFormat="1">
      <c r="A41" s="61" t="s">
        <v>139</v>
      </c>
      <c r="B41" s="62">
        <f>G41*H2</f>
        <v>-3370.5512892886004</v>
      </c>
      <c r="C41" s="62"/>
      <c r="D41" s="62"/>
      <c r="E41" s="78"/>
      <c r="F41" s="74" t="s">
        <v>84</v>
      </c>
      <c r="G41" s="153">
        <v>-15027</v>
      </c>
      <c r="H41" s="150"/>
    </row>
    <row r="42" spans="1:8" s="77" customFormat="1" ht="15.75" thickBot="1">
      <c r="A42" s="61" t="s">
        <v>140</v>
      </c>
      <c r="B42" s="62">
        <f>G42*H2</f>
        <v>7186.0119294929955</v>
      </c>
      <c r="C42" s="62"/>
      <c r="D42" s="62"/>
      <c r="E42" s="78"/>
      <c r="F42" s="74" t="s">
        <v>83</v>
      </c>
      <c r="G42" s="153">
        <v>32037.548755795</v>
      </c>
      <c r="H42" s="150"/>
    </row>
    <row r="43" spans="1:8" ht="16.5" thickTop="1" thickBot="1">
      <c r="A43" s="73"/>
      <c r="B43" s="75">
        <f>SUM(B4:B42)</f>
        <v>3572299.8829487986</v>
      </c>
      <c r="D43" s="73"/>
      <c r="E43" s="75">
        <f>SUM(E4:E42)</f>
        <v>2627023.9314427311</v>
      </c>
      <c r="F43" s="73"/>
      <c r="G43" s="129">
        <f>SUM(G4:G42)</f>
        <v>15811412.107507441</v>
      </c>
      <c r="H43" s="151"/>
    </row>
    <row r="44" spans="1:8">
      <c r="A44" s="73"/>
      <c r="B44" s="73"/>
      <c r="D44" s="73"/>
      <c r="E44" s="73"/>
      <c r="F44" s="73"/>
      <c r="G44" s="73"/>
    </row>
    <row r="45" spans="1:8">
      <c r="A45" s="73" t="s">
        <v>136</v>
      </c>
      <c r="B45" s="139">
        <f>0.75*H1+0.25*H2</f>
        <v>0.22559655387912098</v>
      </c>
      <c r="D45" s="73"/>
      <c r="E45" s="73"/>
      <c r="F45" s="73"/>
      <c r="G45" s="73"/>
    </row>
    <row r="46" spans="1:8">
      <c r="F46" s="64"/>
      <c r="G46" s="64"/>
    </row>
    <row r="47" spans="1:8">
      <c r="A47" s="57"/>
      <c r="G47" s="64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23"/>
  <sheetViews>
    <sheetView workbookViewId="0">
      <selection activeCell="D21" sqref="D21:E21"/>
    </sheetView>
  </sheetViews>
  <sheetFormatPr defaultRowHeight="15"/>
  <cols>
    <col min="1" max="1" width="46.140625" customWidth="1"/>
    <col min="2" max="2" width="13.7109375" style="66" customWidth="1"/>
    <col min="3" max="3" width="12.5703125" style="66" customWidth="1"/>
    <col min="4" max="4" width="13.5703125" style="66" customWidth="1"/>
    <col min="5" max="5" width="17.5703125" customWidth="1"/>
    <col min="6" max="6" width="15.28515625" customWidth="1"/>
    <col min="7" max="7" width="11.28515625" bestFit="1" customWidth="1"/>
    <col min="8" max="8" width="9" bestFit="1" customWidth="1"/>
    <col min="9" max="9" width="22" bestFit="1" customWidth="1"/>
    <col min="10" max="10" width="9.7109375" bestFit="1" customWidth="1"/>
    <col min="11" max="11" width="10.140625" bestFit="1" customWidth="1"/>
    <col min="14" max="14" width="14" bestFit="1" customWidth="1"/>
  </cols>
  <sheetData>
    <row r="1" spans="1:14" ht="19.5">
      <c r="A1" s="2" t="s">
        <v>30</v>
      </c>
      <c r="B1" s="67">
        <f>'Known Resources'!B1</f>
        <v>2018</v>
      </c>
      <c r="C1" s="77"/>
      <c r="D1" s="159" t="s">
        <v>141</v>
      </c>
      <c r="E1" s="77"/>
      <c r="F1" s="77"/>
      <c r="G1" s="77"/>
      <c r="H1" s="160">
        <f>M1*M2</f>
        <v>963.41893999999991</v>
      </c>
      <c r="I1" s="77" t="s">
        <v>5</v>
      </c>
      <c r="K1" s="154">
        <f>'Known Resources'!H1</f>
        <v>0.22602884521810968</v>
      </c>
      <c r="L1" s="35" t="s">
        <v>130</v>
      </c>
      <c r="M1" s="77">
        <v>0.437</v>
      </c>
      <c r="N1" s="57" t="s">
        <v>142</v>
      </c>
    </row>
    <row r="2" spans="1:14" ht="18.75">
      <c r="A2" s="2"/>
      <c r="B2" s="7" t="s">
        <v>29</v>
      </c>
      <c r="C2" s="7" t="s">
        <v>1</v>
      </c>
      <c r="D2" s="7" t="s">
        <v>4</v>
      </c>
      <c r="E2" s="3"/>
      <c r="F2" s="25" t="s">
        <v>8</v>
      </c>
      <c r="G2" s="24">
        <f>'Known Resources'!B1</f>
        <v>2018</v>
      </c>
      <c r="H2" s="26"/>
      <c r="K2" s="154">
        <f>'Known Resources'!H2</f>
        <v>0.22429967986215482</v>
      </c>
      <c r="L2" s="31" t="s">
        <v>129</v>
      </c>
      <c r="M2" s="77">
        <v>2204.62</v>
      </c>
      <c r="N2" s="57" t="s">
        <v>143</v>
      </c>
    </row>
    <row r="3" spans="1:14" ht="45.75" thickBot="1">
      <c r="A3" s="79" t="s">
        <v>0</v>
      </c>
      <c r="B3" s="80">
        <f>'Known Resources'!B1</f>
        <v>2018</v>
      </c>
      <c r="C3" s="80" t="s">
        <v>91</v>
      </c>
      <c r="D3" s="80" t="s">
        <v>92</v>
      </c>
      <c r="E3" s="81"/>
      <c r="F3" s="152" t="s">
        <v>133</v>
      </c>
      <c r="H3" s="136"/>
      <c r="I3" s="132"/>
      <c r="K3" s="161">
        <v>1</v>
      </c>
      <c r="L3" s="143" t="s">
        <v>131</v>
      </c>
    </row>
    <row r="4" spans="1:14">
      <c r="A4" s="61" t="s">
        <v>89</v>
      </c>
      <c r="B4" s="68">
        <f>F4*$K$2</f>
        <v>25155.410966252537</v>
      </c>
      <c r="C4" s="116">
        <f>IF(B4&lt;&gt;0,$H$1,0)</f>
        <v>963.41893999999991</v>
      </c>
      <c r="D4" s="83">
        <f>(+B4*C4)/2000</f>
        <v>12117.599684185696</v>
      </c>
      <c r="E4" s="82"/>
      <c r="F4" s="68">
        <v>112150.9</v>
      </c>
      <c r="J4" s="57"/>
    </row>
    <row r="5" spans="1:14">
      <c r="A5" s="61" t="s">
        <v>87</v>
      </c>
      <c r="B5" s="68">
        <f t="shared" ref="B5:B6" si="0">F5*$K$2</f>
        <v>21994.378007923176</v>
      </c>
      <c r="C5" s="116">
        <f t="shared" ref="C5:C13" si="1">IF(B5&lt;&gt;0,$H$1,0)</f>
        <v>963.41893999999991</v>
      </c>
      <c r="D5" s="83">
        <f t="shared" ref="D5:D16" si="2">(+B5*C5)/2000</f>
        <v>10594.900173176327</v>
      </c>
      <c r="E5" s="82"/>
      <c r="F5" s="68">
        <v>98058</v>
      </c>
      <c r="I5" s="77"/>
      <c r="J5" s="57"/>
    </row>
    <row r="6" spans="1:14">
      <c r="A6" s="61" t="s">
        <v>88</v>
      </c>
      <c r="B6" s="68">
        <f t="shared" si="0"/>
        <v>1135882.0013690968</v>
      </c>
      <c r="C6" s="116">
        <f t="shared" si="1"/>
        <v>963.41893999999991</v>
      </c>
      <c r="D6" s="83">
        <f t="shared" si="2"/>
        <v>547165.11686204688</v>
      </c>
      <c r="E6" s="82"/>
      <c r="F6" s="68">
        <v>5064126.7168422276</v>
      </c>
      <c r="I6" s="77"/>
      <c r="J6" s="57"/>
    </row>
    <row r="7" spans="1:14" s="77" customFormat="1">
      <c r="A7" s="61" t="s">
        <v>125</v>
      </c>
      <c r="B7" s="68">
        <f>F7*$K$2</f>
        <v>0</v>
      </c>
      <c r="C7" s="116">
        <f t="shared" si="1"/>
        <v>0</v>
      </c>
      <c r="D7" s="83">
        <f t="shared" si="2"/>
        <v>0</v>
      </c>
      <c r="E7" s="82"/>
      <c r="F7" s="68">
        <v>0</v>
      </c>
      <c r="H7" s="132"/>
      <c r="J7" s="57"/>
      <c r="N7" s="57"/>
    </row>
    <row r="8" spans="1:14">
      <c r="A8" s="61" t="s">
        <v>90</v>
      </c>
      <c r="B8" s="68">
        <f>F8*$K$2</f>
        <v>11069.637800557064</v>
      </c>
      <c r="C8" s="116">
        <f t="shared" si="1"/>
        <v>963.41893999999991</v>
      </c>
      <c r="D8" s="83">
        <f t="shared" si="2"/>
        <v>5332.3493579983087</v>
      </c>
      <c r="E8" s="82"/>
      <c r="F8" s="68">
        <v>49352</v>
      </c>
      <c r="I8" s="77"/>
      <c r="J8" s="57"/>
      <c r="N8" s="57"/>
    </row>
    <row r="9" spans="1:14">
      <c r="A9" s="61" t="s">
        <v>126</v>
      </c>
      <c r="B9" s="68">
        <f>F9*$K$2</f>
        <v>102911.86099496308</v>
      </c>
      <c r="C9" s="116">
        <f t="shared" si="1"/>
        <v>963.41893999999991</v>
      </c>
      <c r="D9" s="83">
        <f t="shared" si="2"/>
        <v>49573.618016597327</v>
      </c>
      <c r="E9" s="82"/>
      <c r="F9" s="68">
        <v>458814.12340048095</v>
      </c>
      <c r="I9" s="77"/>
      <c r="J9" s="57"/>
      <c r="N9" s="57"/>
    </row>
    <row r="10" spans="1:14">
      <c r="A10" s="61" t="s">
        <v>50</v>
      </c>
      <c r="B10" s="68">
        <f>(F10*K1*0.7)+(F10*K2*0.3)</f>
        <v>10655.352017635021</v>
      </c>
      <c r="C10" s="116">
        <f t="shared" si="1"/>
        <v>963.41893999999991</v>
      </c>
      <c r="D10" s="83">
        <f t="shared" si="2"/>
        <v>5132.7839730783962</v>
      </c>
      <c r="E10" s="82"/>
      <c r="F10" s="68">
        <v>47250</v>
      </c>
      <c r="I10" s="77"/>
      <c r="J10" s="57"/>
      <c r="N10" s="138"/>
    </row>
    <row r="11" spans="1:14">
      <c r="A11" s="61" t="s">
        <v>48</v>
      </c>
      <c r="B11" s="68">
        <f>F11*$K$2</f>
        <v>-609440.86694183468</v>
      </c>
      <c r="C11" s="116">
        <f t="shared" si="1"/>
        <v>963.41893999999991</v>
      </c>
      <c r="D11" s="83">
        <f t="shared" si="2"/>
        <v>-293573.43701089168</v>
      </c>
      <c r="E11" s="82"/>
      <c r="F11" s="68">
        <v>-2717083.0886444934</v>
      </c>
      <c r="J11" s="57"/>
      <c r="N11" s="57"/>
    </row>
    <row r="12" spans="1:14">
      <c r="A12" s="61" t="s">
        <v>86</v>
      </c>
      <c r="B12" s="68"/>
      <c r="C12" s="116">
        <f t="shared" si="1"/>
        <v>0</v>
      </c>
      <c r="D12" s="83">
        <f t="shared" si="2"/>
        <v>0</v>
      </c>
      <c r="E12" s="82"/>
      <c r="F12" s="68">
        <v>0</v>
      </c>
      <c r="I12" s="77"/>
    </row>
    <row r="13" spans="1:14" s="77" customFormat="1">
      <c r="A13" s="61" t="s">
        <v>138</v>
      </c>
      <c r="B13" s="68">
        <f>F13*K2</f>
        <v>105231.50995111951</v>
      </c>
      <c r="C13" s="116">
        <f t="shared" si="1"/>
        <v>963.41893999999991</v>
      </c>
      <c r="D13" s="83">
        <f t="shared" si="2"/>
        <v>50691.014885853496</v>
      </c>
      <c r="E13" s="82"/>
      <c r="F13" s="68">
        <v>469155.86333333328</v>
      </c>
      <c r="J13" s="57"/>
      <c r="N13" s="144"/>
    </row>
    <row r="14" spans="1:14">
      <c r="A14" s="61" t="s">
        <v>137</v>
      </c>
      <c r="B14" s="68">
        <f>F14*$K$2</f>
        <v>-141018.77882709578</v>
      </c>
      <c r="C14" s="116">
        <f>IF(B14&lt;&gt;0,$H$1,0)</f>
        <v>963.41893999999991</v>
      </c>
      <c r="D14" s="83">
        <f>(+B14*C14)/2000</f>
        <v>-67930.081208847521</v>
      </c>
      <c r="E14" s="82"/>
      <c r="F14" s="68">
        <v>-628707</v>
      </c>
      <c r="I14" s="77"/>
      <c r="J14" s="57"/>
    </row>
    <row r="15" spans="1:14" s="77" customFormat="1">
      <c r="A15" s="61"/>
      <c r="B15" s="68"/>
      <c r="C15" s="116"/>
      <c r="D15" s="83"/>
      <c r="E15" s="82"/>
      <c r="F15" s="68"/>
      <c r="J15" s="57"/>
    </row>
    <row r="16" spans="1:14" ht="15.75" thickBot="1">
      <c r="A16" s="22"/>
      <c r="B16" s="68">
        <f t="shared" ref="B16" si="3">F16*$K$2</f>
        <v>0</v>
      </c>
      <c r="C16" s="69">
        <v>0</v>
      </c>
      <c r="D16" s="83">
        <f t="shared" si="2"/>
        <v>0</v>
      </c>
      <c r="F16" s="130"/>
      <c r="G16" s="77"/>
      <c r="J16" s="57"/>
      <c r="N16" s="132"/>
    </row>
    <row r="17" spans="1:10" ht="16.5" thickTop="1" thickBot="1">
      <c r="A17" s="60"/>
      <c r="B17" s="70">
        <f>SUM(B4:B16)</f>
        <v>662440.50533861667</v>
      </c>
      <c r="C17" s="71"/>
      <c r="D17" s="72">
        <f>SUM(D4:D16)</f>
        <v>319103.86473319726</v>
      </c>
      <c r="F17" s="131">
        <f>SUM(F4:F16)</f>
        <v>2953117.5149315484</v>
      </c>
      <c r="G17" s="77"/>
      <c r="J17" s="148"/>
    </row>
    <row r="18" spans="1:10">
      <c r="J18" s="5"/>
    </row>
    <row r="19" spans="1:10">
      <c r="A19" s="63" t="str">
        <f>'Known Resources'!A45</f>
        <v>2018 Washington - WCA Allocation Factor</v>
      </c>
      <c r="B19" s="155">
        <f>'Known Resources'!B45</f>
        <v>0.22559655387912098</v>
      </c>
      <c r="D19" s="137"/>
      <c r="F19" s="132"/>
      <c r="J19" s="149"/>
    </row>
    <row r="20" spans="1:10">
      <c r="F20" s="132"/>
      <c r="J20" s="5"/>
    </row>
    <row r="21" spans="1:10">
      <c r="B21" s="134"/>
      <c r="D21" s="156"/>
      <c r="E21" s="57"/>
      <c r="F21" s="144"/>
    </row>
    <row r="22" spans="1:10">
      <c r="F22" s="132"/>
    </row>
    <row r="23" spans="1:10">
      <c r="A23" t="s">
        <v>127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77" customWidth="1"/>
    <col min="2" max="2" width="34.7109375" style="77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77" customWidth="1"/>
    <col min="8" max="8" width="13.42578125" style="77" customWidth="1"/>
    <col min="9" max="9" width="28.85546875" style="77" customWidth="1"/>
    <col min="11" max="16384" width="9.140625" style="77"/>
  </cols>
  <sheetData>
    <row r="2" spans="2:13">
      <c r="B2" s="84" t="s">
        <v>93</v>
      </c>
    </row>
    <row r="3" spans="2:13">
      <c r="B3" s="85" t="s">
        <v>116</v>
      </c>
      <c r="C3" s="86">
        <v>2013</v>
      </c>
      <c r="D3" s="86">
        <v>2014</v>
      </c>
      <c r="E3" s="86">
        <v>2015</v>
      </c>
      <c r="M3" s="76"/>
    </row>
    <row r="4" spans="2:13">
      <c r="B4" s="77" t="s">
        <v>94</v>
      </c>
      <c r="C4" s="87">
        <v>249411.34980000003</v>
      </c>
      <c r="D4" s="87">
        <v>588540.53559999994</v>
      </c>
      <c r="E4" s="87">
        <v>652575.45380000002</v>
      </c>
      <c r="F4" s="98" t="s">
        <v>117</v>
      </c>
      <c r="M4" s="76"/>
    </row>
    <row r="5" spans="2:13">
      <c r="B5" s="77" t="s">
        <v>45</v>
      </c>
      <c r="C5" s="87">
        <v>10737153.304823698</v>
      </c>
      <c r="D5" s="87">
        <v>9865275.1750967987</v>
      </c>
      <c r="E5" s="87">
        <v>9651660.6989069991</v>
      </c>
      <c r="F5" s="98" t="s">
        <v>117</v>
      </c>
      <c r="M5" s="76"/>
    </row>
    <row r="6" spans="2:13">
      <c r="B6" s="77" t="s">
        <v>44</v>
      </c>
      <c r="C6" s="87">
        <v>746836.73800000001</v>
      </c>
      <c r="D6" s="87">
        <v>1169354.4140000001</v>
      </c>
      <c r="E6" s="87">
        <v>489137.44500000001</v>
      </c>
      <c r="F6" s="98" t="s">
        <v>117</v>
      </c>
      <c r="M6" s="76"/>
    </row>
    <row r="7" spans="2:13">
      <c r="B7" s="77" t="s">
        <v>95</v>
      </c>
      <c r="C7" s="87">
        <v>1165015.3759999999</v>
      </c>
      <c r="D7" s="87">
        <v>1049272.4750000001</v>
      </c>
      <c r="E7" s="87">
        <v>1081686.5190000001</v>
      </c>
      <c r="F7" s="98" t="s">
        <v>117</v>
      </c>
      <c r="M7" s="76"/>
    </row>
    <row r="8" spans="2:13">
      <c r="B8" s="77" t="s">
        <v>96</v>
      </c>
      <c r="C8" s="97">
        <f>(C17*H47)</f>
        <v>6689.799422</v>
      </c>
      <c r="F8" s="98"/>
      <c r="M8" s="76"/>
    </row>
    <row r="9" spans="2:13">
      <c r="C9" s="87"/>
      <c r="D9" s="87"/>
      <c r="E9" s="87"/>
      <c r="F9" s="98"/>
      <c r="J9" s="77"/>
      <c r="M9" s="76"/>
    </row>
    <row r="10" spans="2:13">
      <c r="B10" s="85" t="s">
        <v>115</v>
      </c>
      <c r="C10" s="86">
        <v>2013</v>
      </c>
      <c r="D10" s="86">
        <v>2014</v>
      </c>
      <c r="E10" s="86">
        <v>2015</v>
      </c>
      <c r="F10" s="98"/>
      <c r="J10" s="77"/>
    </row>
    <row r="11" spans="2:13">
      <c r="B11" s="77" t="s">
        <v>94</v>
      </c>
      <c r="C11" s="93">
        <v>222792</v>
      </c>
      <c r="D11" s="93">
        <v>540252</v>
      </c>
      <c r="E11" s="93">
        <v>615241</v>
      </c>
      <c r="F11" s="98" t="s">
        <v>123</v>
      </c>
      <c r="J11" s="77"/>
    </row>
    <row r="12" spans="2:13">
      <c r="B12" s="77" t="s">
        <v>97</v>
      </c>
      <c r="C12" s="94">
        <v>9936388</v>
      </c>
      <c r="D12" s="94">
        <v>9364549</v>
      </c>
      <c r="E12" s="94">
        <v>9195773</v>
      </c>
      <c r="F12" s="98" t="s">
        <v>118</v>
      </c>
      <c r="J12" s="77"/>
    </row>
    <row r="13" spans="2:13">
      <c r="B13" s="77" t="s">
        <v>44</v>
      </c>
      <c r="C13" s="94">
        <v>1674194</v>
      </c>
      <c r="D13" s="94">
        <v>1558872</v>
      </c>
      <c r="E13" s="94">
        <v>698027</v>
      </c>
      <c r="F13" s="98" t="s">
        <v>118</v>
      </c>
      <c r="J13" s="77"/>
    </row>
    <row r="14" spans="2:13" hidden="1">
      <c r="B14" s="77" t="s">
        <v>98</v>
      </c>
      <c r="C14" s="94">
        <v>1293909</v>
      </c>
      <c r="D14" s="94">
        <v>1164903</v>
      </c>
      <c r="E14" s="94">
        <v>1202753</v>
      </c>
      <c r="F14" s="98" t="s">
        <v>99</v>
      </c>
      <c r="J14" s="77"/>
    </row>
    <row r="15" spans="2:13" hidden="1">
      <c r="B15" s="77" t="s">
        <v>100</v>
      </c>
      <c r="C15" s="94">
        <v>1293909</v>
      </c>
      <c r="D15" s="94">
        <v>1164903</v>
      </c>
      <c r="E15" s="94">
        <v>1202753</v>
      </c>
      <c r="F15" s="98" t="s">
        <v>99</v>
      </c>
      <c r="J15" s="77"/>
    </row>
    <row r="16" spans="2:13">
      <c r="B16" s="77" t="s">
        <v>95</v>
      </c>
      <c r="C16" s="94">
        <f>SUM(C14:C15)</f>
        <v>2587818</v>
      </c>
      <c r="D16" s="94">
        <f>SUM(D14:D15)</f>
        <v>2329806</v>
      </c>
      <c r="E16" s="94">
        <f>SUM(E14:E15)</f>
        <v>2405506</v>
      </c>
      <c r="F16" s="98" t="s">
        <v>120</v>
      </c>
      <c r="J16" s="77"/>
    </row>
    <row r="17" spans="2:10">
      <c r="B17" s="77" t="s">
        <v>96</v>
      </c>
      <c r="C17" s="94">
        <v>6124</v>
      </c>
      <c r="D17" s="94"/>
      <c r="E17" s="94"/>
      <c r="F17" s="98" t="s">
        <v>119</v>
      </c>
      <c r="J17" s="77"/>
    </row>
    <row r="18" spans="2:10">
      <c r="F18" s="98"/>
      <c r="J18" s="77"/>
    </row>
    <row r="19" spans="2:10" hidden="1">
      <c r="B19" s="77" t="s">
        <v>101</v>
      </c>
      <c r="F19" s="98"/>
      <c r="J19" s="77"/>
    </row>
    <row r="20" spans="2:10" hidden="1">
      <c r="B20" s="88"/>
      <c r="C20" s="95">
        <v>1157889</v>
      </c>
      <c r="D20" s="95">
        <v>1157889</v>
      </c>
      <c r="E20" s="95">
        <v>1157889</v>
      </c>
      <c r="F20" s="99"/>
      <c r="J20" s="77"/>
    </row>
    <row r="21" spans="2:10" hidden="1">
      <c r="B21" s="5"/>
      <c r="C21" s="96">
        <v>2377702</v>
      </c>
      <c r="D21" s="96">
        <v>2377702</v>
      </c>
      <c r="E21" s="96">
        <v>2377702</v>
      </c>
      <c r="F21" s="100"/>
      <c r="J21" s="77"/>
    </row>
    <row r="22" spans="2:10" hidden="1">
      <c r="B22" s="77" t="s">
        <v>102</v>
      </c>
      <c r="C22" s="87">
        <f t="shared" ref="C22:E22" si="0">SUM(C20:C21)</f>
        <v>3535591</v>
      </c>
      <c r="D22" s="87">
        <f t="shared" si="0"/>
        <v>3535591</v>
      </c>
      <c r="E22" s="87">
        <f t="shared" si="0"/>
        <v>3535591</v>
      </c>
      <c r="F22" s="98"/>
      <c r="J22" s="77"/>
    </row>
    <row r="23" spans="2:10" hidden="1">
      <c r="B23" s="77" t="s">
        <v>103</v>
      </c>
      <c r="F23" s="98"/>
      <c r="J23" s="77"/>
    </row>
    <row r="24" spans="2:10" hidden="1">
      <c r="B24" s="77" t="s">
        <v>104</v>
      </c>
      <c r="F24" s="98"/>
      <c r="J24" s="77"/>
    </row>
    <row r="25" spans="2:10" hidden="1">
      <c r="F25" s="98"/>
      <c r="J25" s="77"/>
    </row>
    <row r="26" spans="2:10" hidden="1">
      <c r="F26" s="98"/>
      <c r="J26" s="77"/>
    </row>
    <row r="27" spans="2:10" hidden="1">
      <c r="F27" s="98"/>
      <c r="J27" s="77"/>
    </row>
    <row r="28" spans="2:10" hidden="1">
      <c r="B28" s="77" t="s">
        <v>105</v>
      </c>
      <c r="C28" s="87">
        <v>2151957</v>
      </c>
      <c r="F28" s="98"/>
      <c r="J28" s="77"/>
    </row>
    <row r="29" spans="2:10" hidden="1">
      <c r="C29" s="93">
        <f>C28*$H46</f>
        <v>215195.7</v>
      </c>
      <c r="F29" s="98"/>
      <c r="J29" s="77"/>
    </row>
    <row r="30" spans="2:10" hidden="1">
      <c r="B30" s="77" t="s">
        <v>106</v>
      </c>
      <c r="C30" s="87">
        <v>2155070</v>
      </c>
      <c r="D30" s="87">
        <v>5055530</v>
      </c>
      <c r="F30" s="98"/>
      <c r="J30" s="77"/>
    </row>
    <row r="31" spans="2:10" hidden="1">
      <c r="C31" s="3">
        <f>C30*0.1</f>
        <v>215507</v>
      </c>
      <c r="D31" s="93">
        <f>D30*0.1</f>
        <v>505553</v>
      </c>
      <c r="F31" s="98"/>
      <c r="J31" s="77"/>
    </row>
    <row r="32" spans="2:10" hidden="1">
      <c r="F32" s="98"/>
      <c r="J32" s="77"/>
    </row>
    <row r="33" spans="2:10" hidden="1">
      <c r="F33" s="98"/>
      <c r="J33" s="77"/>
    </row>
    <row r="34" spans="2:10" hidden="1">
      <c r="F34" s="98"/>
      <c r="J34" s="77"/>
    </row>
    <row r="35" spans="2:10" hidden="1">
      <c r="F35" s="98"/>
      <c r="J35" s="77"/>
    </row>
    <row r="36" spans="2:10" s="90" customFormat="1">
      <c r="B36" s="89" t="s">
        <v>107</v>
      </c>
      <c r="C36" s="86">
        <v>2013</v>
      </c>
      <c r="D36" s="86">
        <v>2014</v>
      </c>
      <c r="E36" s="86">
        <v>2015</v>
      </c>
      <c r="F36" s="101"/>
    </row>
    <row r="37" spans="2:10" s="90" customFormat="1">
      <c r="B37" s="77" t="s">
        <v>94</v>
      </c>
      <c r="C37" s="102">
        <f>(C4*$H51)/C11</f>
        <v>2238.9614510395349</v>
      </c>
      <c r="D37" s="92">
        <f>(D4*$H51)/D11</f>
        <v>2178.7630054122887</v>
      </c>
      <c r="E37" s="92">
        <f>(E4*$H51)/E11</f>
        <v>2121.3652984765322</v>
      </c>
      <c r="F37" s="101"/>
    </row>
    <row r="38" spans="2:10">
      <c r="B38" s="77" t="s">
        <v>45</v>
      </c>
      <c r="C38" s="102">
        <f>(C5*$H51)/C12</f>
        <v>2161.1783486763397</v>
      </c>
      <c r="D38" s="92">
        <f>(D5*$H51)/D12</f>
        <v>2106.9407987713657</v>
      </c>
      <c r="E38" s="92">
        <f>(E5*$H51)/E12</f>
        <v>2099.1515773403712</v>
      </c>
      <c r="F38" s="98"/>
      <c r="J38" s="77"/>
    </row>
    <row r="39" spans="2:10">
      <c r="B39" s="77" t="s">
        <v>44</v>
      </c>
      <c r="C39" s="102">
        <f>(C6*$H51)/C13</f>
        <v>892.17466792976199</v>
      </c>
      <c r="D39" s="92">
        <f>(D6*$H51)/D13</f>
        <v>1500.2571269482037</v>
      </c>
      <c r="E39" s="92">
        <f>(E6*$H51)/E13</f>
        <v>1401.485744820759</v>
      </c>
      <c r="F39" s="98"/>
      <c r="J39" s="77"/>
    </row>
    <row r="40" spans="2:10">
      <c r="B40" s="77" t="s">
        <v>95</v>
      </c>
      <c r="C40" s="102">
        <f>(C7*$H51)/C16</f>
        <v>900.38432069024952</v>
      </c>
      <c r="D40" s="92">
        <f>(D7*$H51)/D16</f>
        <v>900.73806574452988</v>
      </c>
      <c r="E40" s="92">
        <f>(E7*$H51)/E16</f>
        <v>899.34219162205375</v>
      </c>
      <c r="F40" s="98"/>
      <c r="J40" s="77"/>
    </row>
    <row r="41" spans="2:10">
      <c r="B41" s="77" t="s">
        <v>96</v>
      </c>
      <c r="C41" s="102">
        <f>(C8*$H51)/C17</f>
        <v>2184.7809999999999</v>
      </c>
      <c r="D41" s="91"/>
      <c r="E41" s="91"/>
      <c r="F41" s="98"/>
      <c r="J41" s="77"/>
    </row>
    <row r="43" spans="2:10">
      <c r="B43" s="84" t="s">
        <v>112</v>
      </c>
      <c r="J43" s="77"/>
    </row>
    <row r="44" spans="2:10">
      <c r="B44" s="85" t="s">
        <v>114</v>
      </c>
      <c r="C44" s="86">
        <v>2013</v>
      </c>
      <c r="D44" s="86">
        <v>2014</v>
      </c>
      <c r="E44" s="86">
        <v>2015</v>
      </c>
      <c r="F44" s="77"/>
      <c r="G44" s="103" t="s">
        <v>108</v>
      </c>
      <c r="H44" s="104"/>
      <c r="I44"/>
      <c r="J44" s="76"/>
    </row>
    <row r="45" spans="2:10">
      <c r="B45" s="77" t="s">
        <v>113</v>
      </c>
      <c r="C45" s="94">
        <v>62089</v>
      </c>
      <c r="D45" s="94">
        <v>66234</v>
      </c>
      <c r="E45" s="94">
        <v>45774</v>
      </c>
      <c r="F45" s="77"/>
      <c r="G45" s="105" t="s">
        <v>45</v>
      </c>
      <c r="H45" s="106">
        <v>0.66669999999999996</v>
      </c>
      <c r="I45"/>
      <c r="J45" s="76"/>
    </row>
    <row r="46" spans="2:10">
      <c r="B46" s="77" t="s">
        <v>42</v>
      </c>
      <c r="C46" s="94">
        <v>227258</v>
      </c>
      <c r="D46" s="94">
        <v>216762</v>
      </c>
      <c r="E46" s="94">
        <v>186746</v>
      </c>
      <c r="F46" s="77"/>
      <c r="G46" s="105" t="s">
        <v>110</v>
      </c>
      <c r="H46" s="108">
        <v>0.1</v>
      </c>
      <c r="I46"/>
      <c r="J46" s="76"/>
    </row>
    <row r="47" spans="2:10">
      <c r="B47" s="77" t="s">
        <v>43</v>
      </c>
      <c r="C47" s="94">
        <v>206164</v>
      </c>
      <c r="D47" s="94">
        <v>215245</v>
      </c>
      <c r="E47" s="94">
        <v>188567</v>
      </c>
      <c r="F47" s="77"/>
      <c r="G47" s="109" t="s">
        <v>96</v>
      </c>
      <c r="H47" s="110">
        <v>1.0923905</v>
      </c>
      <c r="I47" s="111" t="s">
        <v>122</v>
      </c>
      <c r="J47" s="77"/>
    </row>
    <row r="48" spans="2:10">
      <c r="B48" s="77" t="s">
        <v>47</v>
      </c>
      <c r="C48" s="94">
        <v>485852</v>
      </c>
      <c r="D48" s="94">
        <v>542156</v>
      </c>
      <c r="E48" s="94">
        <v>436619</v>
      </c>
      <c r="F48" s="77"/>
      <c r="G48" s="112" t="s">
        <v>124</v>
      </c>
      <c r="H48" s="113"/>
      <c r="I48" s="5"/>
      <c r="J48" s="76"/>
    </row>
    <row r="49" spans="2:10">
      <c r="B49" s="77" t="s">
        <v>53</v>
      </c>
      <c r="C49" s="94">
        <v>1925</v>
      </c>
      <c r="D49" s="94">
        <v>2498</v>
      </c>
      <c r="E49" s="94">
        <v>2396</v>
      </c>
      <c r="F49" s="77"/>
      <c r="G49" s="105" t="s">
        <v>109</v>
      </c>
      <c r="H49" s="114">
        <v>0.90718500000000002</v>
      </c>
      <c r="I49" s="5"/>
      <c r="J49" s="76"/>
    </row>
    <row r="50" spans="2:10">
      <c r="B50" s="77" t="s">
        <v>54</v>
      </c>
      <c r="C50" s="94">
        <v>37778</v>
      </c>
      <c r="D50" s="94">
        <v>41246</v>
      </c>
      <c r="E50" s="94">
        <v>31575</v>
      </c>
      <c r="F50" s="77"/>
      <c r="G50" s="105" t="s">
        <v>121</v>
      </c>
      <c r="H50" s="114">
        <v>1.1023099999999999</v>
      </c>
      <c r="I50" s="5"/>
      <c r="J50" s="76"/>
    </row>
    <row r="51" spans="2:10">
      <c r="B51" s="77" t="s">
        <v>55</v>
      </c>
      <c r="C51" s="94">
        <v>39381</v>
      </c>
      <c r="D51" s="94">
        <v>44892</v>
      </c>
      <c r="E51" s="94">
        <v>32142</v>
      </c>
      <c r="G51" s="107" t="s">
        <v>111</v>
      </c>
      <c r="H51" s="115">
        <v>2000</v>
      </c>
      <c r="J51" s="77"/>
    </row>
    <row r="52" spans="2:10">
      <c r="B52" s="77" t="s">
        <v>56</v>
      </c>
      <c r="C52" s="94">
        <v>67577</v>
      </c>
      <c r="D52" s="94">
        <v>65390</v>
      </c>
      <c r="E52" s="94">
        <v>60539</v>
      </c>
      <c r="J52" s="77"/>
    </row>
    <row r="53" spans="2:10">
      <c r="B53" s="77" t="s">
        <v>57</v>
      </c>
      <c r="C53" s="94">
        <v>83609</v>
      </c>
      <c r="D53" s="94">
        <v>86439</v>
      </c>
      <c r="E53" s="94">
        <v>77098</v>
      </c>
      <c r="J53" s="77"/>
    </row>
    <row r="54" spans="2:10">
      <c r="B54" s="77" t="s">
        <v>58</v>
      </c>
      <c r="C54" s="94">
        <v>16334</v>
      </c>
      <c r="D54" s="94">
        <v>16187</v>
      </c>
      <c r="E54" s="94">
        <v>16857</v>
      </c>
      <c r="J54" s="77"/>
    </row>
    <row r="55" spans="2:10">
      <c r="B55" s="77" t="s">
        <v>59</v>
      </c>
      <c r="C55" s="94">
        <v>9864</v>
      </c>
      <c r="D55" s="94">
        <v>7396</v>
      </c>
      <c r="E55" s="94">
        <v>9699</v>
      </c>
      <c r="J55" s="77"/>
    </row>
    <row r="56" spans="2:10">
      <c r="B56" s="77" t="s">
        <v>60</v>
      </c>
      <c r="C56" s="94">
        <v>15766</v>
      </c>
      <c r="D56" s="94">
        <v>24132</v>
      </c>
      <c r="E56" s="94">
        <v>7941</v>
      </c>
      <c r="J56" s="77"/>
    </row>
    <row r="57" spans="2:10">
      <c r="B57" s="77" t="s">
        <v>61</v>
      </c>
      <c r="C57" s="94">
        <v>85349</v>
      </c>
      <c r="D57" s="94">
        <v>85550</v>
      </c>
      <c r="E57" s="94">
        <v>82043</v>
      </c>
      <c r="J57" s="77"/>
    </row>
    <row r="58" spans="2:10">
      <c r="B58" s="77" t="s">
        <v>62</v>
      </c>
      <c r="C58" s="94">
        <v>166834</v>
      </c>
      <c r="D58" s="94">
        <v>172588</v>
      </c>
      <c r="E58" s="94">
        <v>160121</v>
      </c>
      <c r="J58" s="77"/>
    </row>
    <row r="59" spans="2:10">
      <c r="B59" s="77" t="s">
        <v>63</v>
      </c>
      <c r="C59" s="94">
        <v>123888</v>
      </c>
      <c r="D59" s="94">
        <v>140861</v>
      </c>
      <c r="E59" s="94">
        <v>123550</v>
      </c>
      <c r="J59" s="77"/>
    </row>
    <row r="60" spans="2:10">
      <c r="B60" s="77" t="s">
        <v>64</v>
      </c>
      <c r="C60" s="94">
        <v>150001</v>
      </c>
      <c r="D60" s="94">
        <v>173729</v>
      </c>
      <c r="E60" s="94">
        <v>136640</v>
      </c>
      <c r="J60" s="77"/>
    </row>
    <row r="61" spans="2:10">
      <c r="B61" s="77" t="s">
        <v>65</v>
      </c>
      <c r="C61" s="94">
        <v>460852</v>
      </c>
      <c r="D61" s="94">
        <v>579582</v>
      </c>
      <c r="E61" s="94">
        <v>398837</v>
      </c>
      <c r="J61" s="77"/>
    </row>
    <row r="62" spans="2:10">
      <c r="B62" s="77" t="s">
        <v>66</v>
      </c>
      <c r="C62" s="94">
        <v>20789</v>
      </c>
      <c r="D62" s="94">
        <v>23728</v>
      </c>
      <c r="E62" s="94">
        <v>6378</v>
      </c>
      <c r="J62" s="77"/>
    </row>
    <row r="63" spans="2:10">
      <c r="B63" s="77" t="s">
        <v>76</v>
      </c>
      <c r="C63" s="94">
        <v>215139</v>
      </c>
      <c r="D63" s="94">
        <v>206474</v>
      </c>
      <c r="E63" s="94">
        <v>166763</v>
      </c>
      <c r="J63" s="77"/>
    </row>
    <row r="64" spans="2:10">
      <c r="B64" s="77" t="s">
        <v>75</v>
      </c>
      <c r="C64" s="94">
        <v>33745</v>
      </c>
      <c r="D64" s="94">
        <v>35937</v>
      </c>
      <c r="E64" s="94">
        <v>27781</v>
      </c>
      <c r="J64" s="77"/>
    </row>
    <row r="65" spans="2:10">
      <c r="B65" s="77" t="s">
        <v>74</v>
      </c>
      <c r="C65" s="94">
        <v>4178</v>
      </c>
      <c r="D65" s="94">
        <v>4567</v>
      </c>
      <c r="E65" s="94">
        <v>1219</v>
      </c>
      <c r="J65" s="77"/>
    </row>
    <row r="66" spans="2:10">
      <c r="B66" s="77" t="s">
        <v>73</v>
      </c>
      <c r="C66" s="94">
        <v>53119</v>
      </c>
      <c r="D66" s="94">
        <v>70420</v>
      </c>
      <c r="E66" s="94">
        <v>44735</v>
      </c>
      <c r="J66" s="77"/>
    </row>
    <row r="67" spans="2:10">
      <c r="B67" s="77" t="s">
        <v>72</v>
      </c>
      <c r="C67" s="94">
        <v>45782</v>
      </c>
      <c r="D67" s="94">
        <v>54071</v>
      </c>
      <c r="E67" s="94">
        <v>34278</v>
      </c>
      <c r="J67" s="77"/>
    </row>
    <row r="68" spans="2:10">
      <c r="B68" s="77" t="s">
        <v>71</v>
      </c>
      <c r="C68" s="94">
        <v>574493</v>
      </c>
      <c r="D68" s="94">
        <v>811753</v>
      </c>
      <c r="E68" s="94">
        <v>583525</v>
      </c>
      <c r="J68" s="77"/>
    </row>
    <row r="69" spans="2:10">
      <c r="B69" s="77" t="s">
        <v>70</v>
      </c>
      <c r="C69" s="94">
        <v>195898</v>
      </c>
      <c r="D69" s="94">
        <v>226366</v>
      </c>
      <c r="E69" s="94">
        <v>183992</v>
      </c>
      <c r="J69" s="77"/>
    </row>
    <row r="70" spans="2:10">
      <c r="B70" s="77" t="s">
        <v>69</v>
      </c>
      <c r="C70" s="94">
        <v>5340</v>
      </c>
      <c r="D70" s="94">
        <v>2354</v>
      </c>
      <c r="E70" s="94">
        <v>3490</v>
      </c>
      <c r="J70" s="77"/>
    </row>
    <row r="71" spans="2:10">
      <c r="B71" s="77" t="s">
        <v>68</v>
      </c>
      <c r="C71" s="94">
        <v>926</v>
      </c>
      <c r="D71" s="94">
        <v>55</v>
      </c>
      <c r="E71" s="94">
        <v>-21</v>
      </c>
      <c r="J71" s="77"/>
    </row>
    <row r="72" spans="2:10">
      <c r="B72" s="77" t="s">
        <v>67</v>
      </c>
      <c r="C72" s="94">
        <v>506285</v>
      </c>
      <c r="D72" s="94">
        <v>671963</v>
      </c>
      <c r="E72" s="94">
        <v>482067</v>
      </c>
      <c r="J72" s="77"/>
    </row>
    <row r="73" spans="2:10">
      <c r="J73" s="77"/>
    </row>
    <row r="74" spans="2:10">
      <c r="J74" s="77"/>
    </row>
    <row r="75" spans="2:10">
      <c r="J75" s="77"/>
    </row>
    <row r="76" spans="2:10">
      <c r="J76" s="77"/>
    </row>
    <row r="77" spans="2:10">
      <c r="J77" s="77"/>
    </row>
    <row r="78" spans="2:10">
      <c r="J78" s="77"/>
    </row>
    <row r="79" spans="2:10">
      <c r="J79" s="77"/>
    </row>
    <row r="80" spans="2:10">
      <c r="J80" s="77"/>
    </row>
    <row r="81" spans="10:10">
      <c r="J81" s="77"/>
    </row>
    <row r="82" spans="10:10">
      <c r="J82" s="77"/>
    </row>
    <row r="83" spans="10:10">
      <c r="J83" s="77"/>
    </row>
    <row r="84" spans="10:10">
      <c r="J84" s="77"/>
    </row>
    <row r="85" spans="10:10">
      <c r="J85" s="77"/>
    </row>
    <row r="86" spans="10:10">
      <c r="J86" s="77"/>
    </row>
    <row r="87" spans="10:10">
      <c r="J87" s="77"/>
    </row>
    <row r="88" spans="10:10">
      <c r="J88" s="77"/>
    </row>
    <row r="89" spans="10:10">
      <c r="J89" s="77"/>
    </row>
    <row r="90" spans="10:10">
      <c r="J90" s="77"/>
    </row>
    <row r="91" spans="10:10">
      <c r="J91" s="77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F860BDE1A14CE42BB0729C1135A8DC4" ma:contentTypeVersion="28" ma:contentTypeDescription="" ma:contentTypeScope="" ma:versionID="7a6a98ecd2f120f74378809085c23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2022-06-02T07:00:00+00:00</OpenedDate>
    <SignificantOrder xmlns="dc463f71-b30c-4ab2-9473-d307f9d35888">false</SignificantOrder>
    <Date1 xmlns="dc463f71-b30c-4ab2-9473-d307f9d35888">2022-06-02T07:00:00+00:00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220413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5C3A7B4-829E-423D-BEE6-E0B2324209D9}"/>
</file>

<file path=customXml/itemProps2.xml><?xml version="1.0" encoding="utf-8"?>
<ds:datastoreItem xmlns:ds="http://schemas.openxmlformats.org/officeDocument/2006/customXml" ds:itemID="{B7DB309E-5000-49B9-BC14-7295CF71F3F9}"/>
</file>

<file path=customXml/itemProps3.xml><?xml version="1.0" encoding="utf-8"?>
<ds:datastoreItem xmlns:ds="http://schemas.openxmlformats.org/officeDocument/2006/customXml" ds:itemID="{9AD833C4-410B-4D58-8956-A2F570D09789}"/>
</file>

<file path=customXml/itemProps4.xml><?xml version="1.0" encoding="utf-8"?>
<ds:datastoreItem xmlns:ds="http://schemas.openxmlformats.org/officeDocument/2006/customXml" ds:itemID="{4CD93564-AC7D-49AA-9773-427C264FC9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2018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</cp:lastModifiedBy>
  <dcterms:created xsi:type="dcterms:W3CDTF">2016-02-08T23:38:12Z</dcterms:created>
  <dcterms:modified xsi:type="dcterms:W3CDTF">2021-05-25T16:13:26Z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0x0101006E56B4D1795A2E4DB2F0B01679ED314A009F860BDE1A14CE42BB0729C1135A8DC4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