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RPS Reporting\2020\Attachment 5 Incremental Cost\"/>
    </mc:Choice>
  </mc:AlternateContent>
  <bookViews>
    <workbookView xWindow="3794" yWindow="0" windowWidth="15840" windowHeight="6424" tabRatio="792" firstSheet="1" activeTab="2"/>
  </bookViews>
  <sheets>
    <sheet name="REDACTED" sheetId="13" r:id="rId1"/>
    <sheet name="(2)(a)(i) One Time (all)" sheetId="4" r:id="rId2"/>
    <sheet name="(R)(2)(a)(ii)Annual2020estimate" sheetId="10" r:id="rId3"/>
    <sheet name="(2)(a)(iii)(A) and (B)" sheetId="9" r:id="rId4"/>
    <sheet name="(R) REC PURCHASES" sheetId="12" r:id="rId5"/>
  </sheets>
  <definedNames>
    <definedName name="_xlnm._FilterDatabase" localSheetId="4" hidden="1">'(R) REC PURCHASES'!$A$1:$AB$1</definedName>
    <definedName name="_xlnm.Print_Area" localSheetId="4">'(R) REC PURCHASES'!$C$4:$H$13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8" i="10" l="1"/>
  <c r="C21" i="9" l="1"/>
  <c r="H15" i="12" l="1"/>
  <c r="D16" i="9" s="1"/>
  <c r="F16" i="9" s="1"/>
  <c r="F26" i="10"/>
  <c r="E21" i="9"/>
  <c r="G42" i="10" l="1"/>
  <c r="A25" i="10" l="1"/>
  <c r="A24" i="10"/>
  <c r="A23" i="10"/>
  <c r="A22" i="10"/>
  <c r="A21" i="10"/>
  <c r="A20" i="10"/>
  <c r="A19" i="10"/>
  <c r="A18" i="10"/>
  <c r="A17" i="10"/>
  <c r="E25" i="4"/>
  <c r="E24" i="4"/>
  <c r="E23" i="4"/>
  <c r="E22" i="4"/>
  <c r="E21" i="4"/>
  <c r="E20" i="4"/>
  <c r="E19" i="4"/>
  <c r="E17" i="4"/>
  <c r="E18" i="4"/>
  <c r="B28" i="10" l="1"/>
  <c r="G26" i="10" l="1"/>
  <c r="G29" i="10"/>
  <c r="F38" i="10" l="1"/>
  <c r="C38" i="10"/>
  <c r="E29" i="10"/>
  <c r="E27" i="10"/>
  <c r="E28" i="10"/>
  <c r="B27" i="10"/>
  <c r="B29" i="10"/>
  <c r="E38" i="10"/>
  <c r="D38" i="10"/>
  <c r="B38" i="10"/>
  <c r="F30" i="10"/>
  <c r="F31" i="10" s="1"/>
  <c r="D30" i="10"/>
  <c r="D31" i="10" s="1"/>
  <c r="C30" i="10"/>
  <c r="C31" i="10" s="1"/>
  <c r="F17" i="9" l="1"/>
  <c r="D40" i="10"/>
  <c r="G40" i="10"/>
  <c r="C40" i="10"/>
  <c r="F40" i="10"/>
  <c r="C31" i="4" l="1"/>
  <c r="G30" i="4"/>
  <c r="H30" i="4" s="1"/>
  <c r="F31" i="4"/>
  <c r="G17" i="4" l="1"/>
  <c r="G26" i="4"/>
  <c r="G25" i="4"/>
  <c r="G24" i="4"/>
  <c r="G23" i="4"/>
  <c r="G22" i="4"/>
  <c r="G21" i="4"/>
  <c r="G20" i="4"/>
  <c r="G19" i="4"/>
  <c r="G18" i="4"/>
  <c r="B20" i="10" l="1"/>
  <c r="E20" i="10"/>
  <c r="H20" i="4"/>
  <c r="B9" i="9"/>
  <c r="D9" i="9" s="1"/>
  <c r="F9" i="9" s="1"/>
  <c r="E21" i="10"/>
  <c r="B21" i="10"/>
  <c r="H21" i="4"/>
  <c r="B10" i="9"/>
  <c r="D10" i="9" s="1"/>
  <c r="F10" i="9" s="1"/>
  <c r="E25" i="10"/>
  <c r="B25" i="10"/>
  <c r="H25" i="4"/>
  <c r="B14" i="9"/>
  <c r="D14" i="9" s="1"/>
  <c r="F14" i="9" s="1"/>
  <c r="B18" i="10"/>
  <c r="E18" i="10"/>
  <c r="H18" i="4"/>
  <c r="B7" i="9"/>
  <c r="D7" i="9" s="1"/>
  <c r="F7" i="9" s="1"/>
  <c r="B22" i="10"/>
  <c r="E22" i="10"/>
  <c r="H22" i="4"/>
  <c r="B11" i="9"/>
  <c r="D11" i="9" s="1"/>
  <c r="F11" i="9" s="1"/>
  <c r="B24" i="10"/>
  <c r="E24" i="10"/>
  <c r="H24" i="4"/>
  <c r="B13" i="9"/>
  <c r="D13" i="9" s="1"/>
  <c r="F13" i="9" s="1"/>
  <c r="E19" i="10"/>
  <c r="B19" i="10"/>
  <c r="H19" i="4"/>
  <c r="B8" i="9"/>
  <c r="D8" i="9" s="1"/>
  <c r="F8" i="9" s="1"/>
  <c r="E23" i="10"/>
  <c r="B23" i="10"/>
  <c r="H23" i="4"/>
  <c r="B12" i="9"/>
  <c r="D12" i="9" s="1"/>
  <c r="F12" i="9" s="1"/>
  <c r="E17" i="10"/>
  <c r="B17" i="10"/>
  <c r="H17" i="4"/>
  <c r="B6" i="9"/>
  <c r="H26" i="4"/>
  <c r="G31" i="4"/>
  <c r="D6" i="9" l="1"/>
  <c r="F6" i="9" s="1"/>
  <c r="B21" i="9"/>
  <c r="D21" i="9" s="1"/>
  <c r="H31" i="4"/>
  <c r="G34" i="4" s="1"/>
  <c r="E30" i="10"/>
  <c r="E31" i="10" s="1"/>
  <c r="E40" i="10" s="1"/>
  <c r="G43" i="10" s="1"/>
  <c r="B30" i="10"/>
  <c r="B31" i="10" s="1"/>
  <c r="B40" i="10" s="1"/>
  <c r="D43" i="10" s="1"/>
  <c r="F21" i="9" l="1"/>
  <c r="F22" i="9" s="1"/>
  <c r="B44" i="10"/>
  <c r="E44" i="10"/>
</calcChain>
</file>

<file path=xl/sharedStrings.xml><?xml version="1.0" encoding="utf-8"?>
<sst xmlns="http://schemas.openxmlformats.org/spreadsheetml/2006/main" count="114" uniqueCount="88">
  <si>
    <t>480-109-210(2)(a)(i) Utility must make a one-time calculation of incremental cost for each eligible resource at the time of acquisition or, for historic acquisitions, the best information available at the time of acquistion</t>
  </si>
  <si>
    <t>(A)</t>
  </si>
  <si>
    <t>Resource</t>
  </si>
  <si>
    <t>ENERGY</t>
  </si>
  <si>
    <t xml:space="preserve">ALL RESOURCES TOTAL INCREMENTAL COST =                 ENERGY + CAPACITY                                        </t>
  </si>
  <si>
    <r>
      <t xml:space="preserve">Formula </t>
    </r>
    <r>
      <rPr>
        <b/>
        <u/>
        <sz val="12"/>
        <color theme="1"/>
        <rFont val="Calibri"/>
        <family val="2"/>
        <scheme val="minor"/>
      </rPr>
      <t>One Time Calculation</t>
    </r>
    <r>
      <rPr>
        <sz val="12"/>
        <color theme="1"/>
        <rFont val="Calibri"/>
        <family val="2"/>
        <scheme val="minor"/>
      </rPr>
      <t xml:space="preserve"> of Incremental Cost:
Energy-Levelized Incremental Cost:
[Levelized Cost Eligible Renewable Resource – Levelized Cost Alternative]
Capacity-Levelized Incremental Cost:
[Levelized Cost Eligible Renewable Resource – Levelized Cost Alternative]
Energy + Capacity = Incremental Cost
</t>
    </r>
  </si>
  <si>
    <t>480-109-210(2)(a)(ii) Utility must annually calculate its revenue requirement ratio for 1) All Resources 2) Required Resources Target Year</t>
  </si>
  <si>
    <r>
      <t xml:space="preserve">Formula </t>
    </r>
    <r>
      <rPr>
        <b/>
        <u/>
        <sz val="12"/>
        <color theme="1"/>
        <rFont val="Calibri"/>
        <family val="2"/>
        <scheme val="minor"/>
      </rPr>
      <t>Annual Calculation</t>
    </r>
    <r>
      <rPr>
        <sz val="12"/>
        <color theme="1"/>
        <rFont val="Calibri"/>
        <family val="2"/>
        <scheme val="minor"/>
      </rPr>
      <t xml:space="preserve"> of Incremental Cost (Revenue Requirement Ratio):
1) Total Incremental Cost All* Resources:
{[sum of incremental costs of All* eligible resources + cost of unbundled RECs] - [revenue RECs]} / annual revenue requirement
</t>
    </r>
    <r>
      <rPr>
        <i/>
        <sz val="12"/>
        <color theme="1"/>
        <rFont val="Calibri"/>
        <family val="2"/>
        <scheme val="minor"/>
      </rPr>
      <t xml:space="preserve"> *required because of excess generation, Avista needs to report 2 incremental costs </t>
    </r>
    <r>
      <rPr>
        <sz val="12"/>
        <color theme="1"/>
        <rFont val="Calibri"/>
        <family val="2"/>
        <scheme val="minor"/>
      </rPr>
      <t xml:space="preserve">
2) Total Incremental Cost Required Resources for Target Year:
{[sum of incremental costs of Target Year* eligible resources used for target year compliance + cost of unbundled RECs] - [revenue RECs]} / annual revenue requirement
</t>
    </r>
  </si>
  <si>
    <t>sum of incremental costs of all eligible resources</t>
  </si>
  <si>
    <t>Total Incremental Cost (as dollar $ amt.)</t>
  </si>
  <si>
    <t>MWh</t>
  </si>
  <si>
    <t>Number of Megawatt-hours Needed for Target Year Compliance</t>
  </si>
  <si>
    <t>(B)</t>
  </si>
  <si>
    <t>Total Incremental Cost ($/MWh)</t>
  </si>
  <si>
    <t>Utility must (A) report its total incremental cost as a dollar amount and in dollars per megawatt-hour of renewable energy generated by all eligible renewable resources in the calcualtion (a)(i) of this subsection; and (B) multiply the dollars per megawatt-hour cost calculated in (a)(iii)(A) of this subsection by the number of megawatt-hours needed for target year compliance.</t>
  </si>
  <si>
    <t>RECs purchased</t>
  </si>
  <si>
    <t>Total Incremental Cost ($/MWh) Multiplied by Number of Megawatt-hours Needed for Target Year Compliance</t>
  </si>
  <si>
    <t>Levelized Cost Alternative ($/MWh)</t>
  </si>
  <si>
    <t>Levelized Cost Alternative ($/kW-yr)</t>
  </si>
  <si>
    <t>Energy</t>
  </si>
  <si>
    <t>Capacity</t>
  </si>
  <si>
    <t>Levelized Cost Eligible Renewable Resource ($/REC/MWh)</t>
  </si>
  <si>
    <t>Total Alternative Cost ($)</t>
  </si>
  <si>
    <t>Incremental Cost ($)</t>
  </si>
  <si>
    <t>Total Renewable Resource Cost</t>
  </si>
  <si>
    <t>$</t>
  </si>
  <si>
    <t>Total</t>
  </si>
  <si>
    <t>Washington Share</t>
  </si>
  <si>
    <t>Total Annual Cost ($)</t>
  </si>
  <si>
    <t>Total WA Only Resources</t>
  </si>
  <si>
    <t>Total WA Share of Costs</t>
  </si>
  <si>
    <t>NOTES</t>
  </si>
  <si>
    <t>TARGET YEAR: FORCAST SUBJECT TO CHANGE</t>
  </si>
  <si>
    <t>ALL AVAILABLE RESOURCES ESTIMATED</t>
  </si>
  <si>
    <t>Note 1: WAC 480-109-210 (2) (G): Legacy resources. Any eligible resource that the utility acquired prior to March 31, 1999, is deemed to have an incremental cost of zero.</t>
  </si>
  <si>
    <t>Baker River Project - Lower Baker Unit 3</t>
  </si>
  <si>
    <t>Snoqualmie Falls - Snoqualmie Falls Units 1-4</t>
  </si>
  <si>
    <t>Wild Horse - Wild Horse</t>
  </si>
  <si>
    <t>Hopkins Ridge - Hopkins Ridge</t>
  </si>
  <si>
    <t>Wild Horse - Wild Horse - Phase II</t>
  </si>
  <si>
    <t>Hopkins Ridge - Hopkins Ridge Phase II</t>
  </si>
  <si>
    <t>Lower Snake River - Dodge Junction - LSR-Dodge Junction</t>
  </si>
  <si>
    <t>Lower Snake River - Phalen Gulch - LSR-Phalen Gulch</t>
  </si>
  <si>
    <t>Klondike III - Klondike Wind Power III LLC</t>
  </si>
  <si>
    <t>Washington Share:</t>
  </si>
  <si>
    <t>Resource--Washington Only</t>
  </si>
  <si>
    <t>Revenue from REC sales/Note 1</t>
  </si>
  <si>
    <t>Attachment 5</t>
  </si>
  <si>
    <t xml:space="preserve">CALCULATION 1 (Note 2): </t>
  </si>
  <si>
    <t>Apprenticeship Credits for Eligible Resources</t>
  </si>
  <si>
    <t>**Note--These facilities qualify for apprenticeship credits therefore requiring less MWh for compliance</t>
  </si>
  <si>
    <t>(Avg cost/MWH for resources used)</t>
  </si>
  <si>
    <t>Annual Revenue Requirement (most recent rate case)  (Note 3)</t>
  </si>
  <si>
    <t>Total Renewable Portfolio</t>
  </si>
  <si>
    <t xml:space="preserve">  </t>
  </si>
  <si>
    <r>
      <t>Note 2: To calculate revenue requirements all costs/revenues are multiplied by</t>
    </r>
    <r>
      <rPr>
        <sz val="11"/>
        <rFont val="Calibri"/>
        <family val="2"/>
        <scheme val="minor"/>
      </rPr>
      <t xml:space="preserve"> 1.047614</t>
    </r>
    <r>
      <rPr>
        <sz val="11"/>
        <color theme="1"/>
        <rFont val="Calibri"/>
        <family val="2"/>
        <scheme val="minor"/>
      </rPr>
      <t xml:space="preserve">  to account for Washington's share Excise Tax, Uncollectibles and Commission Fees.</t>
    </r>
  </si>
  <si>
    <t>CALCULATION 2 (Note 2):</t>
  </si>
  <si>
    <t>Note 3: Figure reflects Revenue Requirement from PSE's 2017 General Rate Case, after adjusting for Tax Cuts and Job Acts ("Tax Reform") updates approved by the Commission in Docket UE-180282</t>
  </si>
  <si>
    <t>(iii)(A) &amp; (B) Annual Reporting Summary Data: 2020</t>
  </si>
  <si>
    <t>2020 Estimated Data: Annual Calculation of Revenue Requirement Ratio</t>
  </si>
  <si>
    <t>Total REC Purchases</t>
  </si>
  <si>
    <t>Total Wind REC Purchases</t>
  </si>
  <si>
    <t>Total Cost</t>
  </si>
  <si>
    <t>RECs</t>
  </si>
  <si>
    <t>Cost/REC</t>
  </si>
  <si>
    <t>Total Bio-Gas REC Purchases</t>
  </si>
  <si>
    <t>Various REC Purchases - Note 4</t>
  </si>
  <si>
    <t>PUGET SOUND ENERGY 2020 RPS REPORT</t>
  </si>
  <si>
    <t>Varioius REC Purchases (Note 1)</t>
  </si>
  <si>
    <t xml:space="preserve">Hopkins Ridge - Hopkins Ridge </t>
  </si>
  <si>
    <t>Lower Snake River - Phalen Gulch - LSR-Phalen Gulch** (Vintages 2019 &amp; 2020)</t>
  </si>
  <si>
    <t>Wild Horse - Wild Horse - Phase II ** (Vintages 2019 &amp; 2020)</t>
  </si>
  <si>
    <t>Lower Snake River - Dodge Junction - LSR-Dodge Junction** (Vintages 2019 &amp; 2020)</t>
  </si>
  <si>
    <t>Klondike III - Klondike Wind Power III LLC (Vintages 2019 &amp; 2020)</t>
  </si>
  <si>
    <t>Hopkins Ridge - Hopkins Ridge Phase II (Vintages 2019 &amp; 2020)</t>
  </si>
  <si>
    <t>avg $/MWH</t>
  </si>
  <si>
    <t xml:space="preserve">             Electric Revenue Requirement as originally approved in UE-170033 was $2,069,159,344.  Utilizing the pre-tax reform revenue requirement results in a   1.408% revenue requirement ratio </t>
  </si>
  <si>
    <t xml:space="preserve"> REC Sales</t>
  </si>
  <si>
    <t xml:space="preserve">         it would not be appropriate to include again in annual costs.    Additionally, no vintage 2020 RECS sold to date.</t>
  </si>
  <si>
    <t xml:space="preserve">Note 4: Purchased RECs are part of PSE's REC optimization strategy in order to reduce customer costs associated with RPS compliance. </t>
  </si>
  <si>
    <t xml:space="preserve">Note 1: Purchased RECs are part of PSE's REC optimization strategy in order to reduce customer costs associated with RPS compliance.  PSE sold portion of PNW wind RECs at a premium and purchased lower costing  I-937 compliant RECs.   </t>
  </si>
  <si>
    <t>These savings are provided to customers through PSE's REC tracker.</t>
  </si>
  <si>
    <t xml:space="preserve">             PSE sold portion of PNW wind RECs at a premium and purchased lower costing I-937 compliant RECs. These savings are  provided to customers through PSE's REC tracker.</t>
  </si>
  <si>
    <t xml:space="preserve">Note 1:  Includes only benefit of Vintage 2019 REC sales.  Benefit of REC sales for Vintage 2012 through 2019 were considered and included in original one time calculation of incremental costs, therefore </t>
  </si>
  <si>
    <t>SHADDED INFORMATION IS DESIGNATED CONFIDENTIAL PER WAC 480-07-160</t>
  </si>
  <si>
    <t>SHADED INFORMATION IS DESIGNATED CONFIDENTIAL PER WAC 480-07-160</t>
  </si>
  <si>
    <t>REDACTED VERSION</t>
  </si>
  <si>
    <t>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</si>
</sst>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_(&quot;$&quot;* #,##0_);_(&quot;$&quot;* \(#,##0\);_(&quot;$&quot;* &quot;-&quot;??_);_(@_)"/>
  </numFmts>
  <fonts count="2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rgb="FFFF0000"/>
      <name val="Times New Roman"/>
      <family val="1"/>
    </font>
    <font>
      <sz val="11"/>
      <name val="Times New Roman"/>
      <family val="1"/>
    </font>
    <font>
      <b/>
      <i/>
      <sz val="11"/>
      <color rgb="FFFF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6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FFFF00"/>
      </left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/>
      <top style="thin">
        <color indexed="64"/>
      </top>
      <bottom/>
      <diagonal/>
    </border>
    <border>
      <left style="medium">
        <color rgb="FFFFFF00"/>
      </left>
      <right style="medium">
        <color rgb="FFFFFF00"/>
      </right>
      <top/>
      <bottom/>
      <diagonal/>
    </border>
    <border>
      <left style="medium">
        <color rgb="FFFFFF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rgb="FFFFFF00"/>
      </top>
      <bottom style="thin">
        <color rgb="FFFFFF00"/>
      </bottom>
      <diagonal/>
    </border>
    <border>
      <left style="medium">
        <color rgb="FFFFFF00"/>
      </left>
      <right style="medium">
        <color rgb="FFFFFF00"/>
      </right>
      <top/>
      <bottom style="medium">
        <color rgb="FFFFFF00"/>
      </bottom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 style="medium">
        <color rgb="FFFFFF00"/>
      </left>
      <right style="medium">
        <color rgb="FFFFFF00"/>
      </right>
      <top style="medium">
        <color rgb="FFFFFF00"/>
      </top>
      <bottom style="medium">
        <color rgb="FFFFFF00"/>
      </bottom>
      <diagonal/>
    </border>
  </borders>
  <cellStyleXfs count="6">
    <xf numFmtId="0" fontId="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 applyNumberFormat="0" applyFont="0" applyFill="0" applyBorder="0" applyAlignment="0" applyProtection="0">
      <alignment vertical="top"/>
      <protection locked="0"/>
    </xf>
    <xf numFmtId="0" fontId="19" fillId="0" borderId="0"/>
  </cellStyleXfs>
  <cellXfs count="226">
    <xf numFmtId="0" fontId="0" fillId="0" borderId="0" xfId="0"/>
    <xf numFmtId="0" fontId="3" fillId="0" borderId="0" xfId="0" applyFont="1" applyBorder="1" applyAlignment="1"/>
    <xf numFmtId="0" fontId="8" fillId="0" borderId="0" xfId="0" applyFont="1" applyBorder="1" applyAlignment="1"/>
    <xf numFmtId="0" fontId="0" fillId="0" borderId="0" xfId="0" applyBorder="1" applyAlignment="1"/>
    <xf numFmtId="0" fontId="5" fillId="0" borderId="0" xfId="0" applyFont="1"/>
    <xf numFmtId="164" fontId="0" fillId="0" borderId="12" xfId="1" applyNumberFormat="1" applyFont="1" applyBorder="1"/>
    <xf numFmtId="164" fontId="0" fillId="0" borderId="13" xfId="1" applyNumberFormat="1" applyFont="1" applyBorder="1"/>
    <xf numFmtId="0" fontId="0" fillId="0" borderId="0" xfId="0"/>
    <xf numFmtId="0" fontId="4" fillId="0" borderId="0" xfId="0" applyFont="1"/>
    <xf numFmtId="0" fontId="0" fillId="0" borderId="13" xfId="0" applyBorder="1"/>
    <xf numFmtId="43" fontId="0" fillId="0" borderId="12" xfId="1" applyNumberFormat="1" applyFont="1" applyBorder="1"/>
    <xf numFmtId="43" fontId="0" fillId="0" borderId="13" xfId="1" applyNumberFormat="1" applyFont="1" applyBorder="1"/>
    <xf numFmtId="43" fontId="0" fillId="0" borderId="13" xfId="1" applyFont="1" applyBorder="1" applyAlignment="1">
      <alignment horizontal="right"/>
    </xf>
    <xf numFmtId="0" fontId="3" fillId="0" borderId="15" xfId="0" applyFont="1" applyBorder="1" applyAlignment="1"/>
    <xf numFmtId="0" fontId="0" fillId="0" borderId="15" xfId="0" applyFill="1" applyBorder="1"/>
    <xf numFmtId="0" fontId="0" fillId="0" borderId="18" xfId="0" applyFill="1" applyBorder="1"/>
    <xf numFmtId="164" fontId="5" fillId="0" borderId="12" xfId="1" applyNumberFormat="1" applyFont="1" applyBorder="1"/>
    <xf numFmtId="164" fontId="5" fillId="0" borderId="12" xfId="1" applyNumberFormat="1" applyFont="1" applyFill="1" applyBorder="1"/>
    <xf numFmtId="0" fontId="5" fillId="0" borderId="12" xfId="0" applyFont="1" applyBorder="1" applyAlignment="1">
      <alignment wrapText="1"/>
    </xf>
    <xf numFmtId="16" fontId="5" fillId="0" borderId="12" xfId="0" applyNumberFormat="1" applyFont="1" applyBorder="1"/>
    <xf numFmtId="164" fontId="5" fillId="0" borderId="12" xfId="1" applyNumberFormat="1" applyFont="1" applyBorder="1" applyAlignment="1">
      <alignment wrapText="1"/>
    </xf>
    <xf numFmtId="0" fontId="5" fillId="0" borderId="12" xfId="0" applyFont="1" applyBorder="1"/>
    <xf numFmtId="164" fontId="5" fillId="0" borderId="12" xfId="1" applyNumberFormat="1" applyFont="1" applyBorder="1" applyAlignment="1">
      <alignment horizontal="right"/>
    </xf>
    <xf numFmtId="164" fontId="5" fillId="0" borderId="12" xfId="1" applyNumberFormat="1" applyFont="1" applyBorder="1" applyAlignment="1">
      <alignment horizontal="right" wrapText="1"/>
    </xf>
    <xf numFmtId="0" fontId="0" fillId="0" borderId="26" xfId="0" applyBorder="1"/>
    <xf numFmtId="164" fontId="0" fillId="0" borderId="30" xfId="1" applyNumberFormat="1" applyFont="1" applyBorder="1"/>
    <xf numFmtId="43" fontId="0" fillId="0" borderId="28" xfId="1" applyFont="1" applyBorder="1" applyAlignment="1">
      <alignment horizontal="right"/>
    </xf>
    <xf numFmtId="164" fontId="0" fillId="0" borderId="28" xfId="1" applyNumberFormat="1" applyFont="1" applyBorder="1"/>
    <xf numFmtId="0" fontId="0" fillId="0" borderId="0" xfId="0" applyFont="1"/>
    <xf numFmtId="0" fontId="0" fillId="0" borderId="21" xfId="0" applyFont="1" applyFill="1" applyBorder="1" applyAlignment="1">
      <alignment horizontal="right" wrapText="1"/>
    </xf>
    <xf numFmtId="0" fontId="0" fillId="0" borderId="27" xfId="0" applyFont="1" applyFill="1" applyBorder="1" applyAlignment="1">
      <alignment horizontal="right" wrapText="1"/>
    </xf>
    <xf numFmtId="0" fontId="0" fillId="0" borderId="22" xfId="0" applyFont="1" applyBorder="1" applyAlignment="1">
      <alignment horizontal="right"/>
    </xf>
    <xf numFmtId="16" fontId="0" fillId="0" borderId="24" xfId="0" applyNumberFormat="1" applyFont="1" applyBorder="1"/>
    <xf numFmtId="164" fontId="0" fillId="0" borderId="25" xfId="0" applyNumberFormat="1" applyFont="1" applyBorder="1" applyAlignment="1">
      <alignment horizontal="right"/>
    </xf>
    <xf numFmtId="0" fontId="0" fillId="0" borderId="24" xfId="0" applyFont="1" applyBorder="1"/>
    <xf numFmtId="0" fontId="0" fillId="0" borderId="26" xfId="0" applyFont="1" applyBorder="1"/>
    <xf numFmtId="0" fontId="0" fillId="0" borderId="12" xfId="0" applyFont="1" applyBorder="1"/>
    <xf numFmtId="0" fontId="0" fillId="0" borderId="30" xfId="0" applyFont="1" applyBorder="1"/>
    <xf numFmtId="0" fontId="0" fillId="0" borderId="26" xfId="0" applyFont="1" applyFill="1" applyBorder="1"/>
    <xf numFmtId="0" fontId="0" fillId="0" borderId="13" xfId="0" applyFont="1" applyBorder="1"/>
    <xf numFmtId="164" fontId="0" fillId="0" borderId="23" xfId="0" applyNumberFormat="1" applyFont="1" applyBorder="1" applyAlignment="1">
      <alignment horizontal="right"/>
    </xf>
    <xf numFmtId="164" fontId="0" fillId="0" borderId="17" xfId="0" applyNumberFormat="1" applyFont="1" applyBorder="1"/>
    <xf numFmtId="0" fontId="0" fillId="0" borderId="17" xfId="0" applyFont="1" applyBorder="1"/>
    <xf numFmtId="0" fontId="0" fillId="0" borderId="17" xfId="0" applyFont="1" applyBorder="1" applyAlignment="1">
      <alignment wrapText="1"/>
    </xf>
    <xf numFmtId="164" fontId="0" fillId="0" borderId="17" xfId="0" applyNumberFormat="1" applyFont="1" applyBorder="1" applyAlignment="1">
      <alignment wrapText="1"/>
    </xf>
    <xf numFmtId="164" fontId="0" fillId="0" borderId="16" xfId="0" applyNumberFormat="1" applyFont="1" applyBorder="1" applyAlignment="1">
      <alignment horizontal="right"/>
    </xf>
    <xf numFmtId="0" fontId="12" fillId="0" borderId="0" xfId="0" applyFont="1"/>
    <xf numFmtId="10" fontId="13" fillId="0" borderId="16" xfId="0" applyNumberFormat="1" applyFont="1" applyFill="1" applyBorder="1"/>
    <xf numFmtId="0" fontId="0" fillId="0" borderId="12" xfId="0" applyFont="1" applyFill="1" applyBorder="1"/>
    <xf numFmtId="0" fontId="3" fillId="0" borderId="15" xfId="0" applyFont="1" applyBorder="1" applyAlignment="1">
      <alignment horizontal="left" indent="1"/>
    </xf>
    <xf numFmtId="0" fontId="0" fillId="0" borderId="7" xfId="0" applyFill="1" applyBorder="1"/>
    <xf numFmtId="164" fontId="0" fillId="0" borderId="8" xfId="0" applyNumberFormat="1" applyBorder="1"/>
    <xf numFmtId="164" fontId="0" fillId="0" borderId="0" xfId="0" applyNumberFormat="1" applyBorder="1"/>
    <xf numFmtId="0" fontId="3" fillId="0" borderId="15" xfId="0" applyFont="1" applyFill="1" applyBorder="1"/>
    <xf numFmtId="16" fontId="0" fillId="0" borderId="14" xfId="0" applyNumberFormat="1" applyBorder="1"/>
    <xf numFmtId="37" fontId="0" fillId="0" borderId="14" xfId="1" applyNumberFormat="1" applyFont="1" applyBorder="1"/>
    <xf numFmtId="37" fontId="0" fillId="0" borderId="14" xfId="0" applyNumberFormat="1" applyBorder="1"/>
    <xf numFmtId="37" fontId="0" fillId="0" borderId="12" xfId="1" applyNumberFormat="1" applyFont="1" applyBorder="1"/>
    <xf numFmtId="37" fontId="0" fillId="0" borderId="12" xfId="0" applyNumberFormat="1" applyBorder="1"/>
    <xf numFmtId="37" fontId="0" fillId="0" borderId="13" xfId="0" applyNumberFormat="1" applyBorder="1"/>
    <xf numFmtId="37" fontId="0" fillId="0" borderId="17" xfId="0" applyNumberFormat="1" applyBorder="1"/>
    <xf numFmtId="37" fontId="0" fillId="0" borderId="16" xfId="0" applyNumberFormat="1" applyBorder="1"/>
    <xf numFmtId="37" fontId="3" fillId="0" borderId="17" xfId="0" applyNumberFormat="1" applyFont="1" applyBorder="1"/>
    <xf numFmtId="37" fontId="3" fillId="0" borderId="16" xfId="0" applyNumberFormat="1" applyFont="1" applyBorder="1"/>
    <xf numFmtId="37" fontId="0" fillId="0" borderId="13" xfId="1" applyNumberFormat="1" applyFont="1" applyBorder="1"/>
    <xf numFmtId="37" fontId="0" fillId="0" borderId="19" xfId="0" applyNumberFormat="1" applyBorder="1"/>
    <xf numFmtId="37" fontId="0" fillId="0" borderId="20" xfId="0" applyNumberFormat="1" applyBorder="1"/>
    <xf numFmtId="37" fontId="0" fillId="0" borderId="12" xfId="1" applyNumberFormat="1" applyFont="1" applyBorder="1" applyAlignment="1">
      <alignment horizontal="right"/>
    </xf>
    <xf numFmtId="0" fontId="14" fillId="0" borderId="0" xfId="0" applyFont="1"/>
    <xf numFmtId="43" fontId="0" fillId="0" borderId="13" xfId="0" applyNumberFormat="1" applyFont="1" applyBorder="1"/>
    <xf numFmtId="37" fontId="0" fillId="0" borderId="0" xfId="0" applyNumberFormat="1" applyBorder="1"/>
    <xf numFmtId="0" fontId="0" fillId="0" borderId="3" xfId="0" applyFill="1" applyBorder="1"/>
    <xf numFmtId="37" fontId="0" fillId="0" borderId="3" xfId="0" applyNumberFormat="1" applyBorder="1"/>
    <xf numFmtId="0" fontId="3" fillId="0" borderId="31" xfId="0" applyFont="1" applyFill="1" applyBorder="1"/>
    <xf numFmtId="37" fontId="0" fillId="0" borderId="31" xfId="0" applyNumberFormat="1" applyBorder="1"/>
    <xf numFmtId="43" fontId="0" fillId="0" borderId="12" xfId="1" applyNumberFormat="1" applyFont="1" applyFill="1" applyBorder="1"/>
    <xf numFmtId="0" fontId="3" fillId="0" borderId="0" xfId="0" applyFont="1"/>
    <xf numFmtId="0" fontId="15" fillId="0" borderId="0" xfId="0" applyFont="1"/>
    <xf numFmtId="0" fontId="15" fillId="0" borderId="0" xfId="0" applyFont="1" applyAlignment="1">
      <alignment horizontal="right"/>
    </xf>
    <xf numFmtId="164" fontId="0" fillId="0" borderId="12" xfId="1" applyNumberFormat="1" applyFont="1" applyFill="1" applyBorder="1"/>
    <xf numFmtId="0" fontId="0" fillId="0" borderId="0" xfId="0" applyFill="1"/>
    <xf numFmtId="0" fontId="4" fillId="0" borderId="0" xfId="0" applyFont="1" applyFill="1"/>
    <xf numFmtId="44" fontId="5" fillId="0" borderId="12" xfId="3" applyFont="1" applyBorder="1" applyAlignment="1">
      <alignment wrapText="1"/>
    </xf>
    <xf numFmtId="164" fontId="16" fillId="0" borderId="12" xfId="1" applyNumberFormat="1" applyFont="1" applyBorder="1"/>
    <xf numFmtId="164" fontId="16" fillId="0" borderId="12" xfId="1" applyNumberFormat="1" applyFont="1" applyFill="1" applyBorder="1"/>
    <xf numFmtId="0" fontId="16" fillId="0" borderId="0" xfId="0" applyFont="1"/>
    <xf numFmtId="0" fontId="5" fillId="0" borderId="0" xfId="0" applyFont="1" applyAlignment="1">
      <alignment horizontal="right"/>
    </xf>
    <xf numFmtId="165" fontId="0" fillId="0" borderId="0" xfId="2" applyNumberFormat="1" applyFont="1" applyFill="1"/>
    <xf numFmtId="0" fontId="17" fillId="0" borderId="12" xfId="0" applyFont="1" applyFill="1" applyBorder="1"/>
    <xf numFmtId="164" fontId="17" fillId="0" borderId="12" xfId="1" applyNumberFormat="1" applyFont="1" applyBorder="1"/>
    <xf numFmtId="44" fontId="17" fillId="0" borderId="12" xfId="3" applyFont="1" applyBorder="1" applyAlignment="1">
      <alignment wrapText="1"/>
    </xf>
    <xf numFmtId="44" fontId="5" fillId="0" borderId="0" xfId="0" applyNumberFormat="1" applyFont="1"/>
    <xf numFmtId="164" fontId="5" fillId="0" borderId="12" xfId="0" applyNumberFormat="1" applyFont="1" applyBorder="1"/>
    <xf numFmtId="43" fontId="5" fillId="0" borderId="0" xfId="0" applyNumberFormat="1" applyFont="1"/>
    <xf numFmtId="164" fontId="5" fillId="0" borderId="0" xfId="1" applyNumberFormat="1" applyFont="1"/>
    <xf numFmtId="164" fontId="5" fillId="0" borderId="0" xfId="0" applyNumberFormat="1" applyFont="1"/>
    <xf numFmtId="37" fontId="0" fillId="0" borderId="12" xfId="0" applyNumberFormat="1" applyFill="1" applyBorder="1"/>
    <xf numFmtId="0" fontId="5" fillId="0" borderId="0" xfId="0" applyFont="1" applyFill="1"/>
    <xf numFmtId="0" fontId="13" fillId="0" borderId="0" xfId="0" applyFont="1" applyFill="1"/>
    <xf numFmtId="0" fontId="5" fillId="0" borderId="12" xfId="0" applyFont="1" applyFill="1" applyBorder="1"/>
    <xf numFmtId="164" fontId="5" fillId="0" borderId="0" xfId="1" applyNumberFormat="1" applyFont="1" applyFill="1"/>
    <xf numFmtId="164" fontId="17" fillId="0" borderId="12" xfId="1" applyNumberFormat="1" applyFont="1" applyFill="1" applyBorder="1"/>
    <xf numFmtId="164" fontId="0" fillId="0" borderId="0" xfId="0" applyNumberFormat="1"/>
    <xf numFmtId="0" fontId="10" fillId="0" borderId="0" xfId="4" applyAlignment="1" applyProtection="1"/>
    <xf numFmtId="44" fontId="10" fillId="0" borderId="0" xfId="3" applyAlignment="1" applyProtection="1"/>
    <xf numFmtId="0" fontId="0" fillId="0" borderId="0" xfId="4" applyFont="1" applyAlignment="1" applyProtection="1"/>
    <xf numFmtId="164" fontId="10" fillId="0" borderId="0" xfId="4" applyNumberFormat="1" applyAlignment="1" applyProtection="1"/>
    <xf numFmtId="164" fontId="0" fillId="0" borderId="33" xfId="1" applyNumberFormat="1" applyFont="1" applyBorder="1" applyAlignment="1" applyProtection="1"/>
    <xf numFmtId="44" fontId="0" fillId="0" borderId="33" xfId="3" applyFont="1" applyFill="1" applyBorder="1" applyAlignment="1" applyProtection="1"/>
    <xf numFmtId="0" fontId="10" fillId="0" borderId="31" xfId="4" applyBorder="1" applyAlignment="1" applyProtection="1">
      <alignment horizontal="right"/>
    </xf>
    <xf numFmtId="0" fontId="10" fillId="0" borderId="31" xfId="4" applyBorder="1" applyAlignment="1" applyProtection="1"/>
    <xf numFmtId="0" fontId="10" fillId="0" borderId="29" xfId="4" applyBorder="1" applyAlignment="1" applyProtection="1"/>
    <xf numFmtId="166" fontId="10" fillId="0" borderId="34" xfId="4" applyNumberFormat="1" applyBorder="1" applyAlignment="1" applyProtection="1"/>
    <xf numFmtId="0" fontId="10" fillId="0" borderId="0" xfId="4" applyFill="1" applyBorder="1" applyAlignment="1" applyProtection="1"/>
    <xf numFmtId="0" fontId="10" fillId="0" borderId="0" xfId="4" applyBorder="1" applyAlignment="1" applyProtection="1"/>
    <xf numFmtId="0" fontId="10" fillId="0" borderId="35" xfId="4" applyBorder="1" applyAlignment="1" applyProtection="1"/>
    <xf numFmtId="164" fontId="10" fillId="0" borderId="36" xfId="1" applyNumberFormat="1" applyFont="1" applyFill="1" applyBorder="1" applyAlignment="1" applyProtection="1"/>
    <xf numFmtId="0" fontId="0" fillId="0" borderId="0" xfId="4" applyFont="1" applyBorder="1" applyAlignment="1" applyProtection="1">
      <alignment horizontal="right"/>
    </xf>
    <xf numFmtId="0" fontId="0" fillId="0" borderId="0" xfId="4" applyFont="1" applyBorder="1" applyAlignment="1" applyProtection="1"/>
    <xf numFmtId="164" fontId="10" fillId="0" borderId="31" xfId="1" applyNumberFormat="1" applyFont="1" applyFill="1" applyBorder="1" applyAlignment="1" applyProtection="1"/>
    <xf numFmtId="44" fontId="10" fillId="0" borderId="31" xfId="3" applyFont="1" applyFill="1" applyBorder="1" applyAlignment="1" applyProtection="1"/>
    <xf numFmtId="0" fontId="10" fillId="0" borderId="39" xfId="4" applyBorder="1" applyAlignment="1" applyProtection="1"/>
    <xf numFmtId="0" fontId="10" fillId="0" borderId="28" xfId="4" applyBorder="1" applyAlignment="1" applyProtection="1"/>
    <xf numFmtId="0" fontId="10" fillId="0" borderId="12" xfId="4" applyBorder="1" applyAlignment="1" applyProtection="1"/>
    <xf numFmtId="0" fontId="0" fillId="0" borderId="39" xfId="4" applyFont="1" applyFill="1" applyBorder="1" applyAlignment="1" applyProtection="1">
      <alignment horizontal="center"/>
    </xf>
    <xf numFmtId="0" fontId="0" fillId="0" borderId="28" xfId="4" applyFont="1" applyFill="1" applyBorder="1" applyAlignment="1" applyProtection="1">
      <alignment horizontal="right"/>
    </xf>
    <xf numFmtId="0" fontId="3" fillId="0" borderId="0" xfId="4" applyFont="1" applyAlignment="1" applyProtection="1">
      <alignment horizontal="left"/>
    </xf>
    <xf numFmtId="0" fontId="0" fillId="0" borderId="0" xfId="4" applyNumberFormat="1" applyFont="1" applyFill="1" applyBorder="1" applyAlignment="1" applyProtection="1">
      <alignment vertical="top"/>
      <protection locked="0"/>
    </xf>
    <xf numFmtId="41" fontId="17" fillId="0" borderId="6" xfId="0" applyNumberFormat="1" applyFont="1" applyBorder="1" applyAlignment="1">
      <alignment horizontal="right" vertical="center"/>
    </xf>
    <xf numFmtId="0" fontId="18" fillId="0" borderId="0" xfId="4" applyFont="1" applyAlignment="1" applyProtection="1"/>
    <xf numFmtId="44" fontId="0" fillId="0" borderId="32" xfId="4" applyNumberFormat="1" applyFont="1" applyFill="1" applyBorder="1" applyAlignment="1" applyProtection="1"/>
    <xf numFmtId="43" fontId="10" fillId="0" borderId="0" xfId="4" applyNumberFormat="1" applyAlignment="1" applyProtection="1"/>
    <xf numFmtId="0" fontId="10" fillId="0" borderId="0" xfId="4" applyAlignment="1" applyProtection="1">
      <alignment horizontal="right"/>
    </xf>
    <xf numFmtId="164" fontId="16" fillId="0" borderId="0" xfId="1" applyNumberFormat="1" applyFont="1" applyAlignment="1">
      <alignment horizontal="right"/>
    </xf>
    <xf numFmtId="44" fontId="5" fillId="0" borderId="12" xfId="3" applyFont="1" applyFill="1" applyBorder="1" applyAlignment="1">
      <alignment wrapText="1"/>
    </xf>
    <xf numFmtId="43" fontId="5" fillId="0" borderId="12" xfId="1" applyNumberFormat="1" applyFont="1" applyBorder="1" applyAlignment="1">
      <alignment wrapText="1"/>
    </xf>
    <xf numFmtId="16" fontId="0" fillId="0" borderId="14" xfId="0" applyNumberFormat="1" applyFill="1" applyBorder="1"/>
    <xf numFmtId="37" fontId="0" fillId="0" borderId="12" xfId="1" applyNumberFormat="1" applyFont="1" applyFill="1" applyBorder="1"/>
    <xf numFmtId="44" fontId="0" fillId="0" borderId="0" xfId="0" applyNumberFormat="1" applyFill="1"/>
    <xf numFmtId="164" fontId="0" fillId="0" borderId="11" xfId="1" applyNumberFormat="1" applyFont="1" applyFill="1" applyBorder="1"/>
    <xf numFmtId="0" fontId="0" fillId="0" borderId="0" xfId="0" applyFill="1" applyBorder="1" applyAlignment="1"/>
    <xf numFmtId="0" fontId="0" fillId="0" borderId="2" xfId="0" applyFill="1" applyBorder="1"/>
    <xf numFmtId="164" fontId="0" fillId="0" borderId="4" xfId="0" applyNumberFormat="1" applyFill="1" applyBorder="1"/>
    <xf numFmtId="164" fontId="5" fillId="0" borderId="12" xfId="1" applyNumberFormat="1" applyFont="1" applyFill="1" applyBorder="1" applyAlignment="1">
      <alignment wrapText="1"/>
    </xf>
    <xf numFmtId="37" fontId="0" fillId="0" borderId="14" xfId="0" applyNumberFormat="1" applyFill="1" applyBorder="1"/>
    <xf numFmtId="41" fontId="17" fillId="0" borderId="25" xfId="0" applyNumberFormat="1" applyFont="1" applyBorder="1" applyAlignment="1">
      <alignment horizontal="right" vertical="center"/>
    </xf>
    <xf numFmtId="0" fontId="20" fillId="0" borderId="0" xfId="5" applyFont="1" applyFill="1"/>
    <xf numFmtId="0" fontId="19" fillId="0" borderId="0" xfId="5" applyFill="1"/>
    <xf numFmtId="0" fontId="21" fillId="0" borderId="0" xfId="5" applyFont="1" applyFill="1" applyAlignment="1">
      <alignment vertical="center"/>
    </xf>
    <xf numFmtId="37" fontId="0" fillId="3" borderId="42" xfId="0" applyNumberFormat="1" applyFill="1" applyBorder="1" applyAlignment="1">
      <alignment horizontal="right"/>
    </xf>
    <xf numFmtId="44" fontId="13" fillId="2" borderId="37" xfId="3" applyFont="1" applyFill="1" applyBorder="1" applyAlignment="1" applyProtection="1">
      <alignment horizontal="right"/>
    </xf>
    <xf numFmtId="164" fontId="13" fillId="2" borderId="38" xfId="1" applyNumberFormat="1" applyFont="1" applyFill="1" applyBorder="1" applyAlignment="1" applyProtection="1">
      <alignment horizontal="right"/>
    </xf>
    <xf numFmtId="44" fontId="13" fillId="2" borderId="40" xfId="3" applyFont="1" applyFill="1" applyBorder="1" applyAlignment="1" applyProtection="1">
      <alignment horizontal="right"/>
    </xf>
    <xf numFmtId="164" fontId="13" fillId="2" borderId="41" xfId="1" applyNumberFormat="1" applyFont="1" applyFill="1" applyBorder="1" applyAlignment="1" applyProtection="1">
      <alignment horizontal="right"/>
    </xf>
    <xf numFmtId="44" fontId="13" fillId="2" borderId="43" xfId="3" applyFont="1" applyFill="1" applyBorder="1" applyAlignment="1" applyProtection="1">
      <alignment horizontal="right"/>
    </xf>
    <xf numFmtId="164" fontId="13" fillId="2" borderId="44" xfId="1" applyNumberFormat="1" applyFont="1" applyFill="1" applyBorder="1" applyAlignment="1" applyProtection="1">
      <alignment horizontal="right"/>
    </xf>
    <xf numFmtId="44" fontId="10" fillId="2" borderId="45" xfId="4" applyNumberFormat="1" applyFill="1" applyBorder="1" applyAlignment="1" applyProtection="1">
      <alignment horizontal="right"/>
    </xf>
    <xf numFmtId="0" fontId="21" fillId="0" borderId="0" xfId="5" applyFont="1" applyFill="1" applyAlignment="1">
      <alignment vertical="center"/>
    </xf>
    <xf numFmtId="0" fontId="0" fillId="0" borderId="0" xfId="0" applyFont="1" applyAlignment="1"/>
    <xf numFmtId="0" fontId="0" fillId="0" borderId="0" xfId="0" applyAlignment="1"/>
    <xf numFmtId="0" fontId="3" fillId="0" borderId="0" xfId="0" applyFont="1" applyAlignment="1">
      <alignment horizontal="left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15" xfId="0" applyFont="1" applyBorder="1" applyAlignment="1">
      <alignment horizontal="left" wrapText="1"/>
    </xf>
    <xf numFmtId="0" fontId="0" fillId="0" borderId="17" xfId="0" applyFont="1" applyBorder="1" applyAlignment="1">
      <alignment horizontal="left" wrapText="1"/>
    </xf>
    <xf numFmtId="0" fontId="8" fillId="0" borderId="10" xfId="0" applyFont="1" applyBorder="1" applyAlignment="1">
      <alignment wrapText="1" shrinkToFit="1"/>
    </xf>
    <xf numFmtId="0" fontId="8" fillId="0" borderId="11" xfId="0" applyFont="1" applyBorder="1" applyAlignment="1">
      <alignment wrapText="1" shrinkToFit="1"/>
    </xf>
    <xf numFmtId="164" fontId="0" fillId="0" borderId="6" xfId="0" applyNumberFormat="1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0" fillId="0" borderId="2" xfId="0" applyFont="1" applyBorder="1" applyAlignment="1">
      <alignment horizontal="left" wrapText="1"/>
    </xf>
    <xf numFmtId="0" fontId="0" fillId="0" borderId="3" xfId="0" applyFont="1" applyBorder="1" applyAlignment="1">
      <alignment horizontal="left" wrapText="1"/>
    </xf>
    <xf numFmtId="0" fontId="0" fillId="0" borderId="4" xfId="0" applyFont="1" applyBorder="1" applyAlignment="1">
      <alignment horizontal="left" wrapText="1"/>
    </xf>
    <xf numFmtId="0" fontId="0" fillId="0" borderId="5" xfId="0" applyFont="1" applyBorder="1" applyAlignment="1">
      <alignment horizontal="left" wrapText="1"/>
    </xf>
    <xf numFmtId="0" fontId="0" fillId="0" borderId="0" xfId="0" applyFont="1" applyBorder="1" applyAlignment="1">
      <alignment horizontal="left" wrapText="1"/>
    </xf>
    <xf numFmtId="0" fontId="0" fillId="0" borderId="6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6" fillId="0" borderId="7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0" fontId="6" fillId="0" borderId="9" xfId="0" applyFont="1" applyBorder="1" applyAlignment="1">
      <alignment horizontal="left" wrapText="1"/>
    </xf>
    <xf numFmtId="0" fontId="0" fillId="0" borderId="25" xfId="0" applyFont="1" applyBorder="1" applyAlignment="1">
      <alignment horizontal="center"/>
    </xf>
    <xf numFmtId="0" fontId="0" fillId="0" borderId="2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12" xfId="0" applyFont="1" applyBorder="1" applyAlignment="1">
      <alignment horizontal="right" wrapText="1"/>
    </xf>
    <xf numFmtId="0" fontId="0" fillId="0" borderId="13" xfId="0" applyFont="1" applyBorder="1" applyAlignment="1">
      <alignment horizontal="right" wrapText="1"/>
    </xf>
    <xf numFmtId="0" fontId="0" fillId="0" borderId="14" xfId="0" applyFont="1" applyBorder="1" applyAlignment="1">
      <alignment horizontal="right" wrapText="1"/>
    </xf>
    <xf numFmtId="0" fontId="0" fillId="0" borderId="28" xfId="0" applyFont="1" applyBorder="1" applyAlignment="1">
      <alignment horizontal="right" wrapText="1"/>
    </xf>
    <xf numFmtId="0" fontId="0" fillId="0" borderId="29" xfId="0" applyFont="1" applyBorder="1" applyAlignment="1">
      <alignment horizontal="right" wrapText="1"/>
    </xf>
    <xf numFmtId="0" fontId="0" fillId="0" borderId="0" xfId="0" applyFont="1" applyFill="1" applyBorder="1" applyAlignment="1">
      <alignment wrapText="1"/>
    </xf>
    <xf numFmtId="0" fontId="4" fillId="0" borderId="8" xfId="0" applyFont="1" applyBorder="1" applyAlignment="1">
      <alignment wrapText="1"/>
    </xf>
    <xf numFmtId="0" fontId="0" fillId="0" borderId="8" xfId="0" applyBorder="1" applyAlignment="1">
      <alignment wrapText="1"/>
    </xf>
    <xf numFmtId="0" fontId="5" fillId="0" borderId="2" xfId="0" applyFont="1" applyBorder="1" applyAlignment="1">
      <alignment horizontal="left" wrapText="1"/>
    </xf>
    <xf numFmtId="0" fontId="0" fillId="0" borderId="7" xfId="0" applyFont="1" applyBorder="1" applyAlignment="1">
      <alignment horizontal="left" wrapText="1"/>
    </xf>
    <xf numFmtId="0" fontId="0" fillId="0" borderId="8" xfId="0" applyFont="1" applyBorder="1" applyAlignment="1">
      <alignment horizontal="left" wrapText="1"/>
    </xf>
    <xf numFmtId="0" fontId="0" fillId="0" borderId="9" xfId="0" applyFont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1" xfId="0" applyBorder="1" applyAlignment="1">
      <alignment horizontal="right" wrapText="1"/>
    </xf>
    <xf numFmtId="0" fontId="0" fillId="0" borderId="0" xfId="0" applyFill="1" applyAlignment="1"/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0" fillId="0" borderId="9" xfId="0" applyFill="1" applyBorder="1" applyAlignment="1">
      <alignment wrapText="1"/>
    </xf>
    <xf numFmtId="165" fontId="0" fillId="0" borderId="5" xfId="2" applyNumberFormat="1" applyFont="1" applyFill="1" applyBorder="1" applyAlignment="1">
      <alignment wrapText="1"/>
    </xf>
    <xf numFmtId="165" fontId="0" fillId="0" borderId="0" xfId="2" applyNumberFormat="1" applyFont="1" applyFill="1" applyBorder="1" applyAlignment="1">
      <alignment wrapText="1"/>
    </xf>
    <xf numFmtId="165" fontId="0" fillId="0" borderId="6" xfId="2" applyNumberFormat="1" applyFont="1" applyFill="1" applyBorder="1" applyAlignment="1">
      <alignment wrapText="1"/>
    </xf>
    <xf numFmtId="165" fontId="0" fillId="0" borderId="7" xfId="2" applyNumberFormat="1" applyFont="1" applyFill="1" applyBorder="1" applyAlignment="1">
      <alignment wrapText="1"/>
    </xf>
    <xf numFmtId="165" fontId="0" fillId="0" borderId="8" xfId="2" applyNumberFormat="1" applyFont="1" applyFill="1" applyBorder="1" applyAlignment="1">
      <alignment wrapText="1"/>
    </xf>
    <xf numFmtId="165" fontId="0" fillId="0" borderId="9" xfId="2" applyNumberFormat="1" applyFont="1" applyFill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11" fillId="0" borderId="8" xfId="0" applyFont="1" applyBorder="1" applyAlignment="1">
      <alignment wrapText="1"/>
    </xf>
  </cellXfs>
  <cellStyles count="6">
    <cellStyle name="Comma" xfId="1" builtinId="3"/>
    <cellStyle name="Currency" xfId="3" builtinId="4"/>
    <cellStyle name="Normal" xfId="0" builtinId="0"/>
    <cellStyle name="Normal 2" xfId="4"/>
    <cellStyle name="Normal 3" xfId="5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238124</xdr:colOff>
      <xdr:row>7</xdr:row>
      <xdr:rowOff>0</xdr:rowOff>
    </xdr:from>
    <xdr:to>
      <xdr:col>4</xdr:col>
      <xdr:colOff>1504949</xdr:colOff>
      <xdr:row>11</xdr:row>
      <xdr:rowOff>571500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934074" y="1000125"/>
          <a:ext cx="1266825" cy="1333500"/>
        </a:xfrm>
        <a:prstGeom prst="rect">
          <a:avLst/>
        </a:prstGeom>
        <a:solidFill>
          <a:schemeClr val="bg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100" i="1"/>
            <a:t>Note:                Levelized cost of eligible renewable resource should include integration costs, where applicable.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1684020</xdr:colOff>
      <xdr:row>7</xdr:row>
      <xdr:rowOff>38100</xdr:rowOff>
    </xdr:from>
    <xdr:to>
      <xdr:col>6</xdr:col>
      <xdr:colOff>1884791</xdr:colOff>
      <xdr:row>9</xdr:row>
      <xdr:rowOff>104531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E2EC164C-D0CA-4F0C-B192-600E2F899201}"/>
            </a:ext>
          </a:extLst>
        </xdr:cNvPr>
        <xdr:cNvSpPr txBox="1">
          <a:spLocks noChangeArrowheads="1"/>
        </xdr:cNvSpPr>
      </xdr:nvSpPr>
      <xdr:spPr bwMode="auto">
        <a:xfrm>
          <a:off x="11193780" y="1196340"/>
          <a:ext cx="2418191" cy="432191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91440" rIns="91440" bIns="91440" anchor="t" anchorCtr="0" upright="1">
          <a:noAutofit/>
        </a:bodyPr>
        <a:lstStyle/>
        <a:p>
          <a:pPr marL="0" marR="0" indent="0" algn="ctr">
            <a:lnSpc>
              <a:spcPts val="1200"/>
            </a:lnSpc>
            <a:spcBef>
              <a:spcPts val="0"/>
            </a:spcBef>
            <a:spcAft>
              <a:spcPts val="0"/>
            </a:spcAft>
          </a:pPr>
          <a:r>
            <a:rPr lang="en-US" sz="900" b="1" cap="small">
              <a:effectLst/>
              <a:latin typeface="Times New Roman Bold" panose="02020803070505020304" pitchFamily="18" charset="0"/>
              <a:ea typeface="Times New Roman" panose="02020603050405020304" pitchFamily="18" charset="0"/>
            </a:rPr>
            <a:t>Redacted</a:t>
          </a:r>
        </a:p>
        <a:p>
          <a:pPr marL="0" marR="0" indent="0" algn="ctr">
            <a:lnSpc>
              <a:spcPts val="1200"/>
            </a:lnSpc>
            <a:spcBef>
              <a:spcPts val="0"/>
            </a:spcBef>
            <a:spcAft>
              <a:spcPts val="0"/>
            </a:spcAft>
          </a:pPr>
          <a:r>
            <a:rPr lang="en-US" sz="900" b="1" cap="small">
              <a:effectLst/>
              <a:latin typeface="Times New Roman Bold" panose="02020803070505020304" pitchFamily="18" charset="0"/>
              <a:ea typeface="Times New Roman" panose="02020603050405020304" pitchFamily="18" charset="0"/>
            </a:rPr>
            <a:t>Version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</xdr:colOff>
      <xdr:row>14</xdr:row>
      <xdr:rowOff>7620</xdr:rowOff>
    </xdr:from>
    <xdr:to>
      <xdr:col>2</xdr:col>
      <xdr:colOff>2441051</xdr:colOff>
      <xdr:row>16</xdr:row>
      <xdr:rowOff>74051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E2EC164C-D0CA-4F0C-B192-600E2F899201}"/>
            </a:ext>
          </a:extLst>
        </xdr:cNvPr>
        <xdr:cNvSpPr txBox="1">
          <a:spLocks noChangeArrowheads="1"/>
        </xdr:cNvSpPr>
      </xdr:nvSpPr>
      <xdr:spPr bwMode="auto">
        <a:xfrm>
          <a:off x="2727960" y="2628900"/>
          <a:ext cx="2418191" cy="432191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91440" rIns="91440" bIns="91440" anchor="t" anchorCtr="0" upright="1">
          <a:noAutofit/>
        </a:bodyPr>
        <a:lstStyle/>
        <a:p>
          <a:pPr marL="0" marR="0" indent="0" algn="ctr">
            <a:lnSpc>
              <a:spcPts val="1200"/>
            </a:lnSpc>
            <a:spcBef>
              <a:spcPts val="0"/>
            </a:spcBef>
            <a:spcAft>
              <a:spcPts val="0"/>
            </a:spcAft>
          </a:pPr>
          <a:r>
            <a:rPr lang="en-US" sz="900" b="1" cap="small">
              <a:effectLst/>
              <a:latin typeface="Times New Roman Bold" panose="02020803070505020304" pitchFamily="18" charset="0"/>
              <a:ea typeface="Times New Roman" panose="02020603050405020304" pitchFamily="18" charset="0"/>
            </a:rPr>
            <a:t>Redacted</a:t>
          </a:r>
        </a:p>
        <a:p>
          <a:pPr marL="0" marR="0" indent="0" algn="ctr">
            <a:lnSpc>
              <a:spcPts val="1200"/>
            </a:lnSpc>
            <a:spcBef>
              <a:spcPts val="0"/>
            </a:spcBef>
            <a:spcAft>
              <a:spcPts val="0"/>
            </a:spcAft>
          </a:pPr>
          <a:r>
            <a:rPr lang="en-US" sz="900" b="1" cap="small">
              <a:effectLst/>
              <a:latin typeface="Times New Roman Bold" panose="02020803070505020304" pitchFamily="18" charset="0"/>
              <a:ea typeface="Times New Roman" panose="02020603050405020304" pitchFamily="18" charset="0"/>
            </a:rPr>
            <a:t>Version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"/>
  <sheetViews>
    <sheetView workbookViewId="0">
      <selection activeCell="E39" sqref="E39"/>
    </sheetView>
  </sheetViews>
  <sheetFormatPr defaultColWidth="9.33203125" defaultRowHeight="12.55" x14ac:dyDescent="0.2"/>
  <cols>
    <col min="1" max="9" width="9.33203125" style="147"/>
    <col min="10" max="10" width="25.109375" style="147" customWidth="1"/>
    <col min="11" max="16384" width="9.33203125" style="147"/>
  </cols>
  <sheetData>
    <row r="2" spans="1:13" ht="13.15" x14ac:dyDescent="0.25">
      <c r="A2" s="146"/>
      <c r="B2" s="146"/>
      <c r="C2" s="146"/>
      <c r="D2" s="146"/>
    </row>
    <row r="3" spans="1:13" ht="20.7" x14ac:dyDescent="0.2">
      <c r="A3" s="148" t="s">
        <v>85</v>
      </c>
      <c r="B3" s="148"/>
      <c r="C3" s="148"/>
      <c r="D3" s="148"/>
      <c r="E3" s="148"/>
      <c r="F3" s="148"/>
      <c r="G3" s="148"/>
      <c r="H3" s="148"/>
      <c r="I3" s="148"/>
      <c r="J3" s="148"/>
    </row>
    <row r="6" spans="1:13" ht="20.7" x14ac:dyDescent="0.2">
      <c r="D6" s="157" t="s">
        <v>86</v>
      </c>
      <c r="E6" s="157"/>
      <c r="F6" s="157"/>
      <c r="G6" s="157"/>
      <c r="H6" s="157"/>
      <c r="I6" s="157"/>
      <c r="J6" s="157"/>
      <c r="K6" s="157"/>
      <c r="L6" s="157"/>
      <c r="M6" s="157"/>
    </row>
  </sheetData>
  <mergeCells count="1">
    <mergeCell ref="D6:M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workbookViewId="0">
      <selection activeCell="B15" sqref="B15:B18"/>
    </sheetView>
  </sheetViews>
  <sheetFormatPr defaultColWidth="9.109375" defaultRowHeight="15.05" x14ac:dyDescent="0.3"/>
  <cols>
    <col min="1" max="1" width="28.44140625" style="28" customWidth="1"/>
    <col min="2" max="5" width="18.77734375" style="28" customWidth="1"/>
    <col min="6" max="6" width="37.109375" style="28" customWidth="1"/>
    <col min="7" max="7" width="18.77734375" style="28" customWidth="1"/>
    <col min="8" max="8" width="18" style="28" customWidth="1"/>
    <col min="9" max="16384" width="9.109375" style="28"/>
  </cols>
  <sheetData>
    <row r="1" spans="1:9" x14ac:dyDescent="0.3">
      <c r="A1" s="76" t="s">
        <v>67</v>
      </c>
      <c r="B1" s="76"/>
      <c r="H1" s="160" t="s">
        <v>47</v>
      </c>
      <c r="I1" s="160"/>
    </row>
    <row r="2" spans="1:9" ht="33.049999999999997" customHeight="1" thickBot="1" x14ac:dyDescent="0.55000000000000004">
      <c r="A2" s="46" t="s">
        <v>54</v>
      </c>
    </row>
    <row r="3" spans="1:9" ht="15.05" customHeight="1" x14ac:dyDescent="0.3">
      <c r="A3" s="170" t="s">
        <v>0</v>
      </c>
      <c r="B3" s="171"/>
      <c r="C3" s="171"/>
      <c r="D3" s="171"/>
      <c r="E3" s="171"/>
      <c r="F3" s="171"/>
      <c r="G3" s="171"/>
      <c r="H3" s="172"/>
    </row>
    <row r="4" spans="1:9" ht="15.65" thickBot="1" x14ac:dyDescent="0.35">
      <c r="A4" s="173"/>
      <c r="B4" s="174"/>
      <c r="C4" s="174"/>
      <c r="D4" s="174"/>
      <c r="E4" s="174"/>
      <c r="F4" s="174"/>
      <c r="G4" s="174"/>
      <c r="H4" s="175"/>
    </row>
    <row r="5" spans="1:9" ht="0.8" customHeight="1" thickBot="1" x14ac:dyDescent="0.35">
      <c r="A5" s="173"/>
      <c r="B5" s="174"/>
      <c r="C5" s="174"/>
      <c r="D5" s="174"/>
      <c r="E5" s="174"/>
      <c r="F5" s="174"/>
      <c r="G5" s="174"/>
      <c r="H5" s="175"/>
    </row>
    <row r="6" spans="1:9" ht="16.149999999999999" hidden="1" customHeight="1" thickBot="1" x14ac:dyDescent="0.35">
      <c r="A6" s="173"/>
      <c r="B6" s="174"/>
      <c r="C6" s="174"/>
      <c r="D6" s="174"/>
      <c r="E6" s="174"/>
      <c r="F6" s="174"/>
      <c r="G6" s="174"/>
      <c r="H6" s="175"/>
    </row>
    <row r="7" spans="1:9" ht="15.05" customHeight="1" x14ac:dyDescent="0.3">
      <c r="A7" s="176" t="s">
        <v>5</v>
      </c>
      <c r="B7" s="177"/>
      <c r="C7" s="177"/>
      <c r="D7" s="177"/>
      <c r="E7" s="177"/>
      <c r="F7" s="177"/>
      <c r="G7" s="177"/>
      <c r="H7" s="178"/>
    </row>
    <row r="8" spans="1:9" x14ac:dyDescent="0.3">
      <c r="A8" s="179"/>
      <c r="B8" s="180"/>
      <c r="C8" s="180"/>
      <c r="D8" s="180"/>
      <c r="E8" s="180"/>
      <c r="F8" s="180"/>
      <c r="G8" s="180"/>
      <c r="H8" s="181"/>
    </row>
    <row r="9" spans="1:9" x14ac:dyDescent="0.3">
      <c r="A9" s="179"/>
      <c r="B9" s="180"/>
      <c r="C9" s="180"/>
      <c r="D9" s="180"/>
      <c r="E9" s="180"/>
      <c r="F9" s="180"/>
      <c r="G9" s="180"/>
      <c r="H9" s="181"/>
    </row>
    <row r="10" spans="1:9" x14ac:dyDescent="0.3">
      <c r="A10" s="179"/>
      <c r="B10" s="180"/>
      <c r="C10" s="180"/>
      <c r="D10" s="180"/>
      <c r="E10" s="180"/>
      <c r="F10" s="180"/>
      <c r="G10" s="180"/>
      <c r="H10" s="181"/>
    </row>
    <row r="11" spans="1:9" x14ac:dyDescent="0.3">
      <c r="A11" s="179"/>
      <c r="B11" s="180"/>
      <c r="C11" s="180"/>
      <c r="D11" s="180"/>
      <c r="E11" s="180"/>
      <c r="F11" s="180"/>
      <c r="G11" s="180"/>
      <c r="H11" s="181"/>
    </row>
    <row r="12" spans="1:9" ht="86.25" customHeight="1" thickBot="1" x14ac:dyDescent="0.35">
      <c r="A12" s="182"/>
      <c r="B12" s="183"/>
      <c r="C12" s="183"/>
      <c r="D12" s="183"/>
      <c r="E12" s="183"/>
      <c r="F12" s="183"/>
      <c r="G12" s="183"/>
      <c r="H12" s="184"/>
    </row>
    <row r="13" spans="1:9" ht="15.65" thickBot="1" x14ac:dyDescent="0.35"/>
    <row r="14" spans="1:9" x14ac:dyDescent="0.3">
      <c r="A14" s="186" t="s">
        <v>2</v>
      </c>
      <c r="B14" s="29" t="s">
        <v>3</v>
      </c>
      <c r="C14" s="29" t="s">
        <v>25</v>
      </c>
      <c r="D14" s="29" t="s">
        <v>19</v>
      </c>
      <c r="E14" s="29" t="s">
        <v>20</v>
      </c>
      <c r="F14" s="29" t="s">
        <v>20</v>
      </c>
      <c r="G14" s="30" t="s">
        <v>25</v>
      </c>
      <c r="H14" s="31" t="s">
        <v>25</v>
      </c>
    </row>
    <row r="15" spans="1:9" ht="15.05" customHeight="1" x14ac:dyDescent="0.3">
      <c r="A15" s="187"/>
      <c r="B15" s="188" t="s">
        <v>21</v>
      </c>
      <c r="C15" s="188" t="s">
        <v>28</v>
      </c>
      <c r="D15" s="189" t="s">
        <v>17</v>
      </c>
      <c r="E15" s="189" t="s">
        <v>18</v>
      </c>
      <c r="F15" s="189" t="s">
        <v>22</v>
      </c>
      <c r="G15" s="191" t="s">
        <v>23</v>
      </c>
      <c r="H15" s="185" t="s">
        <v>27</v>
      </c>
    </row>
    <row r="16" spans="1:9" ht="32.25" customHeight="1" x14ac:dyDescent="0.3">
      <c r="A16" s="187"/>
      <c r="B16" s="188"/>
      <c r="C16" s="188"/>
      <c r="D16" s="190"/>
      <c r="E16" s="190"/>
      <c r="F16" s="190"/>
      <c r="G16" s="192"/>
      <c r="H16" s="185"/>
    </row>
    <row r="17" spans="1:8" x14ac:dyDescent="0.3">
      <c r="A17" s="32" t="s">
        <v>35</v>
      </c>
      <c r="B17" s="10">
        <v>78.538812785388131</v>
      </c>
      <c r="C17" s="5">
        <v>8600000</v>
      </c>
      <c r="D17" s="75">
        <v>7.92</v>
      </c>
      <c r="E17" s="79">
        <f>1.37/100*(24*365)</f>
        <v>120.012</v>
      </c>
      <c r="F17" s="5">
        <v>9290000</v>
      </c>
      <c r="G17" s="25">
        <f>C17-F17</f>
        <v>-690000</v>
      </c>
      <c r="H17" s="33">
        <f>G17*$G$33</f>
        <v>-690000</v>
      </c>
    </row>
    <row r="18" spans="1:8" x14ac:dyDescent="0.3">
      <c r="A18" s="34" t="s">
        <v>36</v>
      </c>
      <c r="B18" s="10">
        <v>112.69172228076337</v>
      </c>
      <c r="C18" s="5">
        <v>3850000</v>
      </c>
      <c r="D18" s="75">
        <v>2.44</v>
      </c>
      <c r="E18" s="79">
        <f>0.74/100*(24*365)</f>
        <v>64.823999999999998</v>
      </c>
      <c r="F18" s="5">
        <v>3180000</v>
      </c>
      <c r="G18" s="25">
        <f t="shared" ref="G18:G26" si="0">C18-F18</f>
        <v>670000</v>
      </c>
      <c r="H18" s="33">
        <f t="shared" ref="H18:H26" si="1">G18*$G$33</f>
        <v>670000</v>
      </c>
    </row>
    <row r="19" spans="1:8" x14ac:dyDescent="0.3">
      <c r="A19" s="34" t="s">
        <v>37</v>
      </c>
      <c r="B19" s="10">
        <v>54.340387941224044</v>
      </c>
      <c r="C19" s="5">
        <v>34940000</v>
      </c>
      <c r="D19" s="75">
        <v>26.53</v>
      </c>
      <c r="E19" s="79">
        <f>3.21/100*(24*365)</f>
        <v>281.19599999999997</v>
      </c>
      <c r="F19" s="5">
        <v>29740000</v>
      </c>
      <c r="G19" s="25">
        <f t="shared" si="0"/>
        <v>5200000</v>
      </c>
      <c r="H19" s="33">
        <f t="shared" si="1"/>
        <v>5200000</v>
      </c>
    </row>
    <row r="20" spans="1:8" x14ac:dyDescent="0.3">
      <c r="A20" s="34" t="s">
        <v>38</v>
      </c>
      <c r="B20" s="10">
        <v>40.200639098066425</v>
      </c>
      <c r="C20" s="5">
        <v>18770000</v>
      </c>
      <c r="D20" s="75">
        <v>19.260000000000002</v>
      </c>
      <c r="E20" s="79">
        <f>1.71/100*(24*365)</f>
        <v>149.79599999999999</v>
      </c>
      <c r="F20" s="5">
        <v>20970000</v>
      </c>
      <c r="G20" s="25">
        <f t="shared" si="0"/>
        <v>-2200000</v>
      </c>
      <c r="H20" s="33">
        <f t="shared" si="1"/>
        <v>-2200000</v>
      </c>
    </row>
    <row r="21" spans="1:8" x14ac:dyDescent="0.3">
      <c r="A21" s="34" t="s">
        <v>39</v>
      </c>
      <c r="B21" s="10">
        <v>109.04544466188302</v>
      </c>
      <c r="C21" s="5">
        <v>10030000</v>
      </c>
      <c r="D21" s="75">
        <v>5.09</v>
      </c>
      <c r="E21" s="79">
        <f>0.81/100*(24*365)</f>
        <v>70.956000000000017</v>
      </c>
      <c r="F21" s="5">
        <v>5900000</v>
      </c>
      <c r="G21" s="25">
        <f t="shared" si="0"/>
        <v>4130000</v>
      </c>
      <c r="H21" s="33">
        <f t="shared" si="1"/>
        <v>4130000</v>
      </c>
    </row>
    <row r="22" spans="1:8" x14ac:dyDescent="0.3">
      <c r="A22" s="34" t="s">
        <v>40</v>
      </c>
      <c r="B22" s="10">
        <v>60.882800608828006</v>
      </c>
      <c r="C22" s="5">
        <v>1280000</v>
      </c>
      <c r="D22" s="75">
        <v>1.19</v>
      </c>
      <c r="E22" s="79">
        <f>0.17/100*(24*365)</f>
        <v>14.892000000000001</v>
      </c>
      <c r="F22" s="5">
        <v>1360000</v>
      </c>
      <c r="G22" s="25">
        <f t="shared" si="0"/>
        <v>-80000</v>
      </c>
      <c r="H22" s="33">
        <f t="shared" si="1"/>
        <v>-80000</v>
      </c>
    </row>
    <row r="23" spans="1:8" x14ac:dyDescent="0.3">
      <c r="A23" s="34" t="s">
        <v>41</v>
      </c>
      <c r="B23" s="10">
        <v>78.632950265108803</v>
      </c>
      <c r="C23" s="5">
        <v>39330000</v>
      </c>
      <c r="D23" s="75">
        <v>48.51</v>
      </c>
      <c r="E23" s="79">
        <f>1.69/100*(24*365)</f>
        <v>148.04399999999998</v>
      </c>
      <c r="F23" s="5">
        <v>27960000</v>
      </c>
      <c r="G23" s="25">
        <f t="shared" si="0"/>
        <v>11370000</v>
      </c>
      <c r="H23" s="33">
        <f t="shared" si="1"/>
        <v>11370000</v>
      </c>
    </row>
    <row r="24" spans="1:8" x14ac:dyDescent="0.3">
      <c r="A24" s="34" t="s">
        <v>42</v>
      </c>
      <c r="B24" s="10">
        <v>78.6467133317242</v>
      </c>
      <c r="C24" s="5">
        <v>31280000</v>
      </c>
      <c r="D24" s="75">
        <v>48.51</v>
      </c>
      <c r="E24" s="79">
        <f>1.69/100*(24*365)</f>
        <v>148.04399999999998</v>
      </c>
      <c r="F24" s="5">
        <v>22230000</v>
      </c>
      <c r="G24" s="25">
        <f t="shared" si="0"/>
        <v>9050000</v>
      </c>
      <c r="H24" s="33">
        <f t="shared" si="1"/>
        <v>9050000</v>
      </c>
    </row>
    <row r="25" spans="1:8" x14ac:dyDescent="0.3">
      <c r="A25" s="34" t="s">
        <v>43</v>
      </c>
      <c r="B25" s="10">
        <v>65.13191273465246</v>
      </c>
      <c r="C25" s="5">
        <v>10270000</v>
      </c>
      <c r="D25" s="75">
        <v>8.98</v>
      </c>
      <c r="E25" s="79">
        <f>0.93/100*(24*365)</f>
        <v>81.468000000000004</v>
      </c>
      <c r="F25" s="5">
        <v>9910000</v>
      </c>
      <c r="G25" s="25">
        <f t="shared" si="0"/>
        <v>360000</v>
      </c>
      <c r="H25" s="33">
        <f t="shared" si="1"/>
        <v>360000</v>
      </c>
    </row>
    <row r="26" spans="1:8" x14ac:dyDescent="0.3">
      <c r="A26" s="35"/>
      <c r="B26" s="11"/>
      <c r="C26" s="6"/>
      <c r="D26" s="11"/>
      <c r="E26" s="6"/>
      <c r="F26" s="6"/>
      <c r="G26" s="25">
        <f t="shared" si="0"/>
        <v>0</v>
      </c>
      <c r="H26" s="33">
        <f t="shared" si="1"/>
        <v>0</v>
      </c>
    </row>
    <row r="27" spans="1:8" x14ac:dyDescent="0.3">
      <c r="A27" s="35"/>
      <c r="B27" s="12"/>
      <c r="C27" s="12"/>
      <c r="D27" s="12"/>
      <c r="E27" s="12"/>
      <c r="F27" s="12"/>
      <c r="G27" s="26"/>
      <c r="H27" s="33"/>
    </row>
    <row r="28" spans="1:8" x14ac:dyDescent="0.3">
      <c r="A28" s="35"/>
      <c r="B28" s="12"/>
      <c r="C28" s="12"/>
      <c r="D28" s="12"/>
      <c r="E28" s="12"/>
      <c r="F28" s="12"/>
      <c r="G28" s="26"/>
      <c r="H28" s="33"/>
    </row>
    <row r="29" spans="1:8" x14ac:dyDescent="0.3">
      <c r="A29" s="34"/>
      <c r="B29" s="36"/>
      <c r="C29" s="36"/>
      <c r="D29" s="36"/>
      <c r="E29" s="36"/>
      <c r="F29" s="36"/>
      <c r="G29" s="37"/>
      <c r="H29" s="33"/>
    </row>
    <row r="30" spans="1:8" ht="15.65" thickBot="1" x14ac:dyDescent="0.35">
      <c r="A30" s="38"/>
      <c r="B30" s="69"/>
      <c r="C30" s="6"/>
      <c r="D30" s="6"/>
      <c r="E30" s="39"/>
      <c r="F30" s="39"/>
      <c r="G30" s="27">
        <f t="shared" ref="G30" si="2">C30-F30</f>
        <v>0</v>
      </c>
      <c r="H30" s="40">
        <f>G30</f>
        <v>0</v>
      </c>
    </row>
    <row r="31" spans="1:8" ht="16.149999999999999" customHeight="1" thickBot="1" x14ac:dyDescent="0.35">
      <c r="A31" s="163" t="s">
        <v>24</v>
      </c>
      <c r="B31" s="164"/>
      <c r="C31" s="41">
        <f>SUM(C17:C30)</f>
        <v>158350000</v>
      </c>
      <c r="D31" s="42"/>
      <c r="E31" s="43"/>
      <c r="F31" s="44">
        <f>SUM(F17:F30)</f>
        <v>130540000</v>
      </c>
      <c r="G31" s="44">
        <f>SUM(G17:G30)</f>
        <v>27810000</v>
      </c>
      <c r="H31" s="45">
        <f>SUM(H17:H30)</f>
        <v>27810000</v>
      </c>
    </row>
    <row r="32" spans="1:8" ht="15.65" thickBot="1" x14ac:dyDescent="0.35"/>
    <row r="33" spans="1:7" ht="31.5" customHeight="1" thickBot="1" x14ac:dyDescent="0.35">
      <c r="A33" s="193" t="s">
        <v>34</v>
      </c>
      <c r="B33" s="159"/>
      <c r="C33" s="159"/>
      <c r="D33" s="159"/>
      <c r="E33" s="1"/>
      <c r="F33" s="13" t="s">
        <v>44</v>
      </c>
      <c r="G33" s="47">
        <v>1</v>
      </c>
    </row>
    <row r="34" spans="1:7" x14ac:dyDescent="0.3">
      <c r="F34" s="165" t="s">
        <v>4</v>
      </c>
      <c r="G34" s="167">
        <f>H31</f>
        <v>27810000</v>
      </c>
    </row>
    <row r="35" spans="1:7" x14ac:dyDescent="0.3">
      <c r="A35" s="158"/>
      <c r="B35" s="159"/>
      <c r="C35" s="159"/>
      <c r="D35" s="159"/>
      <c r="F35" s="165"/>
      <c r="G35" s="168"/>
    </row>
    <row r="36" spans="1:7" ht="15.65" thickBot="1" x14ac:dyDescent="0.35">
      <c r="F36" s="166"/>
      <c r="G36" s="169"/>
    </row>
    <row r="37" spans="1:7" ht="66.7" customHeight="1" x14ac:dyDescent="0.3">
      <c r="A37" s="161"/>
      <c r="B37" s="162"/>
      <c r="C37" s="162"/>
      <c r="D37" s="162"/>
    </row>
  </sheetData>
  <mergeCells count="17">
    <mergeCell ref="A33:D33"/>
    <mergeCell ref="A35:D35"/>
    <mergeCell ref="H1:I1"/>
    <mergeCell ref="A37:D37"/>
    <mergeCell ref="A31:B31"/>
    <mergeCell ref="F34:F36"/>
    <mergeCell ref="G34:G36"/>
    <mergeCell ref="A3:H6"/>
    <mergeCell ref="A7:H12"/>
    <mergeCell ref="H15:H16"/>
    <mergeCell ref="A14:A16"/>
    <mergeCell ref="B15:B16"/>
    <mergeCell ref="C15:C16"/>
    <mergeCell ref="D15:D16"/>
    <mergeCell ref="E15:E16"/>
    <mergeCell ref="F15:F16"/>
    <mergeCell ref="G15:G16"/>
  </mergeCells>
  <pageMargins left="0.25" right="0.25" top="0.75" bottom="0.75" header="0.3" footer="0.3"/>
  <pageSetup scale="7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tabSelected="1" view="pageLayout" topLeftCell="D37" zoomScaleNormal="100" workbookViewId="0">
      <selection activeCell="H9" sqref="H9"/>
    </sheetView>
  </sheetViews>
  <sheetFormatPr defaultColWidth="9.109375" defaultRowHeight="15.05" x14ac:dyDescent="0.3"/>
  <cols>
    <col min="1" max="1" width="38.109375" style="7" customWidth="1"/>
    <col min="2" max="2" width="24" style="7" customWidth="1"/>
    <col min="3" max="3" width="23.44140625" style="7" customWidth="1"/>
    <col min="4" max="4" width="22.77734375" style="7" customWidth="1"/>
    <col min="5" max="5" width="24.44140625" style="7" customWidth="1"/>
    <col min="6" max="6" width="31" style="7" customWidth="1"/>
    <col min="7" max="7" width="31.109375" style="7" customWidth="1"/>
    <col min="8" max="8" width="18" style="7" customWidth="1"/>
    <col min="9" max="16384" width="9.109375" style="7"/>
  </cols>
  <sheetData>
    <row r="1" spans="1:7" x14ac:dyDescent="0.3">
      <c r="A1" s="76" t="s">
        <v>67</v>
      </c>
      <c r="G1" s="76" t="s">
        <v>47</v>
      </c>
    </row>
    <row r="2" spans="1:7" ht="32.25" customHeight="1" thickBot="1" x14ac:dyDescent="0.45">
      <c r="A2" s="194" t="s">
        <v>59</v>
      </c>
      <c r="B2" s="195"/>
      <c r="C2" s="195"/>
      <c r="D2" s="195"/>
      <c r="E2" s="195"/>
      <c r="F2" s="195"/>
      <c r="G2" s="195"/>
    </row>
    <row r="3" spans="1:7" x14ac:dyDescent="0.3">
      <c r="A3" s="196" t="s">
        <v>6</v>
      </c>
      <c r="B3" s="171"/>
      <c r="C3" s="171"/>
      <c r="D3" s="171"/>
      <c r="E3" s="171"/>
      <c r="F3" s="171"/>
      <c r="G3" s="172"/>
    </row>
    <row r="4" spans="1:7" ht="15.65" thickBot="1" x14ac:dyDescent="0.35">
      <c r="A4" s="173"/>
      <c r="B4" s="174"/>
      <c r="C4" s="174"/>
      <c r="D4" s="174"/>
      <c r="E4" s="174"/>
      <c r="F4" s="174"/>
      <c r="G4" s="175"/>
    </row>
    <row r="5" spans="1:7" ht="0.8" customHeight="1" thickBot="1" x14ac:dyDescent="0.35">
      <c r="A5" s="173"/>
      <c r="B5" s="174"/>
      <c r="C5" s="174"/>
      <c r="D5" s="174"/>
      <c r="E5" s="174"/>
      <c r="F5" s="174"/>
      <c r="G5" s="175"/>
    </row>
    <row r="6" spans="1:7" ht="15.65" hidden="1" thickBot="1" x14ac:dyDescent="0.35">
      <c r="A6" s="197"/>
      <c r="B6" s="198"/>
      <c r="C6" s="198"/>
      <c r="D6" s="198"/>
      <c r="E6" s="198"/>
      <c r="F6" s="198"/>
      <c r="G6" s="199"/>
    </row>
    <row r="7" spans="1:7" x14ac:dyDescent="0.3">
      <c r="A7" s="200" t="s">
        <v>7</v>
      </c>
      <c r="B7" s="201"/>
      <c r="C7" s="201"/>
      <c r="D7" s="201"/>
      <c r="E7" s="201"/>
      <c r="F7" s="201"/>
      <c r="G7" s="202"/>
    </row>
    <row r="8" spans="1:7" x14ac:dyDescent="0.3">
      <c r="A8" s="203"/>
      <c r="B8" s="204"/>
      <c r="C8" s="204"/>
      <c r="D8" s="204"/>
      <c r="E8" s="204"/>
      <c r="F8" s="204"/>
      <c r="G8" s="205"/>
    </row>
    <row r="9" spans="1:7" x14ac:dyDescent="0.3">
      <c r="A9" s="203"/>
      <c r="B9" s="204"/>
      <c r="C9" s="204"/>
      <c r="D9" s="204"/>
      <c r="E9" s="204"/>
      <c r="F9" s="204"/>
      <c r="G9" s="205"/>
    </row>
    <row r="10" spans="1:7" x14ac:dyDescent="0.3">
      <c r="A10" s="203"/>
      <c r="B10" s="204"/>
      <c r="C10" s="204"/>
      <c r="D10" s="204"/>
      <c r="E10" s="204"/>
      <c r="F10" s="204"/>
      <c r="G10" s="205"/>
    </row>
    <row r="11" spans="1:7" x14ac:dyDescent="0.3">
      <c r="A11" s="203"/>
      <c r="B11" s="204"/>
      <c r="C11" s="204"/>
      <c r="D11" s="204"/>
      <c r="E11" s="204"/>
      <c r="F11" s="204"/>
      <c r="G11" s="205"/>
    </row>
    <row r="12" spans="1:7" ht="86.25" customHeight="1" thickBot="1" x14ac:dyDescent="0.35">
      <c r="A12" s="206"/>
      <c r="B12" s="195"/>
      <c r="C12" s="195"/>
      <c r="D12" s="195"/>
      <c r="E12" s="195"/>
      <c r="F12" s="195"/>
      <c r="G12" s="207"/>
    </row>
    <row r="13" spans="1:7" ht="15.65" thickBot="1" x14ac:dyDescent="0.35"/>
    <row r="14" spans="1:7" ht="15.65" thickBot="1" x14ac:dyDescent="0.35">
      <c r="A14" s="208" t="s">
        <v>45</v>
      </c>
      <c r="B14" s="209" t="s">
        <v>33</v>
      </c>
      <c r="C14" s="209"/>
      <c r="D14" s="209"/>
      <c r="E14" s="209" t="s">
        <v>32</v>
      </c>
      <c r="F14" s="209"/>
      <c r="G14" s="209"/>
    </row>
    <row r="15" spans="1:7" ht="15.05" customHeight="1" thickBot="1" x14ac:dyDescent="0.35">
      <c r="A15" s="208"/>
      <c r="B15" s="210" t="s">
        <v>8</v>
      </c>
      <c r="C15" s="210" t="s">
        <v>15</v>
      </c>
      <c r="D15" s="210" t="s">
        <v>46</v>
      </c>
      <c r="E15" s="210" t="s">
        <v>8</v>
      </c>
      <c r="F15" s="210" t="s">
        <v>15</v>
      </c>
      <c r="G15" s="210" t="s">
        <v>46</v>
      </c>
    </row>
    <row r="16" spans="1:7" ht="15.65" thickBot="1" x14ac:dyDescent="0.35">
      <c r="A16" s="208"/>
      <c r="B16" s="210"/>
      <c r="C16" s="210"/>
      <c r="D16" s="210"/>
      <c r="E16" s="210"/>
      <c r="F16" s="210"/>
      <c r="G16" s="210"/>
    </row>
    <row r="17" spans="1:7" x14ac:dyDescent="0.3">
      <c r="A17" s="54" t="str">
        <f>+'(2)(a)(i) One Time (all)'!A17</f>
        <v>Baker River Project - Lower Baker Unit 3</v>
      </c>
      <c r="B17" s="55">
        <f>'(2)(a)(i) One Time (all)'!G17</f>
        <v>-690000</v>
      </c>
      <c r="C17" s="56"/>
      <c r="D17" s="56"/>
      <c r="E17" s="55">
        <f>'(2)(a)(i) One Time (all)'!G17</f>
        <v>-690000</v>
      </c>
      <c r="F17" s="56"/>
      <c r="G17" s="56"/>
    </row>
    <row r="18" spans="1:7" x14ac:dyDescent="0.3">
      <c r="A18" s="54" t="str">
        <f>+'(2)(a)(i) One Time (all)'!A18</f>
        <v>Snoqualmie Falls - Snoqualmie Falls Units 1-4</v>
      </c>
      <c r="B18" s="57">
        <f>'(2)(a)(i) One Time (all)'!G18</f>
        <v>670000</v>
      </c>
      <c r="C18" s="58"/>
      <c r="D18" s="58"/>
      <c r="E18" s="57">
        <f>'(2)(a)(i) One Time (all)'!G18</f>
        <v>670000</v>
      </c>
      <c r="F18" s="58"/>
      <c r="G18" s="59"/>
    </row>
    <row r="19" spans="1:7" x14ac:dyDescent="0.3">
      <c r="A19" s="54" t="str">
        <f>+'(2)(a)(i) One Time (all)'!A19</f>
        <v>Wild Horse - Wild Horse</v>
      </c>
      <c r="B19" s="57">
        <f>'(2)(a)(i) One Time (all)'!G19</f>
        <v>5200000</v>
      </c>
      <c r="C19" s="58"/>
      <c r="D19" s="58"/>
      <c r="E19" s="57">
        <f>'(2)(a)(i) One Time (all)'!G19</f>
        <v>5200000</v>
      </c>
      <c r="F19" s="58"/>
      <c r="G19" s="149" t="s">
        <v>87</v>
      </c>
    </row>
    <row r="20" spans="1:7" x14ac:dyDescent="0.3">
      <c r="A20" s="54" t="str">
        <f>+'(2)(a)(i) One Time (all)'!A20</f>
        <v>Hopkins Ridge - Hopkins Ridge</v>
      </c>
      <c r="B20" s="57">
        <f>'(2)(a)(i) One Time (all)'!G20</f>
        <v>-2200000</v>
      </c>
      <c r="C20" s="58"/>
      <c r="D20" s="58"/>
      <c r="E20" s="57">
        <f>'(2)(a)(i) One Time (all)'!G20</f>
        <v>-2200000</v>
      </c>
      <c r="F20" s="58"/>
      <c r="G20" s="56"/>
    </row>
    <row r="21" spans="1:7" x14ac:dyDescent="0.3">
      <c r="A21" s="54" t="str">
        <f>+'(2)(a)(i) One Time (all)'!A21</f>
        <v>Wild Horse - Wild Horse - Phase II</v>
      </c>
      <c r="B21" s="57">
        <f>'(2)(a)(i) One Time (all)'!G21</f>
        <v>4130000</v>
      </c>
      <c r="C21" s="58"/>
      <c r="D21" s="58"/>
      <c r="E21" s="57">
        <f>'(2)(a)(i) One Time (all)'!G21</f>
        <v>4130000</v>
      </c>
      <c r="F21" s="58"/>
      <c r="G21" s="58"/>
    </row>
    <row r="22" spans="1:7" x14ac:dyDescent="0.3">
      <c r="A22" s="54" t="str">
        <f>+'(2)(a)(i) One Time (all)'!A22</f>
        <v>Hopkins Ridge - Hopkins Ridge Phase II</v>
      </c>
      <c r="B22" s="57">
        <f>'(2)(a)(i) One Time (all)'!G22</f>
        <v>-80000</v>
      </c>
      <c r="C22" s="58"/>
      <c r="D22" s="58"/>
      <c r="E22" s="57">
        <f>'(2)(a)(i) One Time (all)'!G22</f>
        <v>-80000</v>
      </c>
      <c r="F22" s="58"/>
      <c r="G22" s="58"/>
    </row>
    <row r="23" spans="1:7" x14ac:dyDescent="0.3">
      <c r="A23" s="54" t="str">
        <f>+'(2)(a)(i) One Time (all)'!A23</f>
        <v>Lower Snake River - Dodge Junction - LSR-Dodge Junction</v>
      </c>
      <c r="B23" s="57">
        <f>'(2)(a)(i) One Time (all)'!G23</f>
        <v>11370000</v>
      </c>
      <c r="C23" s="58"/>
      <c r="D23" s="58"/>
      <c r="E23" s="57">
        <f>'(2)(a)(i) One Time (all)'!G23</f>
        <v>11370000</v>
      </c>
      <c r="F23" s="58"/>
      <c r="G23" s="58"/>
    </row>
    <row r="24" spans="1:7" x14ac:dyDescent="0.3">
      <c r="A24" s="54" t="str">
        <f>+'(2)(a)(i) One Time (all)'!A24</f>
        <v>Lower Snake River - Phalen Gulch - LSR-Phalen Gulch</v>
      </c>
      <c r="B24" s="57">
        <f>'(2)(a)(i) One Time (all)'!G24</f>
        <v>9050000</v>
      </c>
      <c r="C24" s="58"/>
      <c r="D24" s="58"/>
      <c r="E24" s="57">
        <f>'(2)(a)(i) One Time (all)'!G24</f>
        <v>9050000</v>
      </c>
      <c r="F24" s="58"/>
      <c r="G24" s="59"/>
    </row>
    <row r="25" spans="1:7" x14ac:dyDescent="0.3">
      <c r="A25" s="54" t="str">
        <f>+'(2)(a)(i) One Time (all)'!A25</f>
        <v>Klondike III - Klondike Wind Power III LLC</v>
      </c>
      <c r="B25" s="57">
        <f>'(2)(a)(i) One Time (all)'!G25</f>
        <v>360000</v>
      </c>
      <c r="C25" s="96"/>
      <c r="D25" s="58"/>
      <c r="E25" s="57">
        <f>'(2)(a)(i) One Time (all)'!G25</f>
        <v>360000</v>
      </c>
      <c r="F25" s="58"/>
      <c r="G25" s="149" t="s">
        <v>87</v>
      </c>
    </row>
    <row r="26" spans="1:7" s="80" customFormat="1" x14ac:dyDescent="0.3">
      <c r="A26" s="136" t="s">
        <v>66</v>
      </c>
      <c r="B26" s="137"/>
      <c r="C26" s="138"/>
      <c r="D26" s="137"/>
      <c r="E26" s="96"/>
      <c r="F26" s="96">
        <f>+'(R) REC PURCHASES'!H13</f>
        <v>671857.2</v>
      </c>
      <c r="G26" s="144">
        <f>D26</f>
        <v>0</v>
      </c>
    </row>
    <row r="27" spans="1:7" x14ac:dyDescent="0.3">
      <c r="A27" s="35"/>
      <c r="B27" s="67">
        <f>'(2)(a)(i) One Time (all)'!G27</f>
        <v>0</v>
      </c>
      <c r="C27" s="59"/>
      <c r="D27" s="64"/>
      <c r="E27" s="67">
        <f>'(2)(a)(i) One Time (all)'!G27</f>
        <v>0</v>
      </c>
      <c r="F27" s="59"/>
      <c r="G27" s="59"/>
    </row>
    <row r="28" spans="1:7" x14ac:dyDescent="0.3">
      <c r="A28" s="35"/>
      <c r="B28" s="67">
        <f>'(2)(a)(i) One Time (all)'!G28</f>
        <v>0</v>
      </c>
      <c r="C28" s="59"/>
      <c r="D28" s="64"/>
      <c r="E28" s="67">
        <f>'(2)(a)(i) One Time (all)'!G28</f>
        <v>0</v>
      </c>
      <c r="F28" s="59"/>
      <c r="G28" s="59"/>
    </row>
    <row r="29" spans="1:7" ht="15.65" thickBot="1" x14ac:dyDescent="0.35">
      <c r="A29" s="9"/>
      <c r="B29" s="57">
        <f>'(2)(a)(i) One Time (all)'!G29</f>
        <v>0</v>
      </c>
      <c r="C29" s="59"/>
      <c r="D29" s="59"/>
      <c r="E29" s="67">
        <f>'(2)(a)(i) One Time (all)'!G29</f>
        <v>0</v>
      </c>
      <c r="F29" s="59"/>
      <c r="G29" s="59">
        <f>D29</f>
        <v>0</v>
      </c>
    </row>
    <row r="30" spans="1:7" ht="15.65" thickBot="1" x14ac:dyDescent="0.35">
      <c r="A30" s="14" t="s">
        <v>26</v>
      </c>
      <c r="B30" s="60">
        <f t="shared" ref="B30:F30" si="0">SUM(B17:B29)</f>
        <v>27810000</v>
      </c>
      <c r="C30" s="60">
        <f t="shared" si="0"/>
        <v>0</v>
      </c>
      <c r="D30" s="60">
        <f t="shared" si="0"/>
        <v>0</v>
      </c>
      <c r="E30" s="60">
        <f t="shared" si="0"/>
        <v>27810000</v>
      </c>
      <c r="F30" s="60">
        <f t="shared" si="0"/>
        <v>671857.2</v>
      </c>
      <c r="G30" s="61">
        <v>-837015</v>
      </c>
    </row>
    <row r="31" spans="1:7" ht="15.65" thickBot="1" x14ac:dyDescent="0.35">
      <c r="A31" s="49" t="s">
        <v>29</v>
      </c>
      <c r="B31" s="62">
        <f>B30*'(2)(a)(i) One Time (all)'!$G$33</f>
        <v>27810000</v>
      </c>
      <c r="C31" s="62">
        <f>C30*'(2)(a)(i) One Time (all)'!$G$33</f>
        <v>0</v>
      </c>
      <c r="D31" s="62">
        <f>D30*'(2)(a)(i) One Time (all)'!$G$33</f>
        <v>0</v>
      </c>
      <c r="E31" s="62">
        <f>E30*'(2)(a)(i) One Time (all)'!$G$33</f>
        <v>27810000</v>
      </c>
      <c r="F31" s="62">
        <f>F30*'(2)(a)(i) One Time (all)'!$G$33</f>
        <v>671857.2</v>
      </c>
      <c r="G31" s="63">
        <v>-837015</v>
      </c>
    </row>
    <row r="32" spans="1:7" x14ac:dyDescent="0.3">
      <c r="A32" s="71"/>
      <c r="B32" s="72"/>
      <c r="C32" s="72"/>
      <c r="D32" s="72"/>
      <c r="E32" s="72"/>
      <c r="F32" s="72"/>
      <c r="G32" s="70"/>
    </row>
    <row r="33" spans="1:8" x14ac:dyDescent="0.3">
      <c r="A33" s="73"/>
      <c r="B33" s="74"/>
      <c r="C33" s="74"/>
      <c r="D33" s="74"/>
      <c r="E33" s="74"/>
      <c r="F33" s="74"/>
      <c r="G33" s="70"/>
    </row>
    <row r="34" spans="1:8" x14ac:dyDescent="0.3">
      <c r="A34" s="48"/>
      <c r="B34" s="57"/>
      <c r="C34" s="57"/>
      <c r="D34" s="57"/>
      <c r="E34" s="58"/>
      <c r="F34" s="58"/>
      <c r="G34" s="58"/>
    </row>
    <row r="35" spans="1:8" x14ac:dyDescent="0.3">
      <c r="A35" s="24"/>
      <c r="B35" s="64"/>
      <c r="C35" s="64"/>
      <c r="D35" s="64"/>
      <c r="E35" s="59"/>
      <c r="F35" s="59"/>
      <c r="G35" s="59"/>
    </row>
    <row r="36" spans="1:8" x14ac:dyDescent="0.3">
      <c r="A36" s="24"/>
      <c r="B36" s="64"/>
      <c r="C36" s="64"/>
      <c r="D36" s="64"/>
      <c r="E36" s="59"/>
      <c r="F36" s="59"/>
      <c r="G36" s="59"/>
    </row>
    <row r="37" spans="1:8" ht="15.65" thickBot="1" x14ac:dyDescent="0.35">
      <c r="A37" s="24"/>
      <c r="B37" s="59"/>
      <c r="C37" s="64"/>
      <c r="D37" s="59"/>
      <c r="E37" s="64"/>
      <c r="F37" s="59"/>
      <c r="G37" s="59"/>
    </row>
    <row r="38" spans="1:8" ht="15.65" thickBot="1" x14ac:dyDescent="0.35">
      <c r="A38" s="49"/>
      <c r="B38" s="62">
        <f>SUM(B34:B37)</f>
        <v>0</v>
      </c>
      <c r="C38" s="62">
        <f>SUM(C34:C37)</f>
        <v>0</v>
      </c>
      <c r="D38" s="62">
        <f t="shared" ref="D38:E38" si="1">SUM(D34:D37)</f>
        <v>0</v>
      </c>
      <c r="E38" s="62">
        <f t="shared" si="1"/>
        <v>0</v>
      </c>
      <c r="F38" s="62">
        <f>SUM(F34:F37)</f>
        <v>0</v>
      </c>
      <c r="G38" s="62">
        <f>SUM(G34:G37)</f>
        <v>0</v>
      </c>
    </row>
    <row r="39" spans="1:8" ht="15.65" thickBot="1" x14ac:dyDescent="0.35">
      <c r="A39" s="15"/>
      <c r="B39" s="65"/>
      <c r="C39" s="65"/>
      <c r="D39" s="65"/>
      <c r="E39" s="65"/>
      <c r="F39" s="65"/>
      <c r="G39" s="66"/>
    </row>
    <row r="40" spans="1:8" ht="15.65" thickBot="1" x14ac:dyDescent="0.35">
      <c r="A40" s="53" t="s">
        <v>30</v>
      </c>
      <c r="B40" s="62">
        <f t="shared" ref="B40:G40" si="2">B31+B38</f>
        <v>27810000</v>
      </c>
      <c r="C40" s="62">
        <f t="shared" si="2"/>
        <v>0</v>
      </c>
      <c r="D40" s="62">
        <f t="shared" si="2"/>
        <v>0</v>
      </c>
      <c r="E40" s="62">
        <f t="shared" si="2"/>
        <v>27810000</v>
      </c>
      <c r="F40" s="62">
        <f t="shared" si="2"/>
        <v>671857.2</v>
      </c>
      <c r="G40" s="62">
        <f t="shared" si="2"/>
        <v>-837015</v>
      </c>
    </row>
    <row r="41" spans="1:8" ht="15.65" thickBot="1" x14ac:dyDescent="0.35">
      <c r="A41" s="50"/>
      <c r="B41" s="51"/>
      <c r="C41" s="51"/>
      <c r="D41" s="51"/>
      <c r="E41" s="52"/>
      <c r="F41" s="52"/>
      <c r="G41" s="51"/>
    </row>
    <row r="42" spans="1:8" ht="15.65" thickBot="1" x14ac:dyDescent="0.35">
      <c r="A42" s="212" t="s">
        <v>52</v>
      </c>
      <c r="B42" s="213"/>
      <c r="C42" s="214"/>
      <c r="D42" s="139">
        <v>1996287283</v>
      </c>
      <c r="E42" s="140"/>
      <c r="F42" s="140"/>
      <c r="G42" s="139">
        <f>+D42</f>
        <v>1996287283</v>
      </c>
    </row>
    <row r="43" spans="1:8" x14ac:dyDescent="0.3">
      <c r="A43" s="80"/>
      <c r="B43" s="141" t="s">
        <v>48</v>
      </c>
      <c r="C43" s="71"/>
      <c r="D43" s="142">
        <f>SUM(B40:D40)*1.047614</f>
        <v>29134145.34</v>
      </c>
      <c r="E43" s="141" t="s">
        <v>56</v>
      </c>
      <c r="F43" s="71"/>
      <c r="G43" s="142">
        <f>SUM(E40:G40)*1.047614</f>
        <v>28961123.716510799</v>
      </c>
      <c r="H43" s="102"/>
    </row>
    <row r="44" spans="1:8" ht="15.05" customHeight="1" x14ac:dyDescent="0.3">
      <c r="A44" s="80"/>
      <c r="B44" s="215">
        <f>D43/D42</f>
        <v>1.4594164671638595E-2</v>
      </c>
      <c r="C44" s="216"/>
      <c r="D44" s="217"/>
      <c r="E44" s="215">
        <f>G43/G42</f>
        <v>1.4507492966136777E-2</v>
      </c>
      <c r="F44" s="216"/>
      <c r="G44" s="217"/>
    </row>
    <row r="45" spans="1:8" ht="15.65" thickBot="1" x14ac:dyDescent="0.35">
      <c r="A45" s="80"/>
      <c r="B45" s="218"/>
      <c r="C45" s="219"/>
      <c r="D45" s="220"/>
      <c r="E45" s="218"/>
      <c r="F45" s="219"/>
      <c r="G45" s="220"/>
    </row>
    <row r="46" spans="1:8" x14ac:dyDescent="0.3">
      <c r="F46" s="2"/>
      <c r="G46" s="3"/>
    </row>
    <row r="47" spans="1:8" x14ac:dyDescent="0.3">
      <c r="F47" s="2"/>
      <c r="G47" s="3"/>
    </row>
    <row r="48" spans="1:8" x14ac:dyDescent="0.3">
      <c r="A48" s="68" t="s">
        <v>31</v>
      </c>
      <c r="F48" s="2"/>
      <c r="G48" s="3"/>
    </row>
    <row r="49" spans="1:6" s="80" customFormat="1" x14ac:dyDescent="0.3">
      <c r="A49" s="211" t="s">
        <v>83</v>
      </c>
      <c r="B49" s="211"/>
      <c r="C49" s="211"/>
      <c r="D49" s="211"/>
      <c r="E49" s="211"/>
      <c r="F49" s="211"/>
    </row>
    <row r="50" spans="1:6" s="80" customFormat="1" x14ac:dyDescent="0.3">
      <c r="A50" s="211" t="s">
        <v>78</v>
      </c>
      <c r="B50" s="211"/>
      <c r="C50" s="211"/>
      <c r="D50" s="211"/>
      <c r="E50" s="211"/>
      <c r="F50" s="211"/>
    </row>
    <row r="51" spans="1:6" s="80" customFormat="1" x14ac:dyDescent="0.3">
      <c r="A51" s="211" t="s">
        <v>55</v>
      </c>
      <c r="B51" s="211"/>
      <c r="C51" s="211"/>
      <c r="D51" s="211"/>
      <c r="E51" s="211"/>
      <c r="F51" s="211"/>
    </row>
    <row r="52" spans="1:6" s="80" customFormat="1" x14ac:dyDescent="0.3">
      <c r="A52" s="80" t="s">
        <v>57</v>
      </c>
    </row>
    <row r="53" spans="1:6" s="80" customFormat="1" x14ac:dyDescent="0.3">
      <c r="A53" s="80" t="s">
        <v>76</v>
      </c>
      <c r="F53" s="87"/>
    </row>
    <row r="54" spans="1:6" s="80" customFormat="1" x14ac:dyDescent="0.3">
      <c r="A54" s="80" t="s">
        <v>79</v>
      </c>
      <c r="F54" s="87"/>
    </row>
    <row r="55" spans="1:6" s="80" customFormat="1" x14ac:dyDescent="0.3">
      <c r="A55" s="80" t="s">
        <v>82</v>
      </c>
      <c r="B55" s="97"/>
      <c r="C55" s="97"/>
      <c r="D55" s="97"/>
      <c r="E55" s="97"/>
      <c r="F55" s="97"/>
    </row>
    <row r="56" spans="1:6" s="80" customFormat="1" x14ac:dyDescent="0.3">
      <c r="A56" s="98"/>
      <c r="B56" s="97"/>
      <c r="C56" s="97"/>
      <c r="D56" s="97"/>
      <c r="E56" s="97"/>
      <c r="F56" s="97"/>
    </row>
    <row r="57" spans="1:6" s="80" customFormat="1" x14ac:dyDescent="0.3">
      <c r="A57" s="98"/>
    </row>
  </sheetData>
  <mergeCells count="18">
    <mergeCell ref="A51:F51"/>
    <mergeCell ref="A49:F49"/>
    <mergeCell ref="A50:F50"/>
    <mergeCell ref="A42:C42"/>
    <mergeCell ref="B44:D45"/>
    <mergeCell ref="E44:G45"/>
    <mergeCell ref="A2:G2"/>
    <mergeCell ref="A3:G6"/>
    <mergeCell ref="A7:G12"/>
    <mergeCell ref="A14:A16"/>
    <mergeCell ref="B14:D14"/>
    <mergeCell ref="E14:G14"/>
    <mergeCell ref="B15:B16"/>
    <mergeCell ref="C15:C16"/>
    <mergeCell ref="D15:D16"/>
    <mergeCell ref="E15:E16"/>
    <mergeCell ref="F15:F16"/>
    <mergeCell ref="G15:G16"/>
  </mergeCells>
  <pageMargins left="0.25" right="0.25" top="0.75" bottom="0.75" header="0.3" footer="0.3"/>
  <pageSetup scale="58" orientation="landscape" r:id="rId1"/>
  <headerFooter>
    <oddHeader xml:space="preserve">&amp;C                                                                                                                                                &amp;"-,Bold"SHADED INFORMATION IS DSIGNATED CONFIDENTIAL PER WAC 480-07-160&amp;"-,Regular"
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topLeftCell="A13" zoomScaleNormal="100" workbookViewId="0">
      <selection activeCell="B26" sqref="B26"/>
    </sheetView>
  </sheetViews>
  <sheetFormatPr defaultColWidth="9.109375" defaultRowHeight="14.4" x14ac:dyDescent="0.25"/>
  <cols>
    <col min="1" max="1" width="69.33203125" style="4" customWidth="1"/>
    <col min="2" max="2" width="17.44140625" style="4" customWidth="1"/>
    <col min="3" max="3" width="14.109375" style="4" customWidth="1"/>
    <col min="4" max="4" width="20.44140625" style="4" customWidth="1"/>
    <col min="5" max="5" width="32.44140625" style="4" customWidth="1"/>
    <col min="6" max="6" width="49.77734375" style="4" customWidth="1"/>
    <col min="7" max="7" width="4.44140625" style="4" customWidth="1"/>
    <col min="8" max="8" width="14.77734375" style="4" customWidth="1"/>
    <col min="9" max="9" width="13.44140625" style="4" bestFit="1" customWidth="1"/>
    <col min="10" max="10" width="12.109375" style="4" bestFit="1" customWidth="1"/>
    <col min="11" max="16384" width="9.109375" style="4"/>
  </cols>
  <sheetData>
    <row r="1" spans="1:9" s="77" customFormat="1" ht="15.05" x14ac:dyDescent="0.3">
      <c r="A1" s="76" t="s">
        <v>67</v>
      </c>
      <c r="B1" s="76"/>
      <c r="C1" s="76"/>
      <c r="F1" s="78" t="s">
        <v>47</v>
      </c>
    </row>
    <row r="2" spans="1:9" ht="31.5" customHeight="1" thickBot="1" x14ac:dyDescent="0.45">
      <c r="A2" s="194" t="s">
        <v>58</v>
      </c>
      <c r="B2" s="221"/>
      <c r="C2" s="221"/>
      <c r="D2" s="221"/>
      <c r="E2" s="221"/>
      <c r="F2" s="221"/>
    </row>
    <row r="3" spans="1:9" ht="52.45" customHeight="1" thickBot="1" x14ac:dyDescent="0.45">
      <c r="A3" s="81">
        <v>2020</v>
      </c>
      <c r="B3" s="221" t="s">
        <v>14</v>
      </c>
      <c r="C3" s="225"/>
      <c r="D3" s="225"/>
      <c r="E3" s="225"/>
      <c r="F3" s="225"/>
    </row>
    <row r="4" spans="1:9" ht="18" customHeight="1" x14ac:dyDescent="0.4">
      <c r="A4" s="8"/>
      <c r="B4" s="222" t="s">
        <v>1</v>
      </c>
      <c r="C4" s="223"/>
      <c r="D4" s="224"/>
      <c r="E4" s="222" t="s">
        <v>12</v>
      </c>
      <c r="F4" s="224"/>
    </row>
    <row r="5" spans="1:9" ht="43.2" x14ac:dyDescent="0.25">
      <c r="A5" s="18" t="s">
        <v>2</v>
      </c>
      <c r="B5" s="18" t="s">
        <v>9</v>
      </c>
      <c r="C5" s="18" t="s">
        <v>10</v>
      </c>
      <c r="D5" s="18" t="s">
        <v>13</v>
      </c>
      <c r="E5" s="18" t="s">
        <v>11</v>
      </c>
      <c r="F5" s="18" t="s">
        <v>16</v>
      </c>
    </row>
    <row r="6" spans="1:9" x14ac:dyDescent="0.25">
      <c r="A6" s="19" t="s">
        <v>35</v>
      </c>
      <c r="B6" s="16">
        <f>'(2)(a)(i) One Time (all)'!G17</f>
        <v>-690000</v>
      </c>
      <c r="C6" s="17">
        <v>109500</v>
      </c>
      <c r="D6" s="82">
        <f>B6/C6</f>
        <v>-6.3013698630136989</v>
      </c>
      <c r="E6" s="145">
        <v>70693</v>
      </c>
      <c r="F6" s="20">
        <f>E6*D6</f>
        <v>-445462.73972602742</v>
      </c>
      <c r="I6" s="94"/>
    </row>
    <row r="7" spans="1:9" x14ac:dyDescent="0.25">
      <c r="A7" s="21" t="s">
        <v>36</v>
      </c>
      <c r="B7" s="16">
        <f>'(2)(a)(i) One Time (all)'!G18</f>
        <v>670000</v>
      </c>
      <c r="C7" s="17">
        <v>34164</v>
      </c>
      <c r="D7" s="82">
        <f t="shared" ref="D7:D14" si="0">B7/C7</f>
        <v>19.611286734574406</v>
      </c>
      <c r="E7" s="128">
        <v>17398</v>
      </c>
      <c r="F7" s="20">
        <f t="shared" ref="F7:F14" si="1">E7*D7</f>
        <v>341197.1666081255</v>
      </c>
      <c r="I7" s="94"/>
    </row>
    <row r="8" spans="1:9" x14ac:dyDescent="0.25">
      <c r="A8" s="21" t="s">
        <v>37</v>
      </c>
      <c r="B8" s="16">
        <f>'(2)(a)(i) One Time (all)'!G19</f>
        <v>5200000</v>
      </c>
      <c r="C8" s="17">
        <v>642984</v>
      </c>
      <c r="D8" s="82">
        <f t="shared" si="0"/>
        <v>8.0872929964042655</v>
      </c>
      <c r="E8" s="101">
        <v>343366</v>
      </c>
      <c r="F8" s="20">
        <f t="shared" si="1"/>
        <v>2776901.4470033469</v>
      </c>
      <c r="I8" s="94"/>
    </row>
    <row r="9" spans="1:9" x14ac:dyDescent="0.25">
      <c r="A9" s="21" t="s">
        <v>69</v>
      </c>
      <c r="B9" s="16">
        <f>'(2)(a)(i) One Time (all)'!G20</f>
        <v>-2200000</v>
      </c>
      <c r="C9" s="17">
        <v>466908</v>
      </c>
      <c r="D9" s="82">
        <f t="shared" si="0"/>
        <v>-4.7118490152235557</v>
      </c>
      <c r="E9" s="17">
        <v>324844</v>
      </c>
      <c r="F9" s="20">
        <f t="shared" si="1"/>
        <v>-1530615.8815012807</v>
      </c>
      <c r="I9" s="94"/>
    </row>
    <row r="10" spans="1:9" x14ac:dyDescent="0.25">
      <c r="A10" s="21" t="s">
        <v>71</v>
      </c>
      <c r="B10" s="16">
        <f>'(2)(a)(i) One Time (all)'!G21</f>
        <v>4130000</v>
      </c>
      <c r="C10" s="17">
        <v>91980</v>
      </c>
      <c r="D10" s="82">
        <f t="shared" si="0"/>
        <v>44.901065449010652</v>
      </c>
      <c r="E10" s="17">
        <v>190289</v>
      </c>
      <c r="F10" s="20">
        <f t="shared" si="1"/>
        <v>8544178.8432267886</v>
      </c>
      <c r="I10" s="94"/>
    </row>
    <row r="11" spans="1:9" x14ac:dyDescent="0.25">
      <c r="A11" s="21" t="s">
        <v>74</v>
      </c>
      <c r="B11" s="16">
        <f>'(2)(a)(i) One Time (all)'!G22</f>
        <v>-80000</v>
      </c>
      <c r="C11" s="17">
        <v>21024</v>
      </c>
      <c r="D11" s="82">
        <f t="shared" si="0"/>
        <v>-3.8051750380517504</v>
      </c>
      <c r="E11" s="17">
        <v>33200</v>
      </c>
      <c r="F11" s="20">
        <f t="shared" si="1"/>
        <v>-126331.81126331812</v>
      </c>
      <c r="I11" s="94"/>
    </row>
    <row r="12" spans="1:9" x14ac:dyDescent="0.25">
      <c r="A12" s="21" t="s">
        <v>72</v>
      </c>
      <c r="B12" s="16">
        <f>'(2)(a)(i) One Time (all)'!G23</f>
        <v>11370000</v>
      </c>
      <c r="C12" s="17">
        <v>500172</v>
      </c>
      <c r="D12" s="82">
        <f t="shared" si="0"/>
        <v>22.732180130035267</v>
      </c>
      <c r="E12" s="17">
        <v>835891</v>
      </c>
      <c r="F12" s="20">
        <f t="shared" si="1"/>
        <v>19001624.78107531</v>
      </c>
      <c r="I12" s="94"/>
    </row>
    <row r="13" spans="1:9" x14ac:dyDescent="0.25">
      <c r="A13" s="21" t="s">
        <v>70</v>
      </c>
      <c r="B13" s="16">
        <f>'(2)(a)(i) One Time (all)'!G24</f>
        <v>9050000</v>
      </c>
      <c r="C13" s="17">
        <v>397728</v>
      </c>
      <c r="D13" s="82">
        <f t="shared" si="0"/>
        <v>22.754244106525061</v>
      </c>
      <c r="E13" s="17">
        <v>608886</v>
      </c>
      <c r="F13" s="20">
        <f t="shared" si="1"/>
        <v>13854740.677045617</v>
      </c>
      <c r="I13" s="94"/>
    </row>
    <row r="14" spans="1:9" x14ac:dyDescent="0.25">
      <c r="A14" s="21" t="s">
        <v>73</v>
      </c>
      <c r="B14" s="16">
        <f>'(2)(a)(i) One Time (all)'!G25</f>
        <v>360000</v>
      </c>
      <c r="C14" s="17">
        <v>157680</v>
      </c>
      <c r="D14" s="82">
        <f t="shared" si="0"/>
        <v>2.2831050228310503</v>
      </c>
      <c r="E14" s="101">
        <v>133498</v>
      </c>
      <c r="F14" s="20">
        <f t="shared" si="1"/>
        <v>304789.95433789957</v>
      </c>
      <c r="I14" s="94"/>
    </row>
    <row r="15" spans="1:9" x14ac:dyDescent="0.25">
      <c r="A15" s="21"/>
      <c r="B15" s="16"/>
      <c r="C15" s="17"/>
      <c r="D15" s="82"/>
      <c r="E15" s="101"/>
      <c r="F15" s="20"/>
      <c r="I15" s="94"/>
    </row>
    <row r="16" spans="1:9" s="97" customFormat="1" x14ac:dyDescent="0.25">
      <c r="A16" s="99" t="s">
        <v>68</v>
      </c>
      <c r="B16" s="17"/>
      <c r="C16" s="17"/>
      <c r="D16" s="134">
        <f>+'(R) REC PURCHASES'!H15</f>
        <v>2.9248824574234664</v>
      </c>
      <c r="E16" s="101">
        <v>229704</v>
      </c>
      <c r="F16" s="143">
        <f>+E16*D16</f>
        <v>671857.2</v>
      </c>
      <c r="I16" s="100"/>
    </row>
    <row r="17" spans="1:9" x14ac:dyDescent="0.25">
      <c r="A17" s="21" t="s">
        <v>77</v>
      </c>
      <c r="B17" s="16"/>
      <c r="C17" s="17"/>
      <c r="D17" s="135"/>
      <c r="E17" s="84"/>
      <c r="F17" s="20">
        <f>+'(R)(2)(a)(ii)Annual2020estimate'!G30</f>
        <v>-837015</v>
      </c>
      <c r="I17" s="94"/>
    </row>
    <row r="18" spans="1:9" x14ac:dyDescent="0.25">
      <c r="A18" s="21" t="s">
        <v>49</v>
      </c>
      <c r="B18" s="22"/>
      <c r="C18" s="17"/>
      <c r="D18" s="22"/>
      <c r="E18" s="16">
        <v>327014</v>
      </c>
      <c r="F18" s="23">
        <v>0</v>
      </c>
    </row>
    <row r="19" spans="1:9" x14ac:dyDescent="0.25">
      <c r="A19" s="21"/>
      <c r="B19" s="22"/>
      <c r="C19" s="16"/>
      <c r="D19" s="22"/>
      <c r="E19" s="83"/>
      <c r="F19" s="23"/>
    </row>
    <row r="20" spans="1:9" x14ac:dyDescent="0.25">
      <c r="A20" s="21"/>
      <c r="B20" s="16"/>
      <c r="C20" s="16"/>
      <c r="D20" s="20"/>
      <c r="E20" s="84"/>
      <c r="F20" s="20"/>
    </row>
    <row r="21" spans="1:9" s="85" customFormat="1" x14ac:dyDescent="0.25">
      <c r="A21" s="88" t="s">
        <v>53</v>
      </c>
      <c r="B21" s="89">
        <f>SUM(B6:B20)</f>
        <v>27810000</v>
      </c>
      <c r="C21" s="89">
        <f>SUM(C6:C20)</f>
        <v>2422140</v>
      </c>
      <c r="D21" s="90">
        <f t="shared" ref="D21" si="2">B21/C21</f>
        <v>11.481582402338429</v>
      </c>
      <c r="E21" s="17">
        <f>SUM(E6:E19)</f>
        <v>3114783</v>
      </c>
      <c r="F21" s="92">
        <f>SUM(F5:F20)</f>
        <v>42555864.636806466</v>
      </c>
    </row>
    <row r="22" spans="1:9" x14ac:dyDescent="0.25">
      <c r="E22" s="133"/>
      <c r="F22" s="93">
        <f>+F21/E21</f>
        <v>13.662545556723041</v>
      </c>
    </row>
    <row r="23" spans="1:9" ht="15.05" x14ac:dyDescent="0.3">
      <c r="A23" s="28" t="s">
        <v>50</v>
      </c>
      <c r="E23" s="91"/>
      <c r="F23" s="86" t="s">
        <v>51</v>
      </c>
    </row>
    <row r="24" spans="1:9" x14ac:dyDescent="0.25">
      <c r="E24" s="95"/>
    </row>
    <row r="25" spans="1:9" s="80" customFormat="1" ht="15.05" x14ac:dyDescent="0.3">
      <c r="A25" s="98" t="s">
        <v>80</v>
      </c>
      <c r="F25" s="87"/>
    </row>
    <row r="26" spans="1:9" s="97" customFormat="1" ht="15.05" x14ac:dyDescent="0.3">
      <c r="A26" s="98" t="s">
        <v>81</v>
      </c>
    </row>
  </sheetData>
  <mergeCells count="4">
    <mergeCell ref="A2:F2"/>
    <mergeCell ref="B4:D4"/>
    <mergeCell ref="E4:F4"/>
    <mergeCell ref="B3:F3"/>
  </mergeCells>
  <pageMargins left="0.25" right="0.25" top="0.75" bottom="0.75" header="0.3" footer="0.3"/>
  <pageSetup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"/>
  <sheetViews>
    <sheetView showGridLines="0" topLeftCell="B4" zoomScaleNormal="100" workbookViewId="0">
      <selection activeCell="E18" sqref="E18"/>
    </sheetView>
  </sheetViews>
  <sheetFormatPr defaultColWidth="8.77734375" defaultRowHeight="15.05" x14ac:dyDescent="0.3"/>
  <cols>
    <col min="1" max="1" width="30.6640625" style="103" customWidth="1"/>
    <col min="2" max="2" width="8.77734375" style="103"/>
    <col min="3" max="3" width="50.6640625" style="103" customWidth="1"/>
    <col min="4" max="6" width="8.77734375" style="103"/>
    <col min="7" max="7" width="9" style="103" customWidth="1"/>
    <col min="8" max="8" width="14.109375" style="103" customWidth="1"/>
    <col min="9" max="9" width="28" style="103" bestFit="1" customWidth="1"/>
    <col min="10" max="10" width="10.44140625" style="103" bestFit="1" customWidth="1"/>
    <col min="11" max="11" width="12.44140625" style="103" bestFit="1" customWidth="1"/>
    <col min="12" max="16384" width="8.77734375" style="103"/>
  </cols>
  <sheetData>
    <row r="1" spans="1:28" x14ac:dyDescent="0.3">
      <c r="A1" s="127"/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</row>
    <row r="4" spans="1:28" x14ac:dyDescent="0.3">
      <c r="C4" s="126" t="s">
        <v>84</v>
      </c>
    </row>
    <row r="5" spans="1:28" ht="15.65" thickBot="1" x14ac:dyDescent="0.35">
      <c r="F5" s="125" t="s">
        <v>64</v>
      </c>
      <c r="G5" s="124" t="s">
        <v>63</v>
      </c>
      <c r="H5" s="123" t="s">
        <v>62</v>
      </c>
    </row>
    <row r="6" spans="1:28" x14ac:dyDescent="0.3">
      <c r="C6" s="122"/>
      <c r="D6" s="121"/>
      <c r="E6" s="121"/>
      <c r="F6" s="150" t="s">
        <v>87</v>
      </c>
      <c r="G6" s="151" t="s">
        <v>87</v>
      </c>
      <c r="H6" s="150" t="s">
        <v>87</v>
      </c>
      <c r="I6" s="105"/>
    </row>
    <row r="7" spans="1:28" x14ac:dyDescent="0.3">
      <c r="C7" s="115"/>
      <c r="D7" s="114"/>
      <c r="E7" s="114"/>
      <c r="F7" s="152" t="s">
        <v>87</v>
      </c>
      <c r="G7" s="153" t="s">
        <v>87</v>
      </c>
      <c r="H7" s="152" t="s">
        <v>87</v>
      </c>
      <c r="I7" s="105"/>
    </row>
    <row r="8" spans="1:28" ht="15.65" thickBot="1" x14ac:dyDescent="0.35">
      <c r="C8" s="115"/>
      <c r="D8" s="114"/>
      <c r="E8" s="114"/>
      <c r="F8" s="154" t="s">
        <v>87</v>
      </c>
      <c r="G8" s="155" t="s">
        <v>87</v>
      </c>
      <c r="H8" s="154" t="s">
        <v>87</v>
      </c>
      <c r="I8" s="105"/>
    </row>
    <row r="9" spans="1:28" x14ac:dyDescent="0.3">
      <c r="C9" s="115"/>
      <c r="D9" s="118"/>
      <c r="E9" s="117" t="s">
        <v>61</v>
      </c>
      <c r="F9" s="120"/>
      <c r="G9" s="119">
        <v>227343</v>
      </c>
      <c r="H9" s="120">
        <v>665246.39999999991</v>
      </c>
    </row>
    <row r="10" spans="1:28" ht="15.65" thickBot="1" x14ac:dyDescent="0.35">
      <c r="C10" s="115"/>
      <c r="D10" s="114"/>
      <c r="E10" s="114"/>
      <c r="F10" s="113"/>
      <c r="G10" s="113"/>
      <c r="H10" s="112"/>
    </row>
    <row r="11" spans="1:28" ht="15.65" thickBot="1" x14ac:dyDescent="0.35">
      <c r="C11" s="115"/>
      <c r="D11" s="118"/>
      <c r="E11" s="117" t="s">
        <v>65</v>
      </c>
      <c r="F11" s="156" t="s">
        <v>87</v>
      </c>
      <c r="G11" s="116">
        <v>2361</v>
      </c>
      <c r="H11" s="156" t="s">
        <v>87</v>
      </c>
      <c r="I11" s="105"/>
    </row>
    <row r="12" spans="1:28" x14ac:dyDescent="0.3">
      <c r="C12" s="115"/>
      <c r="D12" s="114"/>
      <c r="E12" s="114"/>
      <c r="F12" s="113"/>
      <c r="G12" s="113"/>
      <c r="H12" s="112"/>
    </row>
    <row r="13" spans="1:28" ht="15.65" thickBot="1" x14ac:dyDescent="0.35">
      <c r="C13" s="111"/>
      <c r="D13" s="110"/>
      <c r="E13" s="109" t="s">
        <v>60</v>
      </c>
      <c r="F13" s="108"/>
      <c r="G13" s="107">
        <v>229704</v>
      </c>
      <c r="H13" s="130">
        <v>671857.2</v>
      </c>
    </row>
    <row r="14" spans="1:28" ht="15.65" thickTop="1" x14ac:dyDescent="0.3">
      <c r="E14" s="129"/>
      <c r="J14" s="106"/>
    </row>
    <row r="15" spans="1:28" x14ac:dyDescent="0.3">
      <c r="F15" s="105"/>
      <c r="G15" s="132" t="s">
        <v>75</v>
      </c>
      <c r="H15" s="131">
        <f>+H13/G13</f>
        <v>2.9248824574234664</v>
      </c>
      <c r="I15" s="104"/>
    </row>
  </sheetData>
  <pageMargins left="0.75" right="0.75" top="1" bottom="1" header="0.5" footer="0.5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2020-06-01T07:00:00+00:00</OpenedDate>
    <Date1 xmlns="dc463f71-b30c-4ab2-9473-d307f9d35888">2020-06-01T07:00:00+00:00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DocketNumber xmlns="dc463f71-b30c-4ab2-9473-d307f9d35888">200504</DocketNumber>
    <DelegatedOrder xmlns="dc463f71-b30c-4ab2-9473-d307f9d35888">false</DelegatedOrder>
    <Visibility xmlns="dc463f71-b30c-4ab2-9473-d307f9d35888">Full Visibility</Visibility>
    <SignificantOrder xmlns="dc463f71-b30c-4ab2-9473-d307f9d35888">false</SignificantOrder>
    <Nickname xmlns="http://schemas.microsoft.com/sharepoint/v3" xsi:nil="true"/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7F83FE9B7F37D4CACFD3D9CB35B1069" ma:contentTypeVersion="52" ma:contentTypeDescription="" ma:contentTypeScope="" ma:versionID="9096dc6b58b6bbb03d9808ceaa50edf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952347-C971-4FC1-8E45-FB0E16866E1B}">
  <ds:schemaRefs>
    <ds:schemaRef ds:uri="http://purl.org/dc/terms/"/>
    <ds:schemaRef ds:uri="dc463f71-b30c-4ab2-9473-d307f9d35888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303375B-CCF8-4FCF-A4A0-FFF014160762}"/>
</file>

<file path=customXml/itemProps3.xml><?xml version="1.0" encoding="utf-8"?>
<ds:datastoreItem xmlns:ds="http://schemas.openxmlformats.org/officeDocument/2006/customXml" ds:itemID="{EC87CBA2-E20D-46FC-8C36-3BEDF7126C1D}"/>
</file>

<file path=customXml/itemProps4.xml><?xml version="1.0" encoding="utf-8"?>
<ds:datastoreItem xmlns:ds="http://schemas.openxmlformats.org/officeDocument/2006/customXml" ds:itemID="{5BEF5B95-1E30-4DEE-A7DE-B1C8D80737A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REDACTED</vt:lpstr>
      <vt:lpstr>(2)(a)(i) One Time (all)</vt:lpstr>
      <vt:lpstr>(R)(2)(a)(ii)Annual2020estimate</vt:lpstr>
      <vt:lpstr>(2)(a)(iii)(A) and (B)</vt:lpstr>
      <vt:lpstr>(R) REC PURCHASES</vt:lpstr>
      <vt:lpstr>'(R) REC PURCHASES'!Print_Area</vt:lpstr>
    </vt:vector>
  </TitlesOfParts>
  <Company>Washington Utilities and Transportation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Scanlan, Kathi (UTC)</dc:creator>
  <cp:lastModifiedBy>Chris Schaefer</cp:lastModifiedBy>
  <cp:lastPrinted>2020-05-22T15:43:23Z</cp:lastPrinted>
  <dcterms:created xsi:type="dcterms:W3CDTF">2016-07-07T17:22:29Z</dcterms:created>
  <dcterms:modified xsi:type="dcterms:W3CDTF">2020-05-26T21:30:06Z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0x0101006E56B4D1795A2E4DB2F0B01679ED314A00C7F83FE9B7F37D4CACFD3D9CB35B1069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