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_TO_Z\WASTE COMPANY GROUP\WAC0252 - Waste Control, Inc-1633\Rate Cases\2019\Tipping Fee Increase\Submission after fixes 111819\"/>
    </mc:Choice>
  </mc:AlternateContent>
  <xr:revisionPtr revIDLastSave="0" documentId="13_ncr:1_{1EEDBF5F-486B-4627-BA37-1CD2F41440D9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0">Notes!$A$1:$M$27</definedName>
    <definedName name="_xlnm.Print_Area" localSheetId="1">References!$A$1:$J$31</definedName>
    <definedName name="_xlnm.Print_Area" localSheetId="2">'Staff Calcs '!$A$1:$W$165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7" l="1"/>
  <c r="Q36" i="7" s="1"/>
  <c r="G35" i="7"/>
  <c r="Q35" i="7" s="1"/>
  <c r="G33" i="7"/>
  <c r="Q33" i="7" s="1"/>
  <c r="G32" i="7"/>
  <c r="Q32" i="7" s="1"/>
  <c r="G30" i="7"/>
  <c r="Q30" i="7" s="1"/>
  <c r="G29" i="7"/>
  <c r="Q29" i="7" s="1"/>
  <c r="G27" i="7"/>
  <c r="Q27" i="7" s="1"/>
  <c r="G26" i="7"/>
  <c r="Q26" i="7" s="1"/>
  <c r="G24" i="7"/>
  <c r="Q24" i="7" s="1"/>
  <c r="G23" i="7"/>
  <c r="Q23" i="7" s="1"/>
  <c r="G21" i="7"/>
  <c r="Q21" i="7" s="1"/>
  <c r="G19" i="7"/>
  <c r="Q19" i="7" s="1"/>
  <c r="G60" i="7" l="1"/>
  <c r="I60" i="7" s="1"/>
  <c r="Q142" i="7" l="1"/>
  <c r="G142" i="7"/>
  <c r="I142" i="7" s="1"/>
  <c r="Q141" i="7"/>
  <c r="G141" i="7"/>
  <c r="I141" i="7" s="1"/>
  <c r="Q140" i="7"/>
  <c r="G140" i="7"/>
  <c r="I140" i="7" s="1"/>
  <c r="Q139" i="7"/>
  <c r="G139" i="7"/>
  <c r="I139" i="7" s="1"/>
  <c r="G103" i="7"/>
  <c r="I103" i="7" s="1"/>
  <c r="Q103" i="7"/>
  <c r="G104" i="7"/>
  <c r="I104" i="7" s="1"/>
  <c r="Q104" i="7"/>
  <c r="G105" i="7"/>
  <c r="I105" i="7" s="1"/>
  <c r="Q105" i="7"/>
  <c r="G73" i="7"/>
  <c r="I73" i="7" s="1"/>
  <c r="Q73" i="7"/>
  <c r="F17" i="4" l="1"/>
  <c r="Q60" i="7" l="1"/>
  <c r="Q89" i="7" l="1"/>
  <c r="Q90" i="7"/>
  <c r="Q91" i="7"/>
  <c r="Q92" i="7"/>
  <c r="Q93" i="7"/>
  <c r="Q94" i="7"/>
  <c r="Q95" i="7"/>
  <c r="G89" i="7"/>
  <c r="I89" i="7" s="1"/>
  <c r="G90" i="7"/>
  <c r="I90" i="7" s="1"/>
  <c r="G91" i="7"/>
  <c r="I91" i="7" s="1"/>
  <c r="G92" i="7"/>
  <c r="I92" i="7" s="1"/>
  <c r="G93" i="7"/>
  <c r="I93" i="7" s="1"/>
  <c r="G94" i="7"/>
  <c r="I94" i="7" s="1"/>
  <c r="G95" i="7"/>
  <c r="I95" i="7" s="1"/>
  <c r="G63" i="7"/>
  <c r="I63" i="7" s="1"/>
  <c r="Q63" i="7"/>
  <c r="G64" i="7"/>
  <c r="I64" i="7" s="1"/>
  <c r="Q64" i="7"/>
  <c r="G65" i="7"/>
  <c r="I65" i="7" s="1"/>
  <c r="Q65" i="7"/>
  <c r="G66" i="7"/>
  <c r="I66" i="7" s="1"/>
  <c r="Q66" i="7"/>
  <c r="G67" i="7"/>
  <c r="I67" i="7" s="1"/>
  <c r="Q67" i="7"/>
  <c r="Q127" i="7"/>
  <c r="G127" i="7"/>
  <c r="I127" i="7" s="1"/>
  <c r="Q126" i="7"/>
  <c r="G126" i="7"/>
  <c r="I126" i="7" s="1"/>
  <c r="Q125" i="7"/>
  <c r="G125" i="7"/>
  <c r="I125" i="7" s="1"/>
  <c r="Q124" i="7"/>
  <c r="G124" i="7"/>
  <c r="I124" i="7" s="1"/>
  <c r="Q123" i="7"/>
  <c r="G123" i="7"/>
  <c r="I123" i="7" s="1"/>
  <c r="Q122" i="7"/>
  <c r="G122" i="7"/>
  <c r="I122" i="7" s="1"/>
  <c r="Q121" i="7"/>
  <c r="G121" i="7"/>
  <c r="I121" i="7" s="1"/>
  <c r="Q155" i="7"/>
  <c r="Q156" i="7"/>
  <c r="Q157" i="7"/>
  <c r="Q158" i="7"/>
  <c r="G155" i="7"/>
  <c r="I155" i="7" s="1"/>
  <c r="G156" i="7"/>
  <c r="I156" i="7" s="1"/>
  <c r="G157" i="7"/>
  <c r="I157" i="7" s="1"/>
  <c r="G158" i="7"/>
  <c r="I158" i="7" s="1"/>
  <c r="Q151" i="7"/>
  <c r="Q152" i="7"/>
  <c r="Q153" i="7"/>
  <c r="Q154" i="7"/>
  <c r="Q143" i="7"/>
  <c r="Q144" i="7"/>
  <c r="Q145" i="7"/>
  <c r="Q146" i="7"/>
  <c r="G154" i="7"/>
  <c r="I154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Q147" i="7"/>
  <c r="Q148" i="7"/>
  <c r="Q149" i="7"/>
  <c r="Q150" i="7"/>
  <c r="G135" i="7"/>
  <c r="I135" i="7" s="1"/>
  <c r="Q135" i="7"/>
  <c r="G136" i="7"/>
  <c r="I136" i="7" s="1"/>
  <c r="Q136" i="7"/>
  <c r="G137" i="7"/>
  <c r="I137" i="7" s="1"/>
  <c r="Q137" i="7"/>
  <c r="G138" i="7"/>
  <c r="I138" i="7" s="1"/>
  <c r="Q138" i="7"/>
  <c r="G128" i="7"/>
  <c r="I128" i="7" s="1"/>
  <c r="Q128" i="7"/>
  <c r="G129" i="7"/>
  <c r="I129" i="7" s="1"/>
  <c r="Q129" i="7"/>
  <c r="G130" i="7"/>
  <c r="I130" i="7" s="1"/>
  <c r="Q130" i="7"/>
  <c r="G131" i="7"/>
  <c r="I131" i="7" s="1"/>
  <c r="Q131" i="7"/>
  <c r="G132" i="7"/>
  <c r="I132" i="7" s="1"/>
  <c r="Q132" i="7"/>
  <c r="G133" i="7"/>
  <c r="I133" i="7" s="1"/>
  <c r="Q133" i="7"/>
  <c r="G134" i="7"/>
  <c r="I134" i="7" s="1"/>
  <c r="Q134" i="7"/>
  <c r="G114" i="7"/>
  <c r="I114" i="7" s="1"/>
  <c r="Q114" i="7"/>
  <c r="G115" i="7"/>
  <c r="I115" i="7" s="1"/>
  <c r="Q115" i="7"/>
  <c r="G116" i="7"/>
  <c r="I116" i="7" s="1"/>
  <c r="Q116" i="7"/>
  <c r="G117" i="7"/>
  <c r="I117" i="7" s="1"/>
  <c r="Q117" i="7"/>
  <c r="G118" i="7"/>
  <c r="I118" i="7" s="1"/>
  <c r="Q118" i="7"/>
  <c r="G119" i="7"/>
  <c r="I119" i="7" s="1"/>
  <c r="Q119" i="7"/>
  <c r="G120" i="7"/>
  <c r="I120" i="7" s="1"/>
  <c r="Q120" i="7"/>
  <c r="Q112" i="7"/>
  <c r="Q113" i="7"/>
  <c r="G113" i="7"/>
  <c r="I113" i="7" s="1"/>
  <c r="G112" i="7"/>
  <c r="I112" i="7" s="1"/>
  <c r="Q111" i="7"/>
  <c r="G111" i="7"/>
  <c r="I111" i="7" s="1"/>
  <c r="Q110" i="7"/>
  <c r="G110" i="7"/>
  <c r="I110" i="7" s="1"/>
  <c r="Q109" i="7"/>
  <c r="G109" i="7"/>
  <c r="I109" i="7" s="1"/>
  <c r="Q106" i="7"/>
  <c r="Q107" i="7"/>
  <c r="Q108" i="7"/>
  <c r="G106" i="7"/>
  <c r="I106" i="7" s="1"/>
  <c r="G107" i="7"/>
  <c r="I107" i="7" s="1"/>
  <c r="G108" i="7"/>
  <c r="I108" i="7" s="1"/>
  <c r="G96" i="7"/>
  <c r="I96" i="7" s="1"/>
  <c r="Q96" i="7"/>
  <c r="G97" i="7"/>
  <c r="I97" i="7" s="1"/>
  <c r="Q97" i="7"/>
  <c r="G98" i="7"/>
  <c r="I98" i="7" s="1"/>
  <c r="Q98" i="7"/>
  <c r="G99" i="7"/>
  <c r="I99" i="7" s="1"/>
  <c r="Q99" i="7"/>
  <c r="G100" i="7"/>
  <c r="I100" i="7" s="1"/>
  <c r="Q100" i="7"/>
  <c r="G101" i="7"/>
  <c r="I101" i="7" s="1"/>
  <c r="Q101" i="7"/>
  <c r="G102" i="7"/>
  <c r="I102" i="7" s="1"/>
  <c r="Q102" i="7"/>
  <c r="Q79" i="7"/>
  <c r="Q80" i="7"/>
  <c r="Q81" i="7"/>
  <c r="Q82" i="7"/>
  <c r="Q83" i="7"/>
  <c r="Q84" i="7"/>
  <c r="Q85" i="7"/>
  <c r="Q86" i="7"/>
  <c r="Q87" i="7"/>
  <c r="Q88" i="7"/>
  <c r="G79" i="7"/>
  <c r="I79" i="7" s="1"/>
  <c r="G80" i="7"/>
  <c r="I80" i="7" s="1"/>
  <c r="G81" i="7"/>
  <c r="I81" i="7" s="1"/>
  <c r="G82" i="7"/>
  <c r="I82" i="7" s="1"/>
  <c r="G83" i="7"/>
  <c r="I83" i="7" s="1"/>
  <c r="G84" i="7"/>
  <c r="I84" i="7" s="1"/>
  <c r="G85" i="7"/>
  <c r="I85" i="7" s="1"/>
  <c r="G86" i="7"/>
  <c r="I86" i="7" s="1"/>
  <c r="G87" i="7"/>
  <c r="I87" i="7" s="1"/>
  <c r="G88" i="7"/>
  <c r="I88" i="7" s="1"/>
  <c r="Q74" i="7"/>
  <c r="Q75" i="7"/>
  <c r="Q76" i="7"/>
  <c r="Q77" i="7"/>
  <c r="Q78" i="7"/>
  <c r="G78" i="7"/>
  <c r="I78" i="7" s="1"/>
  <c r="G77" i="7"/>
  <c r="I77" i="7" s="1"/>
  <c r="G76" i="7"/>
  <c r="I76" i="7" s="1"/>
  <c r="G75" i="7"/>
  <c r="I75" i="7" s="1"/>
  <c r="G74" i="7"/>
  <c r="I74" i="7" s="1"/>
  <c r="G68" i="7" l="1"/>
  <c r="I68" i="7" s="1"/>
  <c r="Q68" i="7"/>
  <c r="G69" i="7"/>
  <c r="I69" i="7" s="1"/>
  <c r="Q69" i="7"/>
  <c r="G70" i="7"/>
  <c r="I70" i="7" s="1"/>
  <c r="Q70" i="7"/>
  <c r="G71" i="7"/>
  <c r="I71" i="7" s="1"/>
  <c r="Q71" i="7"/>
  <c r="G72" i="7"/>
  <c r="I72" i="7" s="1"/>
  <c r="Q72" i="7"/>
  <c r="Q61" i="7"/>
  <c r="Q62" i="7"/>
  <c r="G62" i="7"/>
  <c r="I62" i="7" s="1"/>
  <c r="Q54" i="7"/>
  <c r="Q55" i="7"/>
  <c r="Q56" i="7"/>
  <c r="Q57" i="7"/>
  <c r="Q58" i="7"/>
  <c r="Q59" i="7"/>
  <c r="G54" i="7"/>
  <c r="I54" i="7" s="1"/>
  <c r="G55" i="7"/>
  <c r="I55" i="7" s="1"/>
  <c r="G56" i="7"/>
  <c r="I56" i="7" s="1"/>
  <c r="G57" i="7"/>
  <c r="I57" i="7" s="1"/>
  <c r="G58" i="7"/>
  <c r="I58" i="7" s="1"/>
  <c r="G59" i="7"/>
  <c r="I59" i="7" s="1"/>
  <c r="E163" i="7" l="1"/>
  <c r="G45" i="7"/>
  <c r="Q9" i="7"/>
  <c r="Q10" i="7"/>
  <c r="Q11" i="7"/>
  <c r="Q12" i="7"/>
  <c r="Q13" i="7"/>
  <c r="Q14" i="7"/>
  <c r="E16" i="7" l="1"/>
  <c r="D6" i="4" l="1"/>
  <c r="G6" i="4" s="1"/>
  <c r="E6" i="4" l="1"/>
  <c r="F6" i="4"/>
  <c r="E38" i="7" l="1"/>
  <c r="Q6" i="7"/>
  <c r="Q8" i="7"/>
  <c r="Q7" i="7"/>
  <c r="Q16" i="7" l="1"/>
  <c r="G50" i="7"/>
  <c r="E51" i="7"/>
  <c r="Q45" i="7"/>
  <c r="Q50" i="7"/>
  <c r="I45" i="7" l="1"/>
  <c r="I50" i="7"/>
  <c r="R50" i="7"/>
  <c r="S50" i="7" l="1"/>
  <c r="F16" i="4"/>
  <c r="F18" i="4" s="1"/>
  <c r="F19" i="4" s="1"/>
  <c r="B17" i="4"/>
  <c r="B20" i="4" s="1"/>
  <c r="C16" i="4"/>
  <c r="C15" i="4"/>
  <c r="D9" i="4"/>
  <c r="D8" i="4"/>
  <c r="D7" i="4"/>
  <c r="F61" i="7" s="1"/>
  <c r="G61" i="7" s="1"/>
  <c r="I61" i="7" s="1"/>
  <c r="F31" i="7" l="1"/>
  <c r="F20" i="7"/>
  <c r="I29" i="7"/>
  <c r="I19" i="7"/>
  <c r="F25" i="7"/>
  <c r="F28" i="7"/>
  <c r="F18" i="7"/>
  <c r="G18" i="7" s="1"/>
  <c r="Q18" i="7" s="1"/>
  <c r="I26" i="7"/>
  <c r="I35" i="7"/>
  <c r="I23" i="7"/>
  <c r="F34" i="7"/>
  <c r="G34" i="7" s="1"/>
  <c r="Q34" i="7" s="1"/>
  <c r="F22" i="7"/>
  <c r="I32" i="7"/>
  <c r="I21" i="7"/>
  <c r="I27" i="7"/>
  <c r="I33" i="7"/>
  <c r="I30" i="7"/>
  <c r="I24" i="7"/>
  <c r="F9" i="7"/>
  <c r="G9" i="7" s="1"/>
  <c r="I9" i="7" s="1"/>
  <c r="F14" i="7"/>
  <c r="G14" i="7" s="1"/>
  <c r="I14" i="7" s="1"/>
  <c r="F11" i="7"/>
  <c r="G11" i="7" s="1"/>
  <c r="I11" i="7" s="1"/>
  <c r="F13" i="7"/>
  <c r="G13" i="7" s="1"/>
  <c r="I13" i="7" s="1"/>
  <c r="F10" i="7"/>
  <c r="G10" i="7" s="1"/>
  <c r="I10" i="7" s="1"/>
  <c r="F12" i="7"/>
  <c r="G12" i="7" s="1"/>
  <c r="I12" i="7" s="1"/>
  <c r="B21" i="4"/>
  <c r="B23" i="4" s="1"/>
  <c r="G8" i="4"/>
  <c r="F8" i="4"/>
  <c r="E8" i="4"/>
  <c r="G7" i="4"/>
  <c r="F7" i="4"/>
  <c r="E7" i="4"/>
  <c r="F6" i="7"/>
  <c r="G6" i="7" s="1"/>
  <c r="F7" i="7"/>
  <c r="G7" i="7" s="1"/>
  <c r="I7" i="7" s="1"/>
  <c r="F8" i="7"/>
  <c r="G8" i="7" s="1"/>
  <c r="I8" i="7" s="1"/>
  <c r="G9" i="4"/>
  <c r="F9" i="4"/>
  <c r="E9" i="4"/>
  <c r="C17" i="4"/>
  <c r="G28" i="7" l="1"/>
  <c r="Q28" i="7" s="1"/>
  <c r="G25" i="7"/>
  <c r="Q25" i="7" s="1"/>
  <c r="G22" i="7"/>
  <c r="Q22" i="7" s="1"/>
  <c r="G16" i="7"/>
  <c r="G20" i="7"/>
  <c r="Q20" i="7" s="1"/>
  <c r="G31" i="7"/>
  <c r="Q31" i="7" s="1"/>
  <c r="I34" i="7"/>
  <c r="I36" i="7"/>
  <c r="I6" i="7"/>
  <c r="I16" i="7" s="1"/>
  <c r="I18" i="7"/>
  <c r="I22" i="7" l="1"/>
  <c r="I31" i="7"/>
  <c r="I25" i="7"/>
  <c r="I20" i="7"/>
  <c r="I28" i="7"/>
  <c r="G38" i="7"/>
  <c r="I38" i="7" l="1"/>
  <c r="G51" i="7"/>
  <c r="E164" i="7"/>
  <c r="I51" i="7"/>
  <c r="E165" i="7" s="1"/>
  <c r="J54" i="7" l="1"/>
  <c r="K54" i="7" s="1"/>
  <c r="L54" i="7" s="1"/>
  <c r="M54" i="7" s="1"/>
  <c r="O54" i="7" s="1"/>
  <c r="J60" i="7"/>
  <c r="K60" i="7" s="1"/>
  <c r="L60" i="7" s="1"/>
  <c r="M60" i="7" s="1"/>
  <c r="O60" i="7" s="1"/>
  <c r="J61" i="7"/>
  <c r="K61" i="7" s="1"/>
  <c r="L61" i="7" s="1"/>
  <c r="M61" i="7" s="1"/>
  <c r="O61" i="7" s="1"/>
  <c r="J140" i="7"/>
  <c r="K140" i="7" s="1"/>
  <c r="L140" i="7" s="1"/>
  <c r="J142" i="7"/>
  <c r="K142" i="7" s="1"/>
  <c r="L142" i="7" s="1"/>
  <c r="J139" i="7"/>
  <c r="K139" i="7" s="1"/>
  <c r="L139" i="7" s="1"/>
  <c r="J141" i="7"/>
  <c r="K141" i="7" s="1"/>
  <c r="L141" i="7" s="1"/>
  <c r="J103" i="7"/>
  <c r="K103" i="7" s="1"/>
  <c r="L103" i="7" s="1"/>
  <c r="J104" i="7"/>
  <c r="K104" i="7" s="1"/>
  <c r="L104" i="7" s="1"/>
  <c r="J105" i="7"/>
  <c r="K105" i="7" s="1"/>
  <c r="L105" i="7" s="1"/>
  <c r="J73" i="7"/>
  <c r="K73" i="7" s="1"/>
  <c r="L73" i="7" s="1"/>
  <c r="J92" i="7"/>
  <c r="K92" i="7" s="1"/>
  <c r="L92" i="7" s="1"/>
  <c r="J93" i="7"/>
  <c r="K93" i="7" s="1"/>
  <c r="L93" i="7" s="1"/>
  <c r="J89" i="7"/>
  <c r="K89" i="7" s="1"/>
  <c r="L89" i="7" s="1"/>
  <c r="J90" i="7"/>
  <c r="K90" i="7" s="1"/>
  <c r="L90" i="7" s="1"/>
  <c r="J94" i="7"/>
  <c r="K94" i="7" s="1"/>
  <c r="L94" i="7" s="1"/>
  <c r="J95" i="7"/>
  <c r="K95" i="7" s="1"/>
  <c r="L95" i="7" s="1"/>
  <c r="J91" i="7"/>
  <c r="K91" i="7" s="1"/>
  <c r="L91" i="7" s="1"/>
  <c r="J64" i="7"/>
  <c r="K64" i="7" s="1"/>
  <c r="L64" i="7" s="1"/>
  <c r="J65" i="7"/>
  <c r="K65" i="7" s="1"/>
  <c r="L65" i="7" s="1"/>
  <c r="J67" i="7"/>
  <c r="K67" i="7" s="1"/>
  <c r="L67" i="7" s="1"/>
  <c r="J63" i="7"/>
  <c r="K63" i="7" s="1"/>
  <c r="L63" i="7" s="1"/>
  <c r="J66" i="7"/>
  <c r="K66" i="7" s="1"/>
  <c r="L66" i="7" s="1"/>
  <c r="J125" i="7"/>
  <c r="K125" i="7" s="1"/>
  <c r="L125" i="7" s="1"/>
  <c r="J121" i="7"/>
  <c r="K121" i="7" s="1"/>
  <c r="L121" i="7" s="1"/>
  <c r="J127" i="7"/>
  <c r="K127" i="7" s="1"/>
  <c r="L127" i="7" s="1"/>
  <c r="J124" i="7"/>
  <c r="K124" i="7" s="1"/>
  <c r="L124" i="7" s="1"/>
  <c r="J126" i="7"/>
  <c r="K126" i="7" s="1"/>
  <c r="L126" i="7" s="1"/>
  <c r="J122" i="7"/>
  <c r="K122" i="7" s="1"/>
  <c r="L122" i="7" s="1"/>
  <c r="J123" i="7"/>
  <c r="K123" i="7" s="1"/>
  <c r="L123" i="7" s="1"/>
  <c r="J155" i="7"/>
  <c r="K155" i="7" s="1"/>
  <c r="L155" i="7" s="1"/>
  <c r="J157" i="7"/>
  <c r="K157" i="7" s="1"/>
  <c r="L157" i="7" s="1"/>
  <c r="J158" i="7"/>
  <c r="K158" i="7" s="1"/>
  <c r="L158" i="7" s="1"/>
  <c r="J156" i="7"/>
  <c r="K156" i="7" s="1"/>
  <c r="L156" i="7" s="1"/>
  <c r="J143" i="7"/>
  <c r="K143" i="7" s="1"/>
  <c r="L143" i="7" s="1"/>
  <c r="J145" i="7"/>
  <c r="K145" i="7" s="1"/>
  <c r="L145" i="7" s="1"/>
  <c r="J146" i="7"/>
  <c r="K146" i="7" s="1"/>
  <c r="L146" i="7" s="1"/>
  <c r="J151" i="7"/>
  <c r="K151" i="7" s="1"/>
  <c r="L151" i="7" s="1"/>
  <c r="J152" i="7"/>
  <c r="K152" i="7" s="1"/>
  <c r="L152" i="7" s="1"/>
  <c r="J144" i="7"/>
  <c r="K144" i="7" s="1"/>
  <c r="L144" i="7" s="1"/>
  <c r="J154" i="7"/>
  <c r="K154" i="7" s="1"/>
  <c r="L154" i="7" s="1"/>
  <c r="J153" i="7"/>
  <c r="K153" i="7" s="1"/>
  <c r="L153" i="7" s="1"/>
  <c r="J150" i="7"/>
  <c r="K150" i="7" s="1"/>
  <c r="L150" i="7" s="1"/>
  <c r="J149" i="7"/>
  <c r="K149" i="7" s="1"/>
  <c r="L149" i="7" s="1"/>
  <c r="J147" i="7"/>
  <c r="K147" i="7" s="1"/>
  <c r="L147" i="7" s="1"/>
  <c r="J148" i="7"/>
  <c r="K148" i="7" s="1"/>
  <c r="L148" i="7" s="1"/>
  <c r="J136" i="7"/>
  <c r="K136" i="7" s="1"/>
  <c r="L136" i="7" s="1"/>
  <c r="J135" i="7"/>
  <c r="K135" i="7" s="1"/>
  <c r="L135" i="7" s="1"/>
  <c r="J137" i="7"/>
  <c r="K137" i="7" s="1"/>
  <c r="L137" i="7" s="1"/>
  <c r="J138" i="7"/>
  <c r="K138" i="7" s="1"/>
  <c r="L138" i="7" s="1"/>
  <c r="J131" i="7"/>
  <c r="K131" i="7" s="1"/>
  <c r="L131" i="7" s="1"/>
  <c r="J129" i="7"/>
  <c r="K129" i="7" s="1"/>
  <c r="L129" i="7" s="1"/>
  <c r="J133" i="7"/>
  <c r="K133" i="7" s="1"/>
  <c r="L133" i="7" s="1"/>
  <c r="J134" i="7"/>
  <c r="K134" i="7" s="1"/>
  <c r="L134" i="7" s="1"/>
  <c r="J130" i="7"/>
  <c r="K130" i="7" s="1"/>
  <c r="L130" i="7" s="1"/>
  <c r="J128" i="7"/>
  <c r="K128" i="7" s="1"/>
  <c r="L128" i="7" s="1"/>
  <c r="J132" i="7"/>
  <c r="K132" i="7" s="1"/>
  <c r="L132" i="7" s="1"/>
  <c r="J115" i="7"/>
  <c r="K115" i="7" s="1"/>
  <c r="L115" i="7" s="1"/>
  <c r="J119" i="7"/>
  <c r="K119" i="7" s="1"/>
  <c r="L119" i="7" s="1"/>
  <c r="J116" i="7"/>
  <c r="K116" i="7" s="1"/>
  <c r="L116" i="7" s="1"/>
  <c r="J120" i="7"/>
  <c r="K120" i="7" s="1"/>
  <c r="L120" i="7" s="1"/>
  <c r="J118" i="7"/>
  <c r="K118" i="7" s="1"/>
  <c r="L118" i="7" s="1"/>
  <c r="J114" i="7"/>
  <c r="K114" i="7" s="1"/>
  <c r="L114" i="7" s="1"/>
  <c r="J117" i="7"/>
  <c r="K117" i="7" s="1"/>
  <c r="L117" i="7" s="1"/>
  <c r="J112" i="7"/>
  <c r="K112" i="7" s="1"/>
  <c r="L112" i="7" s="1"/>
  <c r="J113" i="7"/>
  <c r="K113" i="7" s="1"/>
  <c r="L113" i="7" s="1"/>
  <c r="J109" i="7"/>
  <c r="K109" i="7" s="1"/>
  <c r="L109" i="7" s="1"/>
  <c r="J111" i="7"/>
  <c r="K111" i="7" s="1"/>
  <c r="L111" i="7" s="1"/>
  <c r="J110" i="7"/>
  <c r="K110" i="7" s="1"/>
  <c r="L110" i="7" s="1"/>
  <c r="J107" i="7"/>
  <c r="K107" i="7" s="1"/>
  <c r="L107" i="7" s="1"/>
  <c r="J108" i="7"/>
  <c r="K108" i="7" s="1"/>
  <c r="L108" i="7" s="1"/>
  <c r="J106" i="7"/>
  <c r="K106" i="7" s="1"/>
  <c r="L106" i="7" s="1"/>
  <c r="J97" i="7"/>
  <c r="K97" i="7" s="1"/>
  <c r="L97" i="7" s="1"/>
  <c r="J102" i="7"/>
  <c r="K102" i="7" s="1"/>
  <c r="L102" i="7" s="1"/>
  <c r="J100" i="7"/>
  <c r="K100" i="7" s="1"/>
  <c r="L100" i="7" s="1"/>
  <c r="J96" i="7"/>
  <c r="K96" i="7" s="1"/>
  <c r="L96" i="7" s="1"/>
  <c r="J98" i="7"/>
  <c r="K98" i="7" s="1"/>
  <c r="L98" i="7" s="1"/>
  <c r="J99" i="7"/>
  <c r="K99" i="7" s="1"/>
  <c r="L99" i="7" s="1"/>
  <c r="J101" i="7"/>
  <c r="K101" i="7" s="1"/>
  <c r="L101" i="7" s="1"/>
  <c r="J81" i="7"/>
  <c r="K81" i="7" s="1"/>
  <c r="L81" i="7" s="1"/>
  <c r="J86" i="7"/>
  <c r="K86" i="7" s="1"/>
  <c r="L86" i="7" s="1"/>
  <c r="J79" i="7"/>
  <c r="K79" i="7" s="1"/>
  <c r="L79" i="7" s="1"/>
  <c r="J88" i="7"/>
  <c r="K88" i="7" s="1"/>
  <c r="L88" i="7" s="1"/>
  <c r="J83" i="7"/>
  <c r="K83" i="7" s="1"/>
  <c r="L83" i="7" s="1"/>
  <c r="J82" i="7"/>
  <c r="K82" i="7" s="1"/>
  <c r="L82" i="7" s="1"/>
  <c r="J84" i="7"/>
  <c r="K84" i="7" s="1"/>
  <c r="L84" i="7" s="1"/>
  <c r="J85" i="7"/>
  <c r="K85" i="7" s="1"/>
  <c r="L85" i="7" s="1"/>
  <c r="J80" i="7"/>
  <c r="K80" i="7" s="1"/>
  <c r="L80" i="7" s="1"/>
  <c r="J87" i="7"/>
  <c r="K87" i="7" s="1"/>
  <c r="L87" i="7" s="1"/>
  <c r="J77" i="7"/>
  <c r="K77" i="7" s="1"/>
  <c r="L77" i="7" s="1"/>
  <c r="J74" i="7"/>
  <c r="K74" i="7" s="1"/>
  <c r="L74" i="7" s="1"/>
  <c r="J76" i="7"/>
  <c r="K76" i="7" s="1"/>
  <c r="L76" i="7" s="1"/>
  <c r="J78" i="7"/>
  <c r="K78" i="7" s="1"/>
  <c r="L78" i="7" s="1"/>
  <c r="J75" i="7"/>
  <c r="K75" i="7" s="1"/>
  <c r="L75" i="7" s="1"/>
  <c r="J69" i="7"/>
  <c r="K69" i="7" s="1"/>
  <c r="L69" i="7" s="1"/>
  <c r="J72" i="7"/>
  <c r="K72" i="7" s="1"/>
  <c r="L72" i="7" s="1"/>
  <c r="J71" i="7"/>
  <c r="K71" i="7" s="1"/>
  <c r="L71" i="7" s="1"/>
  <c r="J68" i="7"/>
  <c r="K68" i="7" s="1"/>
  <c r="L68" i="7" s="1"/>
  <c r="J70" i="7"/>
  <c r="K70" i="7" s="1"/>
  <c r="L70" i="7" s="1"/>
  <c r="J57" i="7"/>
  <c r="K57" i="7" s="1"/>
  <c r="L57" i="7" s="1"/>
  <c r="J55" i="7"/>
  <c r="K55" i="7" s="1"/>
  <c r="L55" i="7" s="1"/>
  <c r="J56" i="7"/>
  <c r="K56" i="7" s="1"/>
  <c r="L56" i="7" s="1"/>
  <c r="J62" i="7"/>
  <c r="K62" i="7" s="1"/>
  <c r="L62" i="7" s="1"/>
  <c r="J58" i="7"/>
  <c r="K58" i="7" s="1"/>
  <c r="L58" i="7" s="1"/>
  <c r="J59" i="7"/>
  <c r="K59" i="7" s="1"/>
  <c r="L59" i="7" s="1"/>
  <c r="J12" i="7"/>
  <c r="J11" i="7"/>
  <c r="K11" i="7" s="1"/>
  <c r="L11" i="7" s="1"/>
  <c r="M11" i="7" s="1"/>
  <c r="O11" i="7" s="1"/>
  <c r="P11" i="7" s="1"/>
  <c r="J9" i="7"/>
  <c r="K9" i="7" s="1"/>
  <c r="L9" i="7" s="1"/>
  <c r="M9" i="7" s="1"/>
  <c r="O9" i="7" s="1"/>
  <c r="P9" i="7" s="1"/>
  <c r="J13" i="7"/>
  <c r="K13" i="7" s="1"/>
  <c r="L13" i="7" s="1"/>
  <c r="M13" i="7" s="1"/>
  <c r="J10" i="7"/>
  <c r="K10" i="7" s="1"/>
  <c r="L10" i="7" s="1"/>
  <c r="J14" i="7"/>
  <c r="K14" i="7" s="1"/>
  <c r="L14" i="7" s="1"/>
  <c r="M14" i="7" s="1"/>
  <c r="J19" i="7"/>
  <c r="K19" i="7" s="1"/>
  <c r="L19" i="7" s="1"/>
  <c r="M19" i="7" s="1"/>
  <c r="J31" i="7"/>
  <c r="K31" i="7" s="1"/>
  <c r="L31" i="7" s="1"/>
  <c r="M31" i="7" s="1"/>
  <c r="J8" i="7"/>
  <c r="K8" i="7" s="1"/>
  <c r="L8" i="7" s="1"/>
  <c r="M8" i="7" s="1"/>
  <c r="J20" i="7"/>
  <c r="K20" i="7" s="1"/>
  <c r="L20" i="7" s="1"/>
  <c r="M20" i="7" s="1"/>
  <c r="J18" i="7"/>
  <c r="J30" i="7"/>
  <c r="K30" i="7" s="1"/>
  <c r="L30" i="7" s="1"/>
  <c r="M30" i="7" s="1"/>
  <c r="J26" i="7"/>
  <c r="K26" i="7" s="1"/>
  <c r="L26" i="7" s="1"/>
  <c r="M26" i="7" s="1"/>
  <c r="J28" i="7"/>
  <c r="K28" i="7" s="1"/>
  <c r="L28" i="7" s="1"/>
  <c r="J36" i="7"/>
  <c r="K36" i="7" s="1"/>
  <c r="L36" i="7" s="1"/>
  <c r="M36" i="7" s="1"/>
  <c r="J35" i="7"/>
  <c r="K35" i="7" s="1"/>
  <c r="L35" i="7" s="1"/>
  <c r="M35" i="7" s="1"/>
  <c r="J23" i="7"/>
  <c r="K23" i="7" s="1"/>
  <c r="L23" i="7" s="1"/>
  <c r="M23" i="7" s="1"/>
  <c r="J25" i="7"/>
  <c r="K25" i="7" s="1"/>
  <c r="L25" i="7" s="1"/>
  <c r="M25" i="7" s="1"/>
  <c r="J24" i="7"/>
  <c r="K24" i="7" s="1"/>
  <c r="L24" i="7" s="1"/>
  <c r="M24" i="7" s="1"/>
  <c r="J33" i="7"/>
  <c r="K33" i="7" s="1"/>
  <c r="L33" i="7" s="1"/>
  <c r="M33" i="7" s="1"/>
  <c r="J32" i="7"/>
  <c r="K32" i="7" s="1"/>
  <c r="L32" i="7" s="1"/>
  <c r="M32" i="7" s="1"/>
  <c r="J21" i="7"/>
  <c r="K21" i="7" s="1"/>
  <c r="L21" i="7" s="1"/>
  <c r="M21" i="7" s="1"/>
  <c r="O21" i="7" s="1"/>
  <c r="J7" i="7"/>
  <c r="K7" i="7" s="1"/>
  <c r="L7" i="7" s="1"/>
  <c r="M7" i="7" s="1"/>
  <c r="J6" i="7"/>
  <c r="J34" i="7"/>
  <c r="K34" i="7" s="1"/>
  <c r="L34" i="7" s="1"/>
  <c r="M34" i="7" s="1"/>
  <c r="J22" i="7"/>
  <c r="K22" i="7" s="1"/>
  <c r="L22" i="7" s="1"/>
  <c r="M22" i="7" s="1"/>
  <c r="J27" i="7"/>
  <c r="K27" i="7" s="1"/>
  <c r="L27" i="7" s="1"/>
  <c r="M27" i="7" s="1"/>
  <c r="J29" i="7"/>
  <c r="K29" i="7" s="1"/>
  <c r="L29" i="7" s="1"/>
  <c r="M29" i="7" s="1"/>
  <c r="M28" i="7" l="1"/>
  <c r="O28" i="7" s="1"/>
  <c r="M10" i="7"/>
  <c r="O10" i="7" s="1"/>
  <c r="M141" i="7"/>
  <c r="O141" i="7" s="1"/>
  <c r="M139" i="7"/>
  <c r="O139" i="7" s="1"/>
  <c r="M142" i="7"/>
  <c r="O142" i="7" s="1"/>
  <c r="M140" i="7"/>
  <c r="O140" i="7" s="1"/>
  <c r="M105" i="7"/>
  <c r="O105" i="7" s="1"/>
  <c r="M104" i="7"/>
  <c r="O104" i="7" s="1"/>
  <c r="M103" i="7"/>
  <c r="O103" i="7" s="1"/>
  <c r="M73" i="7"/>
  <c r="O73" i="7" s="1"/>
  <c r="P60" i="7"/>
  <c r="R60" i="7" s="1"/>
  <c r="S60" i="7" s="1"/>
  <c r="T60" i="7"/>
  <c r="M91" i="7"/>
  <c r="O91" i="7" s="1"/>
  <c r="M95" i="7"/>
  <c r="O95" i="7" s="1"/>
  <c r="M90" i="7"/>
  <c r="O90" i="7" s="1"/>
  <c r="M89" i="7"/>
  <c r="O89" i="7" s="1"/>
  <c r="M93" i="7"/>
  <c r="O93" i="7" s="1"/>
  <c r="M94" i="7"/>
  <c r="O94" i="7" s="1"/>
  <c r="M92" i="7"/>
  <c r="O92" i="7" s="1"/>
  <c r="M63" i="7"/>
  <c r="O63" i="7" s="1"/>
  <c r="M65" i="7"/>
  <c r="O65" i="7" s="1"/>
  <c r="M67" i="7"/>
  <c r="O67" i="7" s="1"/>
  <c r="M66" i="7"/>
  <c r="O66" i="7" s="1"/>
  <c r="M64" i="7"/>
  <c r="O64" i="7" s="1"/>
  <c r="M59" i="7"/>
  <c r="O59" i="7" s="1"/>
  <c r="P59" i="7" s="1"/>
  <c r="R59" i="7" s="1"/>
  <c r="S59" i="7" s="1"/>
  <c r="M75" i="7"/>
  <c r="O75" i="7" s="1"/>
  <c r="T75" i="7" s="1"/>
  <c r="M79" i="7"/>
  <c r="M99" i="7"/>
  <c r="O99" i="7" s="1"/>
  <c r="P99" i="7" s="1"/>
  <c r="R99" i="7" s="1"/>
  <c r="S99" i="7" s="1"/>
  <c r="M113" i="7"/>
  <c r="O113" i="7" s="1"/>
  <c r="M138" i="7"/>
  <c r="O138" i="7" s="1"/>
  <c r="T138" i="7" s="1"/>
  <c r="M151" i="7"/>
  <c r="O151" i="7" s="1"/>
  <c r="P151" i="7" s="1"/>
  <c r="R151" i="7" s="1"/>
  <c r="S151" i="7" s="1"/>
  <c r="M123" i="7"/>
  <c r="O123" i="7" s="1"/>
  <c r="M56" i="7"/>
  <c r="O56" i="7" s="1"/>
  <c r="T56" i="7" s="1"/>
  <c r="M68" i="7"/>
  <c r="O68" i="7" s="1"/>
  <c r="T68" i="7" s="1"/>
  <c r="P61" i="7"/>
  <c r="R61" i="7" s="1"/>
  <c r="S61" i="7" s="1"/>
  <c r="M74" i="7"/>
  <c r="O74" i="7" s="1"/>
  <c r="T74" i="7" s="1"/>
  <c r="M85" i="7"/>
  <c r="O85" i="7" s="1"/>
  <c r="P85" i="7" s="1"/>
  <c r="R85" i="7" s="1"/>
  <c r="S85" i="7" s="1"/>
  <c r="M88" i="7"/>
  <c r="O88" i="7" s="1"/>
  <c r="P88" i="7" s="1"/>
  <c r="R88" i="7" s="1"/>
  <c r="S88" i="7" s="1"/>
  <c r="M101" i="7"/>
  <c r="O101" i="7" s="1"/>
  <c r="P101" i="7" s="1"/>
  <c r="R101" i="7" s="1"/>
  <c r="S101" i="7" s="1"/>
  <c r="M100" i="7"/>
  <c r="O100" i="7" s="1"/>
  <c r="P100" i="7" s="1"/>
  <c r="R100" i="7" s="1"/>
  <c r="S100" i="7" s="1"/>
  <c r="M108" i="7"/>
  <c r="O108" i="7" s="1"/>
  <c r="T108" i="7" s="1"/>
  <c r="M109" i="7"/>
  <c r="O109" i="7" s="1"/>
  <c r="T109" i="7" s="1"/>
  <c r="M114" i="7"/>
  <c r="O114" i="7" s="1"/>
  <c r="P114" i="7" s="1"/>
  <c r="R114" i="7" s="1"/>
  <c r="S114" i="7" s="1"/>
  <c r="M119" i="7"/>
  <c r="O119" i="7" s="1"/>
  <c r="T119" i="7" s="1"/>
  <c r="M130" i="7"/>
  <c r="O130" i="7" s="1"/>
  <c r="T130" i="7" s="1"/>
  <c r="M131" i="7"/>
  <c r="O131" i="7" s="1"/>
  <c r="T131" i="7" s="1"/>
  <c r="M136" i="7"/>
  <c r="O136" i="7" s="1"/>
  <c r="T136" i="7" s="1"/>
  <c r="M150" i="7"/>
  <c r="O150" i="7" s="1"/>
  <c r="P150" i="7" s="1"/>
  <c r="R150" i="7" s="1"/>
  <c r="S150" i="7" s="1"/>
  <c r="M152" i="7"/>
  <c r="O152" i="7" s="1"/>
  <c r="T152" i="7" s="1"/>
  <c r="M143" i="7"/>
  <c r="O143" i="7" s="1"/>
  <c r="T143" i="7" s="1"/>
  <c r="M155" i="7"/>
  <c r="O155" i="7" s="1"/>
  <c r="T155" i="7" s="1"/>
  <c r="M124" i="7"/>
  <c r="O124" i="7" s="1"/>
  <c r="R71" i="7"/>
  <c r="S71" i="7" s="1"/>
  <c r="M71" i="7"/>
  <c r="O71" i="7" s="1"/>
  <c r="M84" i="7"/>
  <c r="O84" i="7" s="1"/>
  <c r="P84" i="7" s="1"/>
  <c r="R84" i="7" s="1"/>
  <c r="S84" i="7" s="1"/>
  <c r="M107" i="7"/>
  <c r="O107" i="7" s="1"/>
  <c r="T107" i="7" s="1"/>
  <c r="M115" i="7"/>
  <c r="O115" i="7" s="1"/>
  <c r="T115" i="7" s="1"/>
  <c r="M148" i="7"/>
  <c r="O148" i="7" s="1"/>
  <c r="T148" i="7" s="1"/>
  <c r="M156" i="7"/>
  <c r="O156" i="7" s="1"/>
  <c r="P156" i="7" s="1"/>
  <c r="R156" i="7" s="1"/>
  <c r="S156" i="7" s="1"/>
  <c r="M58" i="7"/>
  <c r="O58" i="7" s="1"/>
  <c r="P58" i="7" s="1"/>
  <c r="R58" i="7" s="1"/>
  <c r="S58" i="7" s="1"/>
  <c r="M57" i="7"/>
  <c r="O57" i="7" s="1"/>
  <c r="T57" i="7" s="1"/>
  <c r="R72" i="7"/>
  <c r="S72" i="7" s="1"/>
  <c r="M72" i="7"/>
  <c r="O72" i="7" s="1"/>
  <c r="M78" i="7"/>
  <c r="O78" i="7" s="1"/>
  <c r="T78" i="7" s="1"/>
  <c r="M87" i="7"/>
  <c r="O87" i="7" s="1"/>
  <c r="P87" i="7" s="1"/>
  <c r="R87" i="7" s="1"/>
  <c r="S87" i="7" s="1"/>
  <c r="M82" i="7"/>
  <c r="O82" i="7" s="1"/>
  <c r="P82" i="7" s="1"/>
  <c r="R82" i="7" s="1"/>
  <c r="S82" i="7" s="1"/>
  <c r="M86" i="7"/>
  <c r="O86" i="7" s="1"/>
  <c r="P86" i="7" s="1"/>
  <c r="R86" i="7" s="1"/>
  <c r="S86" i="7" s="1"/>
  <c r="M98" i="7"/>
  <c r="O98" i="7" s="1"/>
  <c r="P98" i="7" s="1"/>
  <c r="R98" i="7" s="1"/>
  <c r="S98" i="7" s="1"/>
  <c r="M97" i="7"/>
  <c r="O97" i="7" s="1"/>
  <c r="T97" i="7" s="1"/>
  <c r="M110" i="7"/>
  <c r="O110" i="7" s="1"/>
  <c r="P110" i="7" s="1"/>
  <c r="R110" i="7" s="1"/>
  <c r="S110" i="7" s="1"/>
  <c r="M112" i="7"/>
  <c r="O112" i="7" s="1"/>
  <c r="P112" i="7" s="1"/>
  <c r="R112" i="7" s="1"/>
  <c r="S112" i="7" s="1"/>
  <c r="M120" i="7"/>
  <c r="O120" i="7" s="1"/>
  <c r="T120" i="7" s="1"/>
  <c r="M132" i="7"/>
  <c r="O132" i="7" s="1"/>
  <c r="T132" i="7" s="1"/>
  <c r="M133" i="7"/>
  <c r="O133" i="7" s="1"/>
  <c r="T133" i="7" s="1"/>
  <c r="M137" i="7"/>
  <c r="O137" i="7" s="1"/>
  <c r="T137" i="7" s="1"/>
  <c r="M147" i="7"/>
  <c r="O147" i="7" s="1"/>
  <c r="P147" i="7" s="1"/>
  <c r="R147" i="7" s="1"/>
  <c r="S147" i="7" s="1"/>
  <c r="M154" i="7"/>
  <c r="O154" i="7" s="1"/>
  <c r="P154" i="7" s="1"/>
  <c r="R154" i="7" s="1"/>
  <c r="S154" i="7" s="1"/>
  <c r="M146" i="7"/>
  <c r="O146" i="7" s="1"/>
  <c r="T146" i="7" s="1"/>
  <c r="M158" i="7"/>
  <c r="O158" i="7" s="1"/>
  <c r="T158" i="7" s="1"/>
  <c r="M122" i="7"/>
  <c r="O122" i="7" s="1"/>
  <c r="M121" i="7"/>
  <c r="O121" i="7" s="1"/>
  <c r="M55" i="7"/>
  <c r="O55" i="7" s="1"/>
  <c r="M77" i="7"/>
  <c r="O77" i="7" s="1"/>
  <c r="T77" i="7" s="1"/>
  <c r="M102" i="7"/>
  <c r="O102" i="7" s="1"/>
  <c r="P102" i="7" s="1"/>
  <c r="R102" i="7" s="1"/>
  <c r="S102" i="7" s="1"/>
  <c r="M118" i="7"/>
  <c r="O118" i="7" s="1"/>
  <c r="T118" i="7" s="1"/>
  <c r="M134" i="7"/>
  <c r="O134" i="7" s="1"/>
  <c r="T134" i="7" s="1"/>
  <c r="M153" i="7"/>
  <c r="O153" i="7" s="1"/>
  <c r="T153" i="7" s="1"/>
  <c r="M127" i="7"/>
  <c r="O127" i="7" s="1"/>
  <c r="T54" i="7"/>
  <c r="M62" i="7"/>
  <c r="O62" i="7" s="1"/>
  <c r="T62" i="7" s="1"/>
  <c r="M70" i="7"/>
  <c r="O70" i="7" s="1"/>
  <c r="T70" i="7" s="1"/>
  <c r="M69" i="7"/>
  <c r="O69" i="7" s="1"/>
  <c r="T69" i="7" s="1"/>
  <c r="M76" i="7"/>
  <c r="O76" i="7" s="1"/>
  <c r="P76" i="7" s="1"/>
  <c r="R76" i="7" s="1"/>
  <c r="S76" i="7" s="1"/>
  <c r="M80" i="7"/>
  <c r="O80" i="7" s="1"/>
  <c r="P80" i="7" s="1"/>
  <c r="R80" i="7" s="1"/>
  <c r="S80" i="7" s="1"/>
  <c r="M83" i="7"/>
  <c r="O83" i="7" s="1"/>
  <c r="P83" i="7" s="1"/>
  <c r="R83" i="7" s="1"/>
  <c r="S83" i="7" s="1"/>
  <c r="M81" i="7"/>
  <c r="O81" i="7" s="1"/>
  <c r="P81" i="7" s="1"/>
  <c r="R81" i="7" s="1"/>
  <c r="S81" i="7" s="1"/>
  <c r="M96" i="7"/>
  <c r="O96" i="7" s="1"/>
  <c r="T96" i="7" s="1"/>
  <c r="M106" i="7"/>
  <c r="O106" i="7" s="1"/>
  <c r="P106" i="7" s="1"/>
  <c r="R106" i="7" s="1"/>
  <c r="S106" i="7" s="1"/>
  <c r="M111" i="7"/>
  <c r="O111" i="7" s="1"/>
  <c r="P111" i="7" s="1"/>
  <c r="R111" i="7" s="1"/>
  <c r="S111" i="7" s="1"/>
  <c r="M117" i="7"/>
  <c r="O117" i="7" s="1"/>
  <c r="T117" i="7" s="1"/>
  <c r="M116" i="7"/>
  <c r="O116" i="7" s="1"/>
  <c r="P116" i="7" s="1"/>
  <c r="R116" i="7" s="1"/>
  <c r="S116" i="7" s="1"/>
  <c r="M128" i="7"/>
  <c r="O128" i="7" s="1"/>
  <c r="T128" i="7" s="1"/>
  <c r="M129" i="7"/>
  <c r="O129" i="7" s="1"/>
  <c r="T129" i="7" s="1"/>
  <c r="M135" i="7"/>
  <c r="O135" i="7" s="1"/>
  <c r="P135" i="7" s="1"/>
  <c r="R135" i="7" s="1"/>
  <c r="S135" i="7" s="1"/>
  <c r="M149" i="7"/>
  <c r="O149" i="7" s="1"/>
  <c r="T149" i="7" s="1"/>
  <c r="M144" i="7"/>
  <c r="O144" i="7" s="1"/>
  <c r="P144" i="7" s="1"/>
  <c r="R144" i="7" s="1"/>
  <c r="S144" i="7" s="1"/>
  <c r="M145" i="7"/>
  <c r="O145" i="7" s="1"/>
  <c r="T145" i="7" s="1"/>
  <c r="M157" i="7"/>
  <c r="O157" i="7" s="1"/>
  <c r="T157" i="7" s="1"/>
  <c r="M126" i="7"/>
  <c r="O126" i="7" s="1"/>
  <c r="M125" i="7"/>
  <c r="O125" i="7" s="1"/>
  <c r="K12" i="7"/>
  <c r="L12" i="7" s="1"/>
  <c r="M12" i="7" s="1"/>
  <c r="O12" i="7" s="1"/>
  <c r="O26" i="7"/>
  <c r="T26" i="7" s="1"/>
  <c r="W26" i="7"/>
  <c r="O29" i="7"/>
  <c r="T29" i="7" s="1"/>
  <c r="W29" i="7"/>
  <c r="O32" i="7"/>
  <c r="T32" i="7" s="1"/>
  <c r="W32" i="7"/>
  <c r="O23" i="7"/>
  <c r="T23" i="7" s="1"/>
  <c r="W23" i="7"/>
  <c r="O20" i="7"/>
  <c r="T20" i="7" s="1"/>
  <c r="W20" i="7"/>
  <c r="T21" i="7"/>
  <c r="W21" i="7"/>
  <c r="W28" i="7"/>
  <c r="O14" i="7"/>
  <c r="P14" i="7" s="1"/>
  <c r="R14" i="7" s="1"/>
  <c r="S14" i="7" s="1"/>
  <c r="W14" i="7"/>
  <c r="O27" i="7"/>
  <c r="T27" i="7" s="1"/>
  <c r="W27" i="7"/>
  <c r="O33" i="7"/>
  <c r="T33" i="7" s="1"/>
  <c r="W33" i="7"/>
  <c r="O35" i="7"/>
  <c r="T35" i="7" s="1"/>
  <c r="W35" i="7"/>
  <c r="O30" i="7"/>
  <c r="T30" i="7" s="1"/>
  <c r="W30" i="7"/>
  <c r="O31" i="7"/>
  <c r="T31" i="7" s="1"/>
  <c r="W31" i="7"/>
  <c r="O13" i="7"/>
  <c r="P13" i="7" s="1"/>
  <c r="R13" i="7" s="1"/>
  <c r="S13" i="7" s="1"/>
  <c r="W13" i="7"/>
  <c r="O34" i="7"/>
  <c r="T34" i="7" s="1"/>
  <c r="W34" i="7"/>
  <c r="O25" i="7"/>
  <c r="T25" i="7" s="1"/>
  <c r="W25" i="7"/>
  <c r="O22" i="7"/>
  <c r="T22" i="7" s="1"/>
  <c r="W22" i="7"/>
  <c r="O24" i="7"/>
  <c r="T24" i="7" s="1"/>
  <c r="W24" i="7"/>
  <c r="O36" i="7"/>
  <c r="T36" i="7" s="1"/>
  <c r="W36" i="7"/>
  <c r="O19" i="7"/>
  <c r="T19" i="7" s="1"/>
  <c r="W19" i="7"/>
  <c r="O7" i="7"/>
  <c r="T7" i="7" s="1"/>
  <c r="U7" i="7" s="1"/>
  <c r="W7" i="7"/>
  <c r="O8" i="7"/>
  <c r="P8" i="7" s="1"/>
  <c r="R8" i="7" s="1"/>
  <c r="S8" i="7" s="1"/>
  <c r="W8" i="7"/>
  <c r="J45" i="7"/>
  <c r="R9" i="7"/>
  <c r="S9" i="7" s="1"/>
  <c r="T9" i="7"/>
  <c r="U9" i="7" s="1"/>
  <c r="R11" i="7"/>
  <c r="S11" i="7" s="1"/>
  <c r="T11" i="7"/>
  <c r="U11" i="7" s="1"/>
  <c r="K18" i="7"/>
  <c r="L18" i="7" s="1"/>
  <c r="M18" i="7" s="1"/>
  <c r="J38" i="7"/>
  <c r="K6" i="7"/>
  <c r="L6" i="7" s="1"/>
  <c r="M6" i="7" s="1"/>
  <c r="J16" i="7"/>
  <c r="J50" i="7"/>
  <c r="T113" i="7" l="1"/>
  <c r="P113" i="7"/>
  <c r="R113" i="7" s="1"/>
  <c r="S113" i="7" s="1"/>
  <c r="T28" i="7"/>
  <c r="P28" i="7"/>
  <c r="R28" i="7" s="1"/>
  <c r="S28" i="7" s="1"/>
  <c r="P25" i="7"/>
  <c r="R25" i="7" s="1"/>
  <c r="U25" i="7"/>
  <c r="P24" i="7"/>
  <c r="R24" i="7" s="1"/>
  <c r="P21" i="7"/>
  <c r="R21" i="7" s="1"/>
  <c r="U21" i="7"/>
  <c r="P19" i="7"/>
  <c r="R19" i="7" s="1"/>
  <c r="P30" i="7"/>
  <c r="R30" i="7" s="1"/>
  <c r="P33" i="7"/>
  <c r="R33" i="7" s="1"/>
  <c r="P23" i="7"/>
  <c r="R23" i="7" s="1"/>
  <c r="U23" i="7"/>
  <c r="P29" i="7"/>
  <c r="R29" i="7" s="1"/>
  <c r="P36" i="7"/>
  <c r="R36" i="7" s="1"/>
  <c r="U36" i="7"/>
  <c r="P22" i="7"/>
  <c r="R22" i="7" s="1"/>
  <c r="P34" i="7"/>
  <c r="R34" i="7" s="1"/>
  <c r="P31" i="7"/>
  <c r="R31" i="7" s="1"/>
  <c r="P35" i="7"/>
  <c r="R35" i="7" s="1"/>
  <c r="P27" i="7"/>
  <c r="R27" i="7" s="1"/>
  <c r="P20" i="7"/>
  <c r="R20" i="7" s="1"/>
  <c r="U20" i="7"/>
  <c r="P32" i="7"/>
  <c r="R32" i="7" s="1"/>
  <c r="U32" i="7"/>
  <c r="P26" i="7"/>
  <c r="R26" i="7" s="1"/>
  <c r="U26" i="7"/>
  <c r="T55" i="7"/>
  <c r="P55" i="7"/>
  <c r="R55" i="7" s="1"/>
  <c r="S55" i="7" s="1"/>
  <c r="O79" i="7"/>
  <c r="T79" i="7" s="1"/>
  <c r="P158" i="7"/>
  <c r="R158" i="7" s="1"/>
  <c r="S158" i="7" s="1"/>
  <c r="P10" i="7"/>
  <c r="R10" i="7" s="1"/>
  <c r="S10" i="7" s="1"/>
  <c r="T10" i="7"/>
  <c r="U10" i="7" s="1"/>
  <c r="T140" i="7"/>
  <c r="P140" i="7"/>
  <c r="R140" i="7" s="1"/>
  <c r="S140" i="7" s="1"/>
  <c r="P139" i="7"/>
  <c r="R139" i="7" s="1"/>
  <c r="S139" i="7" s="1"/>
  <c r="T139" i="7"/>
  <c r="P142" i="7"/>
  <c r="R142" i="7" s="1"/>
  <c r="S142" i="7" s="1"/>
  <c r="T142" i="7"/>
  <c r="T141" i="7"/>
  <c r="P141" i="7"/>
  <c r="R141" i="7" s="1"/>
  <c r="S141" i="7" s="1"/>
  <c r="T104" i="7"/>
  <c r="P104" i="7"/>
  <c r="R104" i="7" s="1"/>
  <c r="S104" i="7" s="1"/>
  <c r="P56" i="7"/>
  <c r="R56" i="7" s="1"/>
  <c r="S56" i="7" s="1"/>
  <c r="P103" i="7"/>
  <c r="R103" i="7" s="1"/>
  <c r="S103" i="7" s="1"/>
  <c r="T103" i="7"/>
  <c r="P105" i="7"/>
  <c r="R105" i="7" s="1"/>
  <c r="S105" i="7" s="1"/>
  <c r="T105" i="7"/>
  <c r="T73" i="7"/>
  <c r="P73" i="7"/>
  <c r="R73" i="7" s="1"/>
  <c r="S73" i="7" s="1"/>
  <c r="T100" i="7"/>
  <c r="T89" i="7"/>
  <c r="P89" i="7"/>
  <c r="R89" i="7" s="1"/>
  <c r="S89" i="7" s="1"/>
  <c r="P95" i="7"/>
  <c r="R95" i="7" s="1"/>
  <c r="S95" i="7" s="1"/>
  <c r="T95" i="7"/>
  <c r="T94" i="7"/>
  <c r="P94" i="7"/>
  <c r="R94" i="7" s="1"/>
  <c r="S94" i="7" s="1"/>
  <c r="T92" i="7"/>
  <c r="P92" i="7"/>
  <c r="R92" i="7" s="1"/>
  <c r="S92" i="7" s="1"/>
  <c r="P91" i="7"/>
  <c r="R91" i="7" s="1"/>
  <c r="S91" i="7" s="1"/>
  <c r="T91" i="7"/>
  <c r="T93" i="7"/>
  <c r="P93" i="7"/>
  <c r="R93" i="7" s="1"/>
  <c r="S93" i="7" s="1"/>
  <c r="T90" i="7"/>
  <c r="P90" i="7"/>
  <c r="R90" i="7" s="1"/>
  <c r="S90" i="7" s="1"/>
  <c r="P62" i="7"/>
  <c r="R62" i="7" s="1"/>
  <c r="S62" i="7" s="1"/>
  <c r="T59" i="7"/>
  <c r="T101" i="7"/>
  <c r="T151" i="7"/>
  <c r="P108" i="7"/>
  <c r="R108" i="7" s="1"/>
  <c r="S108" i="7" s="1"/>
  <c r="T66" i="7"/>
  <c r="P66" i="7"/>
  <c r="R66" i="7" s="1"/>
  <c r="S66" i="7" s="1"/>
  <c r="T65" i="7"/>
  <c r="P65" i="7"/>
  <c r="R65" i="7" s="1"/>
  <c r="S65" i="7" s="1"/>
  <c r="T61" i="7"/>
  <c r="P64" i="7"/>
  <c r="R64" i="7" s="1"/>
  <c r="S64" i="7" s="1"/>
  <c r="T64" i="7"/>
  <c r="T67" i="7"/>
  <c r="P67" i="7"/>
  <c r="R67" i="7" s="1"/>
  <c r="S67" i="7" s="1"/>
  <c r="P63" i="7"/>
  <c r="R63" i="7" s="1"/>
  <c r="S63" i="7" s="1"/>
  <c r="T63" i="7"/>
  <c r="P136" i="7"/>
  <c r="R136" i="7" s="1"/>
  <c r="S136" i="7" s="1"/>
  <c r="P75" i="7"/>
  <c r="R75" i="7" s="1"/>
  <c r="S75" i="7" s="1"/>
  <c r="T58" i="7"/>
  <c r="T72" i="7"/>
  <c r="P119" i="7"/>
  <c r="R119" i="7" s="1"/>
  <c r="S119" i="7" s="1"/>
  <c r="P148" i="7"/>
  <c r="R148" i="7" s="1"/>
  <c r="S148" i="7" s="1"/>
  <c r="P68" i="7"/>
  <c r="R68" i="7" s="1"/>
  <c r="S68" i="7" s="1"/>
  <c r="T84" i="7"/>
  <c r="P109" i="7"/>
  <c r="R109" i="7" s="1"/>
  <c r="S109" i="7" s="1"/>
  <c r="P138" i="7"/>
  <c r="R138" i="7" s="1"/>
  <c r="S138" i="7" s="1"/>
  <c r="T87" i="7"/>
  <c r="P152" i="7"/>
  <c r="R152" i="7" s="1"/>
  <c r="S152" i="7" s="1"/>
  <c r="T71" i="7"/>
  <c r="T85" i="7"/>
  <c r="P153" i="7"/>
  <c r="R153" i="7" s="1"/>
  <c r="S153" i="7" s="1"/>
  <c r="P118" i="7"/>
  <c r="R118" i="7" s="1"/>
  <c r="S118" i="7" s="1"/>
  <c r="T116" i="7"/>
  <c r="P97" i="7"/>
  <c r="R97" i="7" s="1"/>
  <c r="S97" i="7" s="1"/>
  <c r="P96" i="7"/>
  <c r="R96" i="7" s="1"/>
  <c r="S96" i="7" s="1"/>
  <c r="P130" i="7"/>
  <c r="R130" i="7" s="1"/>
  <c r="S130" i="7" s="1"/>
  <c r="P137" i="7"/>
  <c r="R137" i="7" s="1"/>
  <c r="S137" i="7" s="1"/>
  <c r="P54" i="7"/>
  <c r="R54" i="7" s="1"/>
  <c r="S54" i="7" s="1"/>
  <c r="T80" i="7"/>
  <c r="P107" i="7"/>
  <c r="R107" i="7" s="1"/>
  <c r="S107" i="7" s="1"/>
  <c r="T114" i="7"/>
  <c r="P132" i="7"/>
  <c r="R132" i="7" s="1"/>
  <c r="S132" i="7" s="1"/>
  <c r="P149" i="7"/>
  <c r="R149" i="7" s="1"/>
  <c r="S149" i="7" s="1"/>
  <c r="P145" i="7"/>
  <c r="R145" i="7" s="1"/>
  <c r="S145" i="7" s="1"/>
  <c r="T154" i="7"/>
  <c r="P78" i="7"/>
  <c r="R78" i="7" s="1"/>
  <c r="S78" i="7" s="1"/>
  <c r="T81" i="7"/>
  <c r="T82" i="7"/>
  <c r="T110" i="7"/>
  <c r="P134" i="7"/>
  <c r="R134" i="7" s="1"/>
  <c r="S134" i="7" s="1"/>
  <c r="P146" i="7"/>
  <c r="R146" i="7" s="1"/>
  <c r="S146" i="7" s="1"/>
  <c r="P77" i="7"/>
  <c r="R77" i="7" s="1"/>
  <c r="S77" i="7" s="1"/>
  <c r="T83" i="7"/>
  <c r="T102" i="7"/>
  <c r="T112" i="7"/>
  <c r="T150" i="7"/>
  <c r="P143" i="7"/>
  <c r="R143" i="7" s="1"/>
  <c r="S143" i="7" s="1"/>
  <c r="P155" i="7"/>
  <c r="R155" i="7" s="1"/>
  <c r="S155" i="7" s="1"/>
  <c r="P70" i="7"/>
  <c r="R70" i="7" s="1"/>
  <c r="S70" i="7" s="1"/>
  <c r="T76" i="7"/>
  <c r="T86" i="7"/>
  <c r="T111" i="7"/>
  <c r="P117" i="7"/>
  <c r="R117" i="7" s="1"/>
  <c r="S117" i="7" s="1"/>
  <c r="P129" i="7"/>
  <c r="R129" i="7" s="1"/>
  <c r="S129" i="7" s="1"/>
  <c r="T144" i="7"/>
  <c r="P157" i="7"/>
  <c r="R157" i="7" s="1"/>
  <c r="S157" i="7" s="1"/>
  <c r="T124" i="7"/>
  <c r="P124" i="7"/>
  <c r="R124" i="7" s="1"/>
  <c r="S124" i="7" s="1"/>
  <c r="P57" i="7"/>
  <c r="R57" i="7" s="1"/>
  <c r="S57" i="7" s="1"/>
  <c r="P69" i="7"/>
  <c r="R69" i="7" s="1"/>
  <c r="S69" i="7" s="1"/>
  <c r="T88" i="7"/>
  <c r="T98" i="7"/>
  <c r="T99" i="7"/>
  <c r="T106" i="7"/>
  <c r="P115" i="7"/>
  <c r="R115" i="7" s="1"/>
  <c r="S115" i="7" s="1"/>
  <c r="P120" i="7"/>
  <c r="R120" i="7" s="1"/>
  <c r="S120" i="7" s="1"/>
  <c r="P128" i="7"/>
  <c r="R128" i="7" s="1"/>
  <c r="S128" i="7" s="1"/>
  <c r="P133" i="7"/>
  <c r="R133" i="7" s="1"/>
  <c r="S133" i="7" s="1"/>
  <c r="T135" i="7"/>
  <c r="T126" i="7"/>
  <c r="P126" i="7"/>
  <c r="R126" i="7" s="1"/>
  <c r="S126" i="7" s="1"/>
  <c r="P74" i="7"/>
  <c r="R74" i="7" s="1"/>
  <c r="S74" i="7" s="1"/>
  <c r="T127" i="7"/>
  <c r="P127" i="7"/>
  <c r="R127" i="7" s="1"/>
  <c r="S127" i="7" s="1"/>
  <c r="T122" i="7"/>
  <c r="P122" i="7"/>
  <c r="R122" i="7" s="1"/>
  <c r="S122" i="7" s="1"/>
  <c r="T123" i="7"/>
  <c r="P123" i="7"/>
  <c r="R123" i="7" s="1"/>
  <c r="S123" i="7" s="1"/>
  <c r="P131" i="7"/>
  <c r="R131" i="7" s="1"/>
  <c r="S131" i="7" s="1"/>
  <c r="T147" i="7"/>
  <c r="T156" i="7"/>
  <c r="P125" i="7"/>
  <c r="R125" i="7" s="1"/>
  <c r="S125" i="7" s="1"/>
  <c r="T125" i="7"/>
  <c r="T121" i="7"/>
  <c r="P121" i="7"/>
  <c r="R121" i="7" s="1"/>
  <c r="S121" i="7" s="1"/>
  <c r="P12" i="7"/>
  <c r="R12" i="7" s="1"/>
  <c r="S12" i="7" s="1"/>
  <c r="T12" i="7"/>
  <c r="U12" i="7" s="1"/>
  <c r="U28" i="7"/>
  <c r="U29" i="7"/>
  <c r="P7" i="7"/>
  <c r="R7" i="7" s="1"/>
  <c r="S7" i="7" s="1"/>
  <c r="U22" i="7"/>
  <c r="U19" i="7"/>
  <c r="U31" i="7"/>
  <c r="T14" i="7"/>
  <c r="U14" i="7" s="1"/>
  <c r="T13" i="7"/>
  <c r="U13" i="7" s="1"/>
  <c r="O18" i="7"/>
  <c r="T18" i="7" s="1"/>
  <c r="W18" i="7"/>
  <c r="T8" i="7"/>
  <c r="U8" i="7" s="1"/>
  <c r="O6" i="7"/>
  <c r="T6" i="7" s="1"/>
  <c r="U6" i="7" s="1"/>
  <c r="W6" i="7"/>
  <c r="J51" i="7"/>
  <c r="T50" i="7"/>
  <c r="U50" i="7"/>
  <c r="S23" i="7" l="1"/>
  <c r="P18" i="7"/>
  <c r="R18" i="7" s="1"/>
  <c r="S26" i="7"/>
  <c r="S20" i="7"/>
  <c r="S31" i="7"/>
  <c r="S22" i="7"/>
  <c r="S29" i="7"/>
  <c r="S19" i="7"/>
  <c r="S32" i="7"/>
  <c r="S36" i="7"/>
  <c r="S21" i="7"/>
  <c r="S25" i="7"/>
  <c r="P79" i="7"/>
  <c r="R79" i="7" s="1"/>
  <c r="S79" i="7" s="1"/>
  <c r="U16" i="7"/>
  <c r="U18" i="7"/>
  <c r="T45" i="7"/>
  <c r="P6" i="7"/>
  <c r="R6" i="7" s="1"/>
  <c r="R16" i="7" s="1"/>
  <c r="T16" i="7"/>
  <c r="U45" i="7"/>
  <c r="S18" i="7" l="1"/>
  <c r="S45" i="7"/>
  <c r="R45" i="7"/>
  <c r="S6" i="7"/>
  <c r="S16" i="7" s="1"/>
  <c r="R38" i="7" l="1"/>
  <c r="R51" i="7" s="1"/>
  <c r="S33" i="7"/>
  <c r="U27" i="7"/>
  <c r="U34" i="7"/>
  <c r="S35" i="7"/>
  <c r="U24" i="7"/>
  <c r="S30" i="7"/>
  <c r="U33" i="7"/>
  <c r="Q38" i="7" l="1"/>
  <c r="Q51" i="7" s="1"/>
  <c r="T38" i="7"/>
  <c r="T51" i="7" s="1"/>
  <c r="S34" i="7"/>
  <c r="S27" i="7"/>
  <c r="S24" i="7"/>
  <c r="U35" i="7"/>
  <c r="U30" i="7"/>
  <c r="U38" i="7" l="1"/>
  <c r="S38" i="7"/>
  <c r="S51" i="7" l="1"/>
  <c r="B25" i="4" s="1"/>
  <c r="B26" i="4" s="1"/>
  <c r="U51" i="7"/>
  <c r="B28" i="4" s="1"/>
  <c r="B29" i="4" s="1"/>
  <c r="C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Young</author>
  </authors>
  <commentList>
    <comment ref="E16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<sst xmlns="http://schemas.openxmlformats.org/spreadsheetml/2006/main" count="236" uniqueCount="196">
  <si>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</si>
  <si>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</si>
  <si>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</si>
  <si>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</si>
  <si>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</si>
  <si>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</si>
  <si>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</si>
  <si>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</si>
  <si>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</si>
  <si>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</si>
  <si>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</si>
  <si>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</si>
  <si>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</si>
  <si>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</si>
  <si>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</si>
  <si>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</si>
  <si>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</si>
  <si>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</si>
  <si>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</si>
  <si>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</si>
  <si>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</si>
  <si>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</si>
  <si>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</si>
  <si>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</si>
  <si>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</si>
  <si>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</si>
  <si>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</si>
  <si>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</si>
  <si>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</si>
  <si>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</si>
  <si>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</si>
  <si>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</si>
  <si>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</si>
  <si>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</si>
  <si>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</si>
  <si>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</si>
  <si>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</si>
  <si>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</si>
  <si>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</si>
  <si>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</si>
  <si>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</si>
  <si>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</si>
  <si>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</si>
  <si>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</si>
  <si>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</si>
  <si>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</si>
  <si>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</si>
  <si>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</si>
  <si>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</si>
  <si>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</si>
  <si>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</si>
  <si>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</si>
  <si>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</si>
  <si>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Current Rate</t>
  </si>
  <si>
    <t>New Rate</t>
  </si>
  <si>
    <t>Staff Revenue Increase</t>
  </si>
  <si>
    <t>Note: un-rounded, the deficiency is only $7.77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</si>
  <si>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</si>
  <si>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</si>
  <si>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</si>
  <si>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</si>
  <si>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</si>
  <si>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</si>
  <si>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</si>
  <si>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</si>
  <si>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</si>
  <si>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</si>
  <si>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</si>
  <si>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</si>
  <si>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</si>
  <si>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</si>
  <si>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</si>
  <si>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</si>
  <si>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</si>
  <si>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</si>
  <si>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</si>
  <si>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</si>
  <si>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</si>
  <si>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</si>
  <si>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</si>
  <si>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90-100 Gal</t>
  </si>
  <si>
    <t>60-65 Gal</t>
  </si>
  <si>
    <t>30-35 Gal</t>
  </si>
  <si>
    <t>Disposal Fee</t>
  </si>
  <si>
    <t>Waste Control Inc., G-101</t>
  </si>
  <si>
    <t>1.0 Yd. pu</t>
  </si>
  <si>
    <t>1.0 Yd. special pickup</t>
  </si>
  <si>
    <t>1.5 Yd. pu</t>
  </si>
  <si>
    <t>Cowlitz County, All Customers</t>
  </si>
  <si>
    <t>1.0 Yd. pu 2X</t>
  </si>
  <si>
    <t>1.5 Yd. pu 2X</t>
  </si>
  <si>
    <t>2.0 Yd. pu</t>
  </si>
  <si>
    <t>2.0 Yd. pu 2X</t>
  </si>
  <si>
    <t>3.0 Yd. pu</t>
  </si>
  <si>
    <t>3.0 Yd. pu 2X</t>
  </si>
  <si>
    <t>4.0 Yd. pu</t>
  </si>
  <si>
    <t>4.0 Yd. pu 2X</t>
  </si>
  <si>
    <t>5.0 Yd. pu</t>
  </si>
  <si>
    <t>5.0 Yd. pu 2X</t>
  </si>
  <si>
    <t>6.0 Yd. pu</t>
  </si>
  <si>
    <t>6.0 Yd. pu 2X</t>
  </si>
  <si>
    <t>2.0 Yd. 3X</t>
  </si>
  <si>
    <t>3.0 Yd. 3X</t>
  </si>
  <si>
    <t>4.0 Yd. 3X</t>
  </si>
  <si>
    <t>5.0 Yd. 3X</t>
  </si>
  <si>
    <t>6.0 Yd. 3X</t>
  </si>
  <si>
    <t>Cowlitz County Disposal Fees</t>
  </si>
  <si>
    <t>Multi-Family</t>
  </si>
  <si>
    <t>60-65 Gal, less than 20</t>
  </si>
  <si>
    <t>30-35 Gal, less than 20</t>
  </si>
  <si>
    <t>Other</t>
  </si>
  <si>
    <t>60-65 Gal, more than 20</t>
  </si>
  <si>
    <t>30-35 Gal, more than 20</t>
  </si>
  <si>
    <t>Over-sized/Over-weight Cans/Units</t>
  </si>
  <si>
    <t>30-35 Gal Extra</t>
  </si>
  <si>
    <t>60-65 Gal Extra</t>
  </si>
  <si>
    <t>90-100 Gal Extra</t>
  </si>
  <si>
    <t>Extra Bag</t>
  </si>
  <si>
    <t>Bulky Materials</t>
  </si>
  <si>
    <t>See "No Current Customers" below</t>
  </si>
  <si>
    <t>Loose material - 1-4 Additional</t>
  </si>
  <si>
    <t>1.0 Yd. Excess</t>
  </si>
  <si>
    <t>1.5 Yd. Excess</t>
  </si>
  <si>
    <t>2.0 Yd. Excess</t>
  </si>
  <si>
    <t>3.0 Yd. Excess</t>
  </si>
  <si>
    <t>4.0 Yd. Excess</t>
  </si>
  <si>
    <t>5.0 Yd. Excess</t>
  </si>
  <si>
    <t>6.0 Yd. Excess</t>
  </si>
  <si>
    <t>30-35 Gal Excess</t>
  </si>
  <si>
    <t>60-65 Gal Excess</t>
  </si>
  <si>
    <t>90-100 Gal Excess</t>
  </si>
  <si>
    <t>1.0 Yd. Temp</t>
  </si>
  <si>
    <t>1.5 Yd. Temp</t>
  </si>
  <si>
    <t>2.0 Yd. Temp</t>
  </si>
  <si>
    <t>3.0 Yd. Temp</t>
  </si>
  <si>
    <t>4.0 Yd. Temp</t>
  </si>
  <si>
    <t>5.0 Yd. Temp</t>
  </si>
  <si>
    <t>6.0 Yd. Temp</t>
  </si>
  <si>
    <t>Loose material - 1-4 CuYd - Customer</t>
  </si>
  <si>
    <t>Loose material - 1-4 CuYd - Company</t>
  </si>
  <si>
    <t>30-35 Gal special pickup</t>
  </si>
  <si>
    <t>60-65 Gal special pickup</t>
  </si>
  <si>
    <t>90-100 Gal special pickup</t>
  </si>
  <si>
    <t>1.0 Yd. Customer owned</t>
  </si>
  <si>
    <t>1.5 Yd. Customer owned</t>
  </si>
  <si>
    <t>2.0 Yd. Customer owned</t>
  </si>
  <si>
    <t>3.0 Yd. Customer owned</t>
  </si>
  <si>
    <t>4.0 Yd. Customer owned</t>
  </si>
  <si>
    <t>5.0 Yd. Customer owned</t>
  </si>
  <si>
    <t>6.0 Yd. Customer owned</t>
  </si>
  <si>
    <t>1.0 Yd. Customer owned, Temp</t>
  </si>
  <si>
    <t>1.5 Yd. Customer owned, Temp</t>
  </si>
  <si>
    <t>2.0 Yd. Customer owned, Temp</t>
  </si>
  <si>
    <t>3.0 Yd. Customer owned, Temp</t>
  </si>
  <si>
    <t>4.0 Yd. Customer owned, Temp</t>
  </si>
  <si>
    <t>5.0 Yd. Customer owned, Temp</t>
  </si>
  <si>
    <t>6.0 Yd. Customer owned, Temp</t>
  </si>
  <si>
    <t>2 YD Compacted - company</t>
  </si>
  <si>
    <t>3 YD Compacted - company</t>
  </si>
  <si>
    <t>4 YD Compacted - company</t>
  </si>
  <si>
    <t>5 YD Compacted - company</t>
  </si>
  <si>
    <t>2 YD Compacted - customer</t>
  </si>
  <si>
    <t>3 YD Compacted - customer</t>
  </si>
  <si>
    <t>4 YD Compacted - customer</t>
  </si>
  <si>
    <t>5 YD Compacted - customer</t>
  </si>
  <si>
    <t>3 YD Compacted special PU</t>
  </si>
  <si>
    <t>2 YD Compacted special PU</t>
  </si>
  <si>
    <t>4 YD Compacted special PU</t>
  </si>
  <si>
    <t>5 YD Compacted special PU</t>
  </si>
  <si>
    <t>2 YD Compacted Temp</t>
  </si>
  <si>
    <t>3 YD Compacted Temp</t>
  </si>
  <si>
    <t>4 YD Compacted Temp</t>
  </si>
  <si>
    <t>5 YD Compacted Temp</t>
  </si>
  <si>
    <t>1.0 Yd. Customer owned, special PU</t>
  </si>
  <si>
    <t>2.0 Yd. Customer owned, special PU</t>
  </si>
  <si>
    <t>1.5 Yd. Customer owned, special PU</t>
  </si>
  <si>
    <t>3.0 Yd. Customer owned, special PU</t>
  </si>
  <si>
    <t>4.0 Yd. Customer owned, special PU</t>
  </si>
  <si>
    <t>5.0 Yd. Customer owned, special PU</t>
  </si>
  <si>
    <t>6.0 Yd. Customer owned, special PU</t>
  </si>
  <si>
    <t>30-35 Gal Extra PU charge</t>
  </si>
  <si>
    <t>90-100 Gal Extra PU charge</t>
  </si>
  <si>
    <t>60-65 Gal Extra PU charge</t>
  </si>
  <si>
    <t>1.5 Yd. special pickup</t>
  </si>
  <si>
    <t>2.0 Yd. special pickup</t>
  </si>
  <si>
    <t>3.0 Yd. special pickup</t>
  </si>
  <si>
    <t>4.0 Yd. special pickup</t>
  </si>
  <si>
    <t>5.0 Yd. special pickup</t>
  </si>
  <si>
    <t>6.0 Yd. special pickup</t>
  </si>
  <si>
    <t>On-Call Special Pickup</t>
  </si>
  <si>
    <t>2 YD Compacted - company 2X</t>
  </si>
  <si>
    <t>3 YD Compacted - company 2X</t>
  </si>
  <si>
    <t>4 YD Compacted - company 2X</t>
  </si>
  <si>
    <t>5 YD Compacted - company 2X</t>
  </si>
  <si>
    <t>Bad debt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</si>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</sst>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  <numFmt numFmtId="172" formatCode="_(&quot;$&quot;* #,##0.0000_);_(&quot;$&quot;* \(#,##0.000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1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44" fontId="0" fillId="0" borderId="1" xfId="2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Border="1" applyAlignment="1">
      <alignment wrapText="1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4" applyFont="1" applyFill="1" applyBorder="1" applyAlignment="1">
      <alignment horizontal="left"/>
    </xf>
    <xf numFmtId="3" fontId="0" fillId="0" borderId="3" xfId="0" applyNumberForma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 applyFill="1" applyBorder="1"/>
    <xf numFmtId="164" fontId="0" fillId="0" borderId="0" xfId="0" applyNumberFormat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6" fillId="0" borderId="0" xfId="0" applyNumberFormat="1" applyFont="1" applyFill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3" fontId="6" fillId="0" borderId="2" xfId="0" applyNumberFormat="1" applyFont="1" applyFill="1" applyBorder="1"/>
    <xf numFmtId="164" fontId="0" fillId="0" borderId="0" xfId="1" applyNumberFormat="1" applyFont="1" applyFill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Fill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44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164" fontId="6" fillId="0" borderId="2" xfId="0" applyNumberFormat="1" applyFont="1" applyFill="1" applyBorder="1"/>
    <xf numFmtId="164" fontId="6" fillId="0" borderId="2" xfId="1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/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textRotation="90"/>
    </xf>
    <xf numFmtId="0" fontId="34" fillId="0" borderId="0" xfId="0" applyFont="1"/>
    <xf numFmtId="0" fontId="0" fillId="0" borderId="2" xfId="0" applyFill="1" applyBorder="1" applyAlignment="1">
      <alignment vertical="center"/>
    </xf>
    <xf numFmtId="167" fontId="6" fillId="0" borderId="2" xfId="0" applyNumberFormat="1" applyFont="1" applyFill="1" applyBorder="1"/>
    <xf numFmtId="43" fontId="0" fillId="0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textRotation="90"/>
    </xf>
    <xf numFmtId="0" fontId="0" fillId="0" borderId="1" xfId="0" applyBorder="1" applyAlignment="1">
      <alignment horizontal="right"/>
    </xf>
    <xf numFmtId="10" fontId="0" fillId="0" borderId="1" xfId="3" applyNumberFormat="1" applyFont="1" applyBorder="1"/>
    <xf numFmtId="43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43" fontId="35" fillId="0" borderId="0" xfId="0" applyNumberFormat="1" applyFont="1"/>
    <xf numFmtId="10" fontId="0" fillId="0" borderId="0" xfId="0" applyNumberFormat="1" applyFill="1"/>
    <xf numFmtId="0" fontId="36" fillId="0" borderId="0" xfId="0" applyFont="1"/>
    <xf numFmtId="0" fontId="38" fillId="0" borderId="0" xfId="4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textRotation="90"/>
    </xf>
    <xf numFmtId="0" fontId="37" fillId="0" borderId="0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vertical="center" textRotation="90"/>
    </xf>
    <xf numFmtId="0" fontId="0" fillId="0" borderId="0" xfId="0" applyFill="1" applyBorder="1" applyAlignment="1">
      <alignment horizontal="center" vertical="center" textRotation="90"/>
    </xf>
    <xf numFmtId="0" fontId="6" fillId="0" borderId="1" xfId="0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9" fontId="0" fillId="0" borderId="0" xfId="0" applyNumberFormat="1" applyFill="1"/>
    <xf numFmtId="44" fontId="0" fillId="0" borderId="1" xfId="2" applyFont="1" applyFill="1" applyBorder="1"/>
    <xf numFmtId="165" fontId="0" fillId="0" borderId="1" xfId="2" applyNumberFormat="1" applyFont="1" applyFill="1" applyBorder="1"/>
    <xf numFmtId="172" fontId="0" fillId="0" borderId="0" xfId="2" applyNumberFormat="1" applyFont="1" applyFill="1"/>
    <xf numFmtId="44" fontId="0" fillId="0" borderId="0" xfId="0" applyNumberFormat="1" applyFill="1"/>
    <xf numFmtId="0" fontId="34" fillId="0" borderId="0" xfId="0" applyFont="1" applyFill="1"/>
    <xf numFmtId="0" fontId="0" fillId="0" borderId="0" xfId="0" applyFont="1" applyFill="1" applyBorder="1"/>
    <xf numFmtId="167" fontId="0" fillId="0" borderId="0" xfId="1" applyNumberFormat="1" applyFont="1" applyFill="1" applyBorder="1"/>
    <xf numFmtId="164" fontId="0" fillId="0" borderId="0" xfId="2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6" fillId="0" borderId="0" xfId="0" applyFont="1" applyFill="1"/>
    <xf numFmtId="43" fontId="0" fillId="0" borderId="0" xfId="1" applyFont="1" applyFill="1" applyBorder="1" applyAlignment="1">
      <alignment horizontal="center"/>
    </xf>
    <xf numFmtId="43" fontId="0" fillId="0" borderId="0" xfId="0" applyNumberFormat="1" applyFill="1"/>
    <xf numFmtId="10" fontId="0" fillId="0" borderId="0" xfId="3" applyNumberFormat="1" applyFont="1" applyFill="1" applyBorder="1"/>
    <xf numFmtId="0" fontId="0" fillId="0" borderId="4" xfId="0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 wrapText="1"/>
    </xf>
    <xf numFmtId="0" fontId="0" fillId="0" borderId="0" xfId="0" applyAlignment="1">
      <alignment horizontal="center"/>
    </xf>
    <xf numFmtId="0" fontId="35" fillId="0" borderId="3" xfId="0" applyFont="1" applyFill="1" applyBorder="1" applyAlignment="1">
      <alignment horizontal="center" vertical="center" textRotation="90"/>
    </xf>
    <xf numFmtId="0" fontId="35" fillId="0" borderId="0" xfId="0" applyFont="1" applyFill="1" applyBorder="1" applyAlignment="1">
      <alignment horizontal="center" vertical="center" textRotation="90"/>
    </xf>
    <xf numFmtId="0" fontId="7" fillId="0" borderId="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zoomScaleNormal="100" workbookViewId="0"/>
  </sheetViews>
  <sheetFormatPr defaultRowHeight="15"/>
  <sheetData>
    <row r="2" spans="1:3">
      <c r="A2" s="111" t="s">
        <v>58</v>
      </c>
    </row>
    <row r="4" spans="1:3">
      <c r="B4" t="s">
        <v>59</v>
      </c>
    </row>
    <row r="5" spans="1:3">
      <c r="C5" t="s">
        <v>70</v>
      </c>
    </row>
    <row r="6" spans="1:3">
      <c r="C6" t="s">
        <v>60</v>
      </c>
    </row>
    <row r="7" spans="1:3" s="19" customFormat="1">
      <c r="C7" s="19" t="s">
        <v>71</v>
      </c>
    </row>
    <row r="8" spans="1:3" s="19" customFormat="1"/>
    <row r="9" spans="1:3" s="19" customFormat="1">
      <c r="B9" s="19" t="s">
        <v>74</v>
      </c>
    </row>
    <row r="10" spans="1:3" s="19" customFormat="1">
      <c r="C10" s="19" t="s">
        <v>75</v>
      </c>
    </row>
    <row r="11" spans="1:3" s="19" customFormat="1"/>
    <row r="12" spans="1:3">
      <c r="B12" t="s">
        <v>76</v>
      </c>
    </row>
    <row r="13" spans="1:3" s="19" customFormat="1">
      <c r="C13" s="19" t="s">
        <v>72</v>
      </c>
    </row>
    <row r="14" spans="1:3" s="19" customFormat="1">
      <c r="C14" s="19" t="s">
        <v>77</v>
      </c>
    </row>
    <row r="15" spans="1:3">
      <c r="C15" t="s">
        <v>73</v>
      </c>
    </row>
    <row r="17" spans="2:3">
      <c r="B17" t="s">
        <v>63</v>
      </c>
    </row>
    <row r="18" spans="2:3">
      <c r="C18" t="s">
        <v>61</v>
      </c>
    </row>
    <row r="19" spans="2:3">
      <c r="C19" t="s">
        <v>62</v>
      </c>
    </row>
    <row r="21" spans="2:3">
      <c r="B21" t="s">
        <v>65</v>
      </c>
    </row>
    <row r="22" spans="2:3">
      <c r="C22" t="s">
        <v>67</v>
      </c>
    </row>
    <row r="23" spans="2:3">
      <c r="C23" t="s">
        <v>66</v>
      </c>
    </row>
    <row r="24" spans="2:3">
      <c r="C24" t="s">
        <v>68</v>
      </c>
    </row>
    <row r="25" spans="2:3">
      <c r="C25" t="s">
        <v>69</v>
      </c>
    </row>
    <row r="27" spans="2:3">
      <c r="B27" t="s">
        <v>79</v>
      </c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/>
  </sheetViews>
  <sheetFormatPr defaultRowHeight="15"/>
  <cols>
    <col min="1" max="1" width="32.7109375" bestFit="1" customWidth="1"/>
    <col min="2" max="2" width="17.28515625" bestFit="1" customWidth="1"/>
    <col min="3" max="3" width="10.85546875" bestFit="1" customWidth="1"/>
    <col min="4" max="4" width="7" bestFit="1" customWidth="1"/>
    <col min="5" max="5" width="10.85546875" customWidth="1"/>
    <col min="6" max="6" width="9.85546875" bestFit="1" customWidth="1"/>
    <col min="7" max="7" width="9.28515625" bestFit="1" customWidth="1"/>
  </cols>
  <sheetData>
    <row r="1" spans="1:9" s="19" customFormat="1">
      <c r="A1" s="49" t="s">
        <v>84</v>
      </c>
    </row>
    <row r="2" spans="1:9" s="19" customFormat="1">
      <c r="A2" s="49" t="s">
        <v>83</v>
      </c>
    </row>
    <row r="3" spans="1:9" s="19" customFormat="1">
      <c r="A3" s="49" t="s">
        <v>88</v>
      </c>
    </row>
    <row r="4" spans="1:9" s="19" customFormat="1">
      <c r="A4" s="49"/>
      <c r="D4" s="160" t="s">
        <v>17</v>
      </c>
      <c r="E4" s="160"/>
      <c r="F4" s="160"/>
      <c r="G4" s="160"/>
    </row>
    <row r="5" spans="1:9" s="19" customFormat="1">
      <c r="D5" s="101" t="s">
        <v>46</v>
      </c>
      <c r="E5" s="101" t="s">
        <v>47</v>
      </c>
      <c r="F5" s="101" t="s">
        <v>48</v>
      </c>
      <c r="G5" s="104" t="s">
        <v>52</v>
      </c>
    </row>
    <row r="6" spans="1:9" s="19" customFormat="1">
      <c r="A6" s="98" t="s">
        <v>45</v>
      </c>
      <c r="D6" s="105">
        <f>52*2/12</f>
        <v>8.6666666666666661</v>
      </c>
      <c r="E6" s="105">
        <f>D6*2</f>
        <v>17.333333333333332</v>
      </c>
      <c r="F6" s="105">
        <f>D6*3</f>
        <v>26</v>
      </c>
      <c r="G6" s="105">
        <f>D6*4</f>
        <v>34.666666666666664</v>
      </c>
    </row>
    <row r="7" spans="1:9">
      <c r="A7" t="s">
        <v>20</v>
      </c>
      <c r="D7" s="105">
        <f>52/12</f>
        <v>4.333333333333333</v>
      </c>
      <c r="E7" s="105">
        <f t="shared" ref="E7:E9" si="0">D7*2</f>
        <v>8.6666666666666661</v>
      </c>
      <c r="F7" s="105">
        <f t="shared" ref="F7:F9" si="1">D7*3</f>
        <v>13</v>
      </c>
      <c r="G7" s="105">
        <f t="shared" ref="G7:G9" si="2">D7*4</f>
        <v>17.333333333333332</v>
      </c>
    </row>
    <row r="8" spans="1:9">
      <c r="A8" t="s">
        <v>22</v>
      </c>
      <c r="D8" s="105">
        <f>26/12</f>
        <v>2.1666666666666665</v>
      </c>
      <c r="E8" s="105">
        <f t="shared" si="0"/>
        <v>4.333333333333333</v>
      </c>
      <c r="F8" s="105">
        <f t="shared" si="1"/>
        <v>6.5</v>
      </c>
      <c r="G8" s="105">
        <f t="shared" si="2"/>
        <v>8.6666666666666661</v>
      </c>
    </row>
    <row r="9" spans="1:9">
      <c r="A9" t="s">
        <v>21</v>
      </c>
      <c r="D9" s="105">
        <f>12/12</f>
        <v>1</v>
      </c>
      <c r="E9" s="105">
        <f t="shared" si="0"/>
        <v>2</v>
      </c>
      <c r="F9" s="105">
        <f t="shared" si="1"/>
        <v>3</v>
      </c>
      <c r="G9" s="105">
        <f t="shared" si="2"/>
        <v>4</v>
      </c>
    </row>
    <row r="11" spans="1:9">
      <c r="A11" t="s">
        <v>18</v>
      </c>
      <c r="B11">
        <v>2000</v>
      </c>
    </row>
    <row r="12" spans="1:9">
      <c r="A12" t="s">
        <v>19</v>
      </c>
      <c r="B12" s="46" t="s">
        <v>49</v>
      </c>
    </row>
    <row r="14" spans="1:9">
      <c r="A14" s="47" t="s">
        <v>106</v>
      </c>
      <c r="B14" s="104" t="s">
        <v>6</v>
      </c>
      <c r="C14" s="127" t="s">
        <v>7</v>
      </c>
      <c r="D14" s="26"/>
      <c r="E14" s="139" t="s">
        <v>25</v>
      </c>
      <c r="F14" s="127"/>
      <c r="I14" s="110"/>
    </row>
    <row r="15" spans="1:9">
      <c r="A15" s="19" t="s">
        <v>53</v>
      </c>
      <c r="B15" s="140">
        <v>51.02</v>
      </c>
      <c r="C15" s="141">
        <f>B15/2000</f>
        <v>2.5510000000000001E-2</v>
      </c>
      <c r="D15" s="26"/>
      <c r="E15" s="148" t="s">
        <v>194</v>
      </c>
      <c r="F15" s="121">
        <v>1.17E-2</v>
      </c>
      <c r="I15" s="20"/>
    </row>
    <row r="16" spans="1:9">
      <c r="A16" s="19" t="s">
        <v>54</v>
      </c>
      <c r="B16" s="143">
        <v>55.81</v>
      </c>
      <c r="C16" s="144">
        <f>B16/2000</f>
        <v>2.7905000000000003E-2</v>
      </c>
      <c r="D16" s="26"/>
      <c r="E16" s="26" t="s">
        <v>26</v>
      </c>
      <c r="F16" s="142">
        <f>0.015</f>
        <v>1.4999999999999999E-2</v>
      </c>
      <c r="G16" s="117"/>
    </row>
    <row r="17" spans="1:6">
      <c r="A17" s="19" t="s">
        <v>8</v>
      </c>
      <c r="B17" s="140">
        <f>B16-B15</f>
        <v>4.7899999999999991</v>
      </c>
      <c r="C17" s="145">
        <f>C16-C15</f>
        <v>2.3950000000000013E-3</v>
      </c>
      <c r="D17" s="26"/>
      <c r="E17" s="26" t="s">
        <v>27</v>
      </c>
      <c r="F17" s="127">
        <f>0.0051</f>
        <v>5.1000000000000004E-3</v>
      </c>
    </row>
    <row r="18" spans="1:6">
      <c r="B18" s="26"/>
      <c r="C18" s="26"/>
      <c r="D18" s="26"/>
      <c r="E18" s="26" t="s">
        <v>15</v>
      </c>
      <c r="F18" s="26">
        <f>SUM(F15:F17)</f>
        <v>3.1800000000000002E-2</v>
      </c>
    </row>
    <row r="19" spans="1:6">
      <c r="B19" s="26"/>
      <c r="C19" s="26"/>
      <c r="D19" s="26"/>
      <c r="E19" s="26" t="s">
        <v>28</v>
      </c>
      <c r="F19" s="26">
        <f>1-F18</f>
        <v>0.96819999999999995</v>
      </c>
    </row>
    <row r="20" spans="1:6">
      <c r="A20" t="s">
        <v>4</v>
      </c>
      <c r="B20" s="146">
        <f>B17</f>
        <v>4.7899999999999991</v>
      </c>
      <c r="C20" s="146"/>
      <c r="D20" s="26"/>
      <c r="E20" s="26"/>
      <c r="F20" s="26"/>
    </row>
    <row r="21" spans="1:6">
      <c r="A21" t="s">
        <v>24</v>
      </c>
      <c r="B21" s="146">
        <f>B20/F19</f>
        <v>4.9473249328651097</v>
      </c>
      <c r="C21" s="26"/>
      <c r="D21" s="26"/>
      <c r="E21" s="26" t="s">
        <v>64</v>
      </c>
      <c r="F21" s="26"/>
    </row>
    <row r="22" spans="1:6">
      <c r="A22" t="s">
        <v>23</v>
      </c>
      <c r="B22" s="41">
        <v>16017.31</v>
      </c>
      <c r="C22" s="147"/>
      <c r="D22" s="26"/>
      <c r="E22" s="26"/>
      <c r="F22" s="26"/>
    </row>
    <row r="23" spans="1:6">
      <c r="A23" s="49" t="s">
        <v>29</v>
      </c>
      <c r="B23" s="102">
        <f>B21*B22</f>
        <v>79242.837120429642</v>
      </c>
      <c r="E23" s="26"/>
      <c r="F23" s="26"/>
    </row>
    <row r="25" spans="1:6">
      <c r="A25" t="s">
        <v>50</v>
      </c>
      <c r="B25" s="6">
        <f>'Staff Calcs '!S51</f>
        <v>79644.211999999839</v>
      </c>
    </row>
    <row r="26" spans="1:6">
      <c r="A26" s="50" t="s">
        <v>11</v>
      </c>
      <c r="B26" s="48">
        <f>B25-B23</f>
        <v>401.37487957019766</v>
      </c>
    </row>
    <row r="28" spans="1:6">
      <c r="A28" s="49" t="s">
        <v>51</v>
      </c>
      <c r="B28" s="103">
        <f>'Staff Calcs '!U51</f>
        <v>79644.211999999839</v>
      </c>
      <c r="E28" s="109" t="s">
        <v>57</v>
      </c>
      <c r="F28" s="1"/>
    </row>
    <row r="29" spans="1:6">
      <c r="A29" s="50" t="s">
        <v>11</v>
      </c>
      <c r="B29" s="48">
        <f>B28-B23</f>
        <v>401.37487957019766</v>
      </c>
      <c r="C29" s="15">
        <f>B29/B23</f>
        <v>5.0651250530089741E-3</v>
      </c>
      <c r="E29">
        <v>0.01</v>
      </c>
    </row>
    <row r="31" spans="1:6">
      <c r="A31" t="s">
        <v>56</v>
      </c>
    </row>
  </sheetData>
  <mergeCells count="1">
    <mergeCell ref="D4:G4"/>
  </mergeCells>
  <pageMargins left="0.28000000000000003" right="0.52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76"/>
  <sheetViews>
    <sheetView tabSelected="1" zoomScaleNormal="10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ColWidth="8.85546875" defaultRowHeight="15"/>
  <cols>
    <col min="1" max="1" width="4.5703125" style="19" bestFit="1" customWidth="1"/>
    <col min="2" max="2" width="6" style="19" customWidth="1"/>
    <col min="3" max="3" width="5.5703125" style="19" bestFit="1" customWidth="1"/>
    <col min="4" max="4" width="30.7109375" style="19" customWidth="1"/>
    <col min="5" max="5" width="13.5703125" style="19" bestFit="1" customWidth="1"/>
    <col min="6" max="6" width="10.140625" style="19" customWidth="1"/>
    <col min="7" max="7" width="11.42578125" style="19" bestFit="1" customWidth="1"/>
    <col min="8" max="8" width="13.42578125" style="19" bestFit="1" customWidth="1"/>
    <col min="9" max="9" width="15.7109375" style="19" bestFit="1" customWidth="1"/>
    <col min="10" max="10" width="14.140625" style="19" bestFit="1" customWidth="1"/>
    <col min="11" max="12" width="11.5703125" style="19" bestFit="1" customWidth="1"/>
    <col min="13" max="13" width="8.28515625" style="19" customWidth="1"/>
    <col min="14" max="14" width="9.5703125" style="19" customWidth="1"/>
    <col min="15" max="15" width="10.28515625" style="26" customWidth="1"/>
    <col min="16" max="16" width="9.42578125" style="19" customWidth="1"/>
    <col min="17" max="20" width="11.5703125" style="19" bestFit="1" customWidth="1"/>
    <col min="21" max="21" width="10.85546875" style="19" customWidth="1"/>
    <col min="22" max="16384" width="8.85546875" style="19"/>
  </cols>
  <sheetData>
    <row r="1" spans="1:24">
      <c r="D1" s="49" t="s">
        <v>84</v>
      </c>
      <c r="K1" s="54"/>
      <c r="L1" s="55"/>
      <c r="M1" s="55"/>
      <c r="O1" s="158"/>
    </row>
    <row r="2" spans="1:24">
      <c r="D2" s="49" t="s">
        <v>83</v>
      </c>
      <c r="K2" s="54"/>
      <c r="L2" s="55"/>
      <c r="M2" s="55"/>
    </row>
    <row r="3" spans="1:24">
      <c r="D3" s="49" t="s">
        <v>88</v>
      </c>
      <c r="K3" s="54"/>
      <c r="L3" s="55"/>
      <c r="M3" s="55"/>
    </row>
    <row r="4" spans="1:24">
      <c r="K4" s="54"/>
      <c r="L4" s="54"/>
      <c r="M4" s="54"/>
    </row>
    <row r="5" spans="1:24" ht="60">
      <c r="A5" s="1"/>
      <c r="B5" s="2" t="s">
        <v>78</v>
      </c>
      <c r="C5" s="2" t="s">
        <v>14</v>
      </c>
      <c r="D5" s="99" t="s">
        <v>16</v>
      </c>
      <c r="E5" s="3" t="s">
        <v>42</v>
      </c>
      <c r="F5" s="3" t="s">
        <v>0</v>
      </c>
      <c r="G5" s="101" t="s">
        <v>1</v>
      </c>
      <c r="H5" s="3" t="s">
        <v>9</v>
      </c>
      <c r="I5" s="3" t="s">
        <v>33</v>
      </c>
      <c r="J5" s="3" t="s">
        <v>34</v>
      </c>
      <c r="K5" s="4" t="s">
        <v>8</v>
      </c>
      <c r="L5" s="4" t="s">
        <v>2</v>
      </c>
      <c r="M5" s="4" t="s">
        <v>43</v>
      </c>
      <c r="N5" s="4" t="s">
        <v>39</v>
      </c>
      <c r="O5" s="4" t="s">
        <v>36</v>
      </c>
      <c r="P5" s="4" t="s">
        <v>37</v>
      </c>
      <c r="Q5" s="4" t="s">
        <v>40</v>
      </c>
      <c r="R5" s="4" t="s">
        <v>38</v>
      </c>
      <c r="S5" s="4" t="s">
        <v>44</v>
      </c>
      <c r="T5" s="4" t="s">
        <v>41</v>
      </c>
      <c r="U5" s="4" t="s">
        <v>55</v>
      </c>
    </row>
    <row r="6" spans="1:24" s="26" customFormat="1" ht="15" customHeight="1">
      <c r="A6" s="161" t="s">
        <v>12</v>
      </c>
      <c r="B6" s="113">
        <v>100</v>
      </c>
      <c r="C6" s="113">
        <v>23</v>
      </c>
      <c r="D6" s="21" t="s">
        <v>80</v>
      </c>
      <c r="E6" s="23">
        <v>4342</v>
      </c>
      <c r="F6" s="18">
        <f>References!$D$7</f>
        <v>4.333333333333333</v>
      </c>
      <c r="G6" s="69">
        <f>E6*F6*12</f>
        <v>225784</v>
      </c>
      <c r="H6" s="17">
        <v>68</v>
      </c>
      <c r="I6" s="17">
        <f>G6*H6</f>
        <v>15353312</v>
      </c>
      <c r="J6" s="24">
        <f t="shared" ref="J6:J14" si="0">$E$165*I6</f>
        <v>12125316.500400614</v>
      </c>
      <c r="K6" s="59">
        <f>References!$C$17*J6</f>
        <v>29040.133018459484</v>
      </c>
      <c r="L6" s="66">
        <f>K6/References!$F$19</f>
        <v>29993.940320656358</v>
      </c>
      <c r="M6" s="66">
        <f>L6/G6*F6</f>
        <v>0.57565523415968756</v>
      </c>
      <c r="N6" s="59">
        <v>25.28</v>
      </c>
      <c r="O6" s="66">
        <f>MROUND(N6+M6,References!$E$29)</f>
        <v>25.86</v>
      </c>
      <c r="P6" s="59">
        <f>O6</f>
        <v>25.86</v>
      </c>
      <c r="Q6" s="61">
        <f>E6*N6*12</f>
        <v>1317189.1200000001</v>
      </c>
      <c r="R6" s="61">
        <f>E6*P6*12</f>
        <v>1347409.44</v>
      </c>
      <c r="S6" s="61">
        <f>R6-Q6</f>
        <v>30220.319999999832</v>
      </c>
      <c r="T6" s="61">
        <f>E6*O6*12</f>
        <v>1347409.44</v>
      </c>
      <c r="U6" s="100">
        <f>T6-Q6</f>
        <v>30220.319999999832</v>
      </c>
      <c r="W6" s="129">
        <f>+M6/N6</f>
        <v>2.2771172237329412E-2</v>
      </c>
    </row>
    <row r="7" spans="1:24" s="26" customFormat="1" ht="15" customHeight="1">
      <c r="A7" s="162"/>
      <c r="B7" s="113">
        <v>100</v>
      </c>
      <c r="C7" s="113">
        <v>23</v>
      </c>
      <c r="D7" s="21" t="s">
        <v>81</v>
      </c>
      <c r="E7" s="23">
        <v>5350</v>
      </c>
      <c r="F7" s="18">
        <f>References!$D$7</f>
        <v>4.333333333333333</v>
      </c>
      <c r="G7" s="69">
        <f>E7*F7*12</f>
        <v>278200</v>
      </c>
      <c r="H7" s="17">
        <v>47</v>
      </c>
      <c r="I7" s="17">
        <f>G7*H7</f>
        <v>13075400</v>
      </c>
      <c r="J7" s="24">
        <f t="shared" si="0"/>
        <v>10326329.808795534</v>
      </c>
      <c r="K7" s="59">
        <f>References!$C$17*J7</f>
        <v>24731.559892065317</v>
      </c>
      <c r="L7" s="66">
        <f>K7/References!$F$19</f>
        <v>25543.854464021191</v>
      </c>
      <c r="M7" s="66">
        <f>L7/G7*F7</f>
        <v>0.39787935302213695</v>
      </c>
      <c r="N7" s="66">
        <v>21.22</v>
      </c>
      <c r="O7" s="66">
        <f>MROUND(N7+M7,References!$E$29)</f>
        <v>21.62</v>
      </c>
      <c r="P7" s="59">
        <f t="shared" ref="P7:P14" si="1">O7</f>
        <v>21.62</v>
      </c>
      <c r="Q7" s="150">
        <f t="shared" ref="Q7:Q8" si="2">E7*N7*12</f>
        <v>1362324</v>
      </c>
      <c r="R7" s="150">
        <f t="shared" ref="R7:R8" si="3">E7*P7*12</f>
        <v>1388004</v>
      </c>
      <c r="S7" s="150">
        <f>R7-Q7</f>
        <v>25680</v>
      </c>
      <c r="T7" s="100">
        <f t="shared" ref="T7:T8" si="4">E7*O7*12</f>
        <v>1388004</v>
      </c>
      <c r="U7" s="100">
        <f t="shared" ref="U7:U8" si="5">T7-Q7</f>
        <v>25680</v>
      </c>
      <c r="W7" s="129">
        <f t="shared" ref="W7:W8" si="6">+M7/N7</f>
        <v>1.8750205137706737E-2</v>
      </c>
    </row>
    <row r="8" spans="1:24" s="26" customFormat="1">
      <c r="A8" s="162"/>
      <c r="B8" s="113">
        <v>100</v>
      </c>
      <c r="C8" s="113">
        <v>23</v>
      </c>
      <c r="D8" s="21" t="s">
        <v>82</v>
      </c>
      <c r="E8" s="23">
        <v>770</v>
      </c>
      <c r="F8" s="18">
        <f>References!$D$7</f>
        <v>4.333333333333333</v>
      </c>
      <c r="G8" s="69">
        <f t="shared" ref="G8:G14" si="7">E8*F8*12</f>
        <v>40040</v>
      </c>
      <c r="H8" s="17">
        <v>34</v>
      </c>
      <c r="I8" s="17">
        <f>G8*H8</f>
        <v>1361360</v>
      </c>
      <c r="J8" s="24">
        <f t="shared" si="0"/>
        <v>1075137.4603072861</v>
      </c>
      <c r="K8" s="59">
        <f>References!$C$17*J8</f>
        <v>2574.9542174359517</v>
      </c>
      <c r="L8" s="66">
        <f>K8/References!$F$19</f>
        <v>2659.5271818177566</v>
      </c>
      <c r="M8" s="66">
        <f t="shared" ref="M8" si="8">L8/G8*F8</f>
        <v>0.28782761707984378</v>
      </c>
      <c r="N8" s="59">
        <v>17.16</v>
      </c>
      <c r="O8" s="66">
        <f>MROUND(N8+M8,References!$E$29)</f>
        <v>17.45</v>
      </c>
      <c r="P8" s="59">
        <f t="shared" si="1"/>
        <v>17.45</v>
      </c>
      <c r="Q8" s="61">
        <f t="shared" si="2"/>
        <v>158558.40000000002</v>
      </c>
      <c r="R8" s="61">
        <f t="shared" si="3"/>
        <v>161238</v>
      </c>
      <c r="S8" s="61">
        <f t="shared" ref="S8:S35" si="9">R8-Q8</f>
        <v>2679.5999999999767</v>
      </c>
      <c r="T8" s="61">
        <f t="shared" si="4"/>
        <v>161238</v>
      </c>
      <c r="U8" s="100">
        <f t="shared" si="5"/>
        <v>2679.5999999999767</v>
      </c>
      <c r="W8" s="129">
        <f t="shared" si="6"/>
        <v>1.6773171158499054E-2</v>
      </c>
    </row>
    <row r="9" spans="1:24" s="26" customFormat="1" ht="15" customHeight="1">
      <c r="A9" s="162" t="s">
        <v>107</v>
      </c>
      <c r="B9" s="113">
        <v>105</v>
      </c>
      <c r="C9" s="113">
        <v>27</v>
      </c>
      <c r="D9" s="21" t="s">
        <v>80</v>
      </c>
      <c r="E9" s="23">
        <v>64</v>
      </c>
      <c r="F9" s="18">
        <f>References!$D$7</f>
        <v>4.333333333333333</v>
      </c>
      <c r="G9" s="69">
        <f t="shared" si="7"/>
        <v>3328</v>
      </c>
      <c r="H9" s="17">
        <v>68</v>
      </c>
      <c r="I9" s="17">
        <f t="shared" ref="I9:I14" si="10">G9*H9</f>
        <v>226304</v>
      </c>
      <c r="J9" s="24">
        <f t="shared" si="0"/>
        <v>178724.14924588651</v>
      </c>
      <c r="K9" s="59">
        <f>References!$C$17*J9</f>
        <v>428.04433744389843</v>
      </c>
      <c r="L9" s="66">
        <f>K9/References!$F$19</f>
        <v>442.10321983464002</v>
      </c>
      <c r="M9" s="66">
        <f t="shared" ref="M9:M14" si="11">L9/G9*F9</f>
        <v>0.57565523415968756</v>
      </c>
      <c r="N9" s="59">
        <v>26.17</v>
      </c>
      <c r="O9" s="66">
        <f>MROUND(N9+M9,References!$E$29)</f>
        <v>26.75</v>
      </c>
      <c r="P9" s="59">
        <f t="shared" si="1"/>
        <v>26.75</v>
      </c>
      <c r="Q9" s="61">
        <f t="shared" ref="Q9:Q14" si="12">E9*N9*12</f>
        <v>20098.560000000001</v>
      </c>
      <c r="R9" s="61">
        <f t="shared" ref="R9:R14" si="13">E9*P9*12</f>
        <v>20544</v>
      </c>
      <c r="S9" s="61">
        <f t="shared" ref="S9:S14" si="14">R9-Q9</f>
        <v>445.43999999999869</v>
      </c>
      <c r="T9" s="61">
        <f t="shared" ref="T9:T14" si="15">E9*O9*12</f>
        <v>20544</v>
      </c>
      <c r="U9" s="100">
        <f t="shared" ref="U9:U14" si="16">T9-Q9</f>
        <v>445.43999999999869</v>
      </c>
    </row>
    <row r="10" spans="1:24" s="26" customFormat="1">
      <c r="A10" s="162"/>
      <c r="B10" s="113">
        <v>105</v>
      </c>
      <c r="C10" s="113">
        <v>27</v>
      </c>
      <c r="D10" s="21" t="s">
        <v>111</v>
      </c>
      <c r="E10" s="23">
        <v>74</v>
      </c>
      <c r="F10" s="18">
        <f>References!$D$7</f>
        <v>4.333333333333333</v>
      </c>
      <c r="G10" s="69">
        <f t="shared" si="7"/>
        <v>3847.9999999999995</v>
      </c>
      <c r="H10" s="17">
        <v>47</v>
      </c>
      <c r="I10" s="17">
        <f t="shared" si="10"/>
        <v>180855.99999999997</v>
      </c>
      <c r="J10" s="24">
        <f t="shared" si="0"/>
        <v>142831.47772913447</v>
      </c>
      <c r="K10" s="59">
        <f>References!$C$17*J10</f>
        <v>342.08138916127723</v>
      </c>
      <c r="L10" s="66">
        <f>K10/References!$F$19</f>
        <v>353.31686548365758</v>
      </c>
      <c r="M10" s="66">
        <f>L10/G10*F10</f>
        <v>0.39787935302213695</v>
      </c>
      <c r="N10" s="59">
        <v>21.08</v>
      </c>
      <c r="O10" s="66">
        <f>MROUND(N10+M10,References!$E$29)</f>
        <v>21.48</v>
      </c>
      <c r="P10" s="59">
        <f t="shared" si="1"/>
        <v>21.48</v>
      </c>
      <c r="Q10" s="61">
        <f t="shared" si="12"/>
        <v>18719.039999999997</v>
      </c>
      <c r="R10" s="61">
        <f t="shared" si="13"/>
        <v>19074.239999999998</v>
      </c>
      <c r="S10" s="61">
        <f t="shared" si="14"/>
        <v>355.20000000000073</v>
      </c>
      <c r="T10" s="61">
        <f t="shared" si="15"/>
        <v>19074.239999999998</v>
      </c>
      <c r="U10" s="100">
        <f t="shared" si="16"/>
        <v>355.20000000000073</v>
      </c>
    </row>
    <row r="11" spans="1:24" s="26" customFormat="1">
      <c r="A11" s="162"/>
      <c r="B11" s="113">
        <v>105</v>
      </c>
      <c r="C11" s="113">
        <v>27</v>
      </c>
      <c r="D11" s="21" t="s">
        <v>112</v>
      </c>
      <c r="E11" s="23">
        <v>37</v>
      </c>
      <c r="F11" s="18">
        <f>References!$D$7</f>
        <v>4.333333333333333</v>
      </c>
      <c r="G11" s="69">
        <f t="shared" si="7"/>
        <v>1923.9999999999998</v>
      </c>
      <c r="H11" s="17">
        <v>34</v>
      </c>
      <c r="I11" s="17">
        <f t="shared" si="10"/>
        <v>65415.999999999993</v>
      </c>
      <c r="J11" s="24">
        <f t="shared" si="0"/>
        <v>51662.449391389062</v>
      </c>
      <c r="K11" s="59">
        <f>References!$C$17*J11</f>
        <v>123.73156629237687</v>
      </c>
      <c r="L11" s="66">
        <f>K11/References!$F$19</f>
        <v>127.79546198345061</v>
      </c>
      <c r="M11" s="66">
        <f t="shared" si="11"/>
        <v>0.28782761707984372</v>
      </c>
      <c r="N11" s="59">
        <v>16.88</v>
      </c>
      <c r="O11" s="66">
        <f>MROUND(N11+M11,References!$E$29)</f>
        <v>17.170000000000002</v>
      </c>
      <c r="P11" s="59">
        <f t="shared" si="1"/>
        <v>17.170000000000002</v>
      </c>
      <c r="Q11" s="61">
        <f t="shared" si="12"/>
        <v>7494.7199999999993</v>
      </c>
      <c r="R11" s="61">
        <f t="shared" si="13"/>
        <v>7623.4800000000014</v>
      </c>
      <c r="S11" s="61">
        <f t="shared" si="14"/>
        <v>128.76000000000204</v>
      </c>
      <c r="T11" s="61">
        <f t="shared" si="15"/>
        <v>7623.4800000000014</v>
      </c>
      <c r="U11" s="100">
        <f t="shared" si="16"/>
        <v>128.76000000000204</v>
      </c>
    </row>
    <row r="12" spans="1:24" s="26" customFormat="1">
      <c r="A12" s="162" t="s">
        <v>13</v>
      </c>
      <c r="B12" s="113">
        <v>240</v>
      </c>
      <c r="C12" s="113">
        <v>39</v>
      </c>
      <c r="D12" s="21" t="s">
        <v>80</v>
      </c>
      <c r="E12" s="23">
        <v>112</v>
      </c>
      <c r="F12" s="18">
        <f>References!$D$7</f>
        <v>4.333333333333333</v>
      </c>
      <c r="G12" s="69">
        <f t="shared" si="7"/>
        <v>5824</v>
      </c>
      <c r="H12" s="17">
        <v>68</v>
      </c>
      <c r="I12" s="17">
        <f t="shared" si="10"/>
        <v>396032</v>
      </c>
      <c r="J12" s="24">
        <f t="shared" si="0"/>
        <v>312767.26118030143</v>
      </c>
      <c r="K12" s="59">
        <f>References!$C$17*J12</f>
        <v>749.07759052682229</v>
      </c>
      <c r="L12" s="66">
        <f>K12/References!$F$19</f>
        <v>773.6806347106201</v>
      </c>
      <c r="M12" s="66">
        <f t="shared" si="11"/>
        <v>0.57565523415968756</v>
      </c>
      <c r="N12" s="59">
        <v>37.24</v>
      </c>
      <c r="O12" s="66">
        <f>MROUND(N12+M12,References!$E$29)</f>
        <v>37.82</v>
      </c>
      <c r="P12" s="59">
        <f t="shared" si="1"/>
        <v>37.82</v>
      </c>
      <c r="Q12" s="61">
        <f t="shared" si="12"/>
        <v>50050.559999999998</v>
      </c>
      <c r="R12" s="61">
        <f t="shared" si="13"/>
        <v>50830.080000000002</v>
      </c>
      <c r="S12" s="61">
        <f t="shared" si="14"/>
        <v>779.52000000000407</v>
      </c>
      <c r="T12" s="61">
        <f t="shared" si="15"/>
        <v>50830.080000000002</v>
      </c>
      <c r="U12" s="100">
        <f t="shared" si="16"/>
        <v>779.52000000000407</v>
      </c>
      <c r="W12" s="153"/>
      <c r="X12" s="153"/>
    </row>
    <row r="13" spans="1:24" s="26" customFormat="1">
      <c r="A13" s="162"/>
      <c r="B13" s="113">
        <v>240</v>
      </c>
      <c r="C13" s="113">
        <v>39</v>
      </c>
      <c r="D13" s="21" t="s">
        <v>81</v>
      </c>
      <c r="E13" s="23">
        <v>37</v>
      </c>
      <c r="F13" s="18">
        <f>References!$D$7</f>
        <v>4.333333333333333</v>
      </c>
      <c r="G13" s="69">
        <f t="shared" si="7"/>
        <v>1923.9999999999998</v>
      </c>
      <c r="H13" s="17">
        <v>47</v>
      </c>
      <c r="I13" s="17">
        <f t="shared" si="10"/>
        <v>90427.999999999985</v>
      </c>
      <c r="J13" s="24">
        <f t="shared" si="0"/>
        <v>71415.738864567233</v>
      </c>
      <c r="K13" s="59">
        <f>References!$C$17*J13</f>
        <v>171.04069458063861</v>
      </c>
      <c r="L13" s="66">
        <f>K13/References!$F$19</f>
        <v>176.65843274182879</v>
      </c>
      <c r="M13" s="66">
        <f t="shared" si="11"/>
        <v>0.39787935302213695</v>
      </c>
      <c r="N13" s="59">
        <v>28.27</v>
      </c>
      <c r="O13" s="66">
        <f>MROUND(N13+M13,References!$E$29)</f>
        <v>28.67</v>
      </c>
      <c r="P13" s="59">
        <f t="shared" si="1"/>
        <v>28.67</v>
      </c>
      <c r="Q13" s="61">
        <f t="shared" si="12"/>
        <v>12551.880000000001</v>
      </c>
      <c r="R13" s="61">
        <f t="shared" si="13"/>
        <v>12729.48</v>
      </c>
      <c r="S13" s="61">
        <f t="shared" si="14"/>
        <v>177.59999999999854</v>
      </c>
      <c r="T13" s="61">
        <f t="shared" si="15"/>
        <v>12729.48</v>
      </c>
      <c r="U13" s="100">
        <f t="shared" si="16"/>
        <v>177.59999999999854</v>
      </c>
      <c r="W13" s="129">
        <f t="shared" ref="W13:W14" si="17">+M13/N13</f>
        <v>1.4074260807291721E-2</v>
      </c>
    </row>
    <row r="14" spans="1:24" s="26" customFormat="1" ht="15" customHeight="1">
      <c r="A14" s="162"/>
      <c r="B14" s="113">
        <v>240</v>
      </c>
      <c r="C14" s="113">
        <v>39</v>
      </c>
      <c r="D14" s="21" t="s">
        <v>82</v>
      </c>
      <c r="E14" s="23">
        <v>23</v>
      </c>
      <c r="F14" s="18">
        <f>References!$D$7</f>
        <v>4.333333333333333</v>
      </c>
      <c r="G14" s="69">
        <f t="shared" si="7"/>
        <v>1196</v>
      </c>
      <c r="H14" s="17">
        <v>34</v>
      </c>
      <c r="I14" s="17">
        <f t="shared" si="10"/>
        <v>40664</v>
      </c>
      <c r="J14" s="24">
        <f t="shared" si="0"/>
        <v>32114.495567620233</v>
      </c>
      <c r="K14" s="59">
        <f>References!$C$17*J14</f>
        <v>76.914216884450497</v>
      </c>
      <c r="L14" s="66">
        <f>K14/References!$F$19</f>
        <v>79.44042231403688</v>
      </c>
      <c r="M14" s="66">
        <f t="shared" si="11"/>
        <v>0.28782761707984378</v>
      </c>
      <c r="N14" s="59">
        <v>21.873000000000001</v>
      </c>
      <c r="O14" s="66">
        <f>MROUND(N14+M14,References!$E$29)</f>
        <v>22.16</v>
      </c>
      <c r="P14" s="59">
        <f t="shared" si="1"/>
        <v>22.16</v>
      </c>
      <c r="Q14" s="61">
        <f t="shared" si="12"/>
        <v>6036.9480000000003</v>
      </c>
      <c r="R14" s="61">
        <f t="shared" si="13"/>
        <v>6116.16</v>
      </c>
      <c r="S14" s="61">
        <f t="shared" si="14"/>
        <v>79.211999999999534</v>
      </c>
      <c r="T14" s="61">
        <f t="shared" si="15"/>
        <v>6116.16</v>
      </c>
      <c r="U14" s="100">
        <f t="shared" si="16"/>
        <v>79.211999999999534</v>
      </c>
      <c r="W14" s="129">
        <f t="shared" si="17"/>
        <v>1.3159037035607541E-2</v>
      </c>
    </row>
    <row r="15" spans="1:24" s="26" customFormat="1">
      <c r="A15" s="122"/>
      <c r="B15" s="114"/>
      <c r="C15" s="114"/>
      <c r="D15" s="40"/>
      <c r="E15" s="27"/>
      <c r="F15" s="18"/>
      <c r="G15" s="70"/>
      <c r="H15" s="29"/>
      <c r="I15" s="29"/>
      <c r="J15" s="30"/>
      <c r="K15" s="59"/>
      <c r="L15" s="67"/>
      <c r="M15" s="67"/>
      <c r="N15" s="60"/>
      <c r="O15" s="66"/>
      <c r="P15" s="60"/>
      <c r="Q15" s="62"/>
      <c r="R15" s="62"/>
      <c r="S15" s="62"/>
      <c r="T15" s="62"/>
      <c r="U15" s="100"/>
    </row>
    <row r="16" spans="1:24" s="26" customFormat="1">
      <c r="A16" s="122"/>
      <c r="B16" s="115"/>
      <c r="C16" s="118"/>
      <c r="D16" s="78" t="s">
        <v>15</v>
      </c>
      <c r="E16" s="85">
        <f>SUM(E6:E15)</f>
        <v>10809</v>
      </c>
      <c r="F16" s="65"/>
      <c r="G16" s="119">
        <f>SUM(G6:G15)</f>
        <v>562068</v>
      </c>
      <c r="H16" s="120"/>
      <c r="I16" s="85">
        <f>SUM(I6:I15)</f>
        <v>30789772</v>
      </c>
      <c r="J16" s="85">
        <f>SUM(J6:J15)</f>
        <v>24316299.34148233</v>
      </c>
      <c r="K16" s="65"/>
      <c r="L16" s="65"/>
      <c r="M16" s="65"/>
      <c r="N16" s="65"/>
      <c r="O16" s="65"/>
      <c r="P16" s="65"/>
      <c r="Q16" s="106">
        <f>SUM(Q6:Q15)</f>
        <v>2953023.2280000001</v>
      </c>
      <c r="R16" s="106">
        <f>SUM(R6:R15)</f>
        <v>3013568.8800000004</v>
      </c>
      <c r="S16" s="106">
        <f>SUM(S6:S15)</f>
        <v>60545.651999999813</v>
      </c>
      <c r="T16" s="106">
        <f>SUM(T6:T15)</f>
        <v>3013568.8800000004</v>
      </c>
      <c r="U16" s="106">
        <f>SUM(U6:U15)</f>
        <v>60545.651999999813</v>
      </c>
    </row>
    <row r="17" spans="1:23" s="26" customFormat="1">
      <c r="A17" s="116"/>
      <c r="B17" s="116"/>
      <c r="C17" s="32"/>
      <c r="D17" s="56"/>
      <c r="E17" s="57"/>
      <c r="F17" s="154" t="s">
        <v>195</v>
      </c>
      <c r="G17" s="71"/>
      <c r="H17" s="17"/>
      <c r="I17" s="57"/>
      <c r="J17" s="57"/>
      <c r="K17" s="18"/>
      <c r="L17" s="18"/>
      <c r="M17" s="18"/>
      <c r="N17" s="18"/>
      <c r="O17" s="18"/>
      <c r="P17" s="18"/>
      <c r="Q17" s="63"/>
      <c r="R17" s="63"/>
      <c r="S17" s="63"/>
      <c r="T17" s="63"/>
      <c r="U17" s="63"/>
    </row>
    <row r="18" spans="1:23" s="26" customFormat="1" ht="14.45" customHeight="1">
      <c r="A18" s="165" t="s">
        <v>13</v>
      </c>
      <c r="B18" s="113">
        <v>240</v>
      </c>
      <c r="C18" s="113">
        <v>38</v>
      </c>
      <c r="D18" s="21" t="s">
        <v>85</v>
      </c>
      <c r="E18" s="23">
        <v>19</v>
      </c>
      <c r="F18" s="18">
        <f>References!$D$9</f>
        <v>1</v>
      </c>
      <c r="G18" s="69">
        <f>E18*F18*52</f>
        <v>988</v>
      </c>
      <c r="H18" s="17">
        <v>175</v>
      </c>
      <c r="I18" s="17">
        <f t="shared" ref="I18:I35" si="18">G18*H18</f>
        <v>172900</v>
      </c>
      <c r="J18" s="24">
        <f t="shared" ref="J18:J36" si="19">$E$165*I18</f>
        <v>136548.2068572088</v>
      </c>
      <c r="K18" s="59">
        <f>References!$C$17*J18</f>
        <v>327.03295542301527</v>
      </c>
      <c r="L18" s="66">
        <f>K18/References!$F$19</f>
        <v>337.77417416134608</v>
      </c>
      <c r="M18" s="66">
        <f>L18/G18</f>
        <v>0.34187669449528957</v>
      </c>
      <c r="N18" s="59">
        <v>18.420000000000002</v>
      </c>
      <c r="O18" s="66">
        <f>MROUND(N18+M18,References!$E$29)</f>
        <v>18.760000000000002</v>
      </c>
      <c r="P18" s="59">
        <f>O18</f>
        <v>18.760000000000002</v>
      </c>
      <c r="Q18" s="61">
        <f>N18*G18</f>
        <v>18198.960000000003</v>
      </c>
      <c r="R18" s="61">
        <f>P18*G18</f>
        <v>18534.88</v>
      </c>
      <c r="S18" s="61">
        <f t="shared" si="9"/>
        <v>335.91999999999825</v>
      </c>
      <c r="T18" s="61">
        <f>O18*G18</f>
        <v>18534.88</v>
      </c>
      <c r="U18" s="100">
        <f t="shared" ref="U18:U35" si="20">T18-Q18</f>
        <v>335.91999999999825</v>
      </c>
      <c r="W18" s="129">
        <f t="shared" ref="W18:W36" si="21">+M18/N18</f>
        <v>1.8560081134380541E-2</v>
      </c>
    </row>
    <row r="19" spans="1:23" s="26" customFormat="1">
      <c r="A19" s="165"/>
      <c r="B19" s="113">
        <v>240</v>
      </c>
      <c r="C19" s="113">
        <v>38</v>
      </c>
      <c r="D19" s="21" t="s">
        <v>89</v>
      </c>
      <c r="E19" s="23">
        <v>2</v>
      </c>
      <c r="F19" s="18">
        <v>2</v>
      </c>
      <c r="G19" s="69">
        <f>E19*F19*52</f>
        <v>208</v>
      </c>
      <c r="H19" s="17">
        <v>175</v>
      </c>
      <c r="I19" s="17">
        <f t="shared" si="18"/>
        <v>36400</v>
      </c>
      <c r="J19" s="24">
        <f t="shared" si="19"/>
        <v>28746.990917307114</v>
      </c>
      <c r="K19" s="59">
        <f>References!$C$17*J19</f>
        <v>68.849043246950572</v>
      </c>
      <c r="L19" s="66">
        <f>K19/References!$F$19</f>
        <v>71.11035245502022</v>
      </c>
      <c r="M19" s="66">
        <f t="shared" ref="M19:M36" si="22">L19/G19</f>
        <v>0.34187669449528951</v>
      </c>
      <c r="N19" s="59">
        <v>18.420000000000002</v>
      </c>
      <c r="O19" s="66">
        <f>MROUND(N19+M19,References!$E$29)</f>
        <v>18.760000000000002</v>
      </c>
      <c r="P19" s="59">
        <f t="shared" ref="P19:P36" si="23">O19</f>
        <v>18.760000000000002</v>
      </c>
      <c r="Q19" s="61">
        <f t="shared" ref="Q19:Q36" si="24">N19*G19</f>
        <v>3831.3600000000006</v>
      </c>
      <c r="R19" s="61">
        <f t="shared" ref="R19:R36" si="25">P19*G19</f>
        <v>3902.0800000000004</v>
      </c>
      <c r="S19" s="61">
        <f t="shared" ref="S19" si="26">R19-Q19</f>
        <v>70.7199999999998</v>
      </c>
      <c r="T19" s="61">
        <f t="shared" ref="T19:T36" si="27">O19*G19</f>
        <v>3902.0800000000004</v>
      </c>
      <c r="U19" s="100">
        <f t="shared" ref="U19" si="28">T19-Q19</f>
        <v>70.7199999999998</v>
      </c>
      <c r="W19" s="129">
        <f t="shared" si="21"/>
        <v>1.8560081134380537E-2</v>
      </c>
    </row>
    <row r="20" spans="1:23" s="26" customFormat="1">
      <c r="A20" s="165"/>
      <c r="B20" s="113">
        <v>240</v>
      </c>
      <c r="C20" s="113">
        <v>38</v>
      </c>
      <c r="D20" s="21" t="s">
        <v>87</v>
      </c>
      <c r="E20" s="23">
        <v>158</v>
      </c>
      <c r="F20" s="18">
        <f>References!$D$9</f>
        <v>1</v>
      </c>
      <c r="G20" s="69">
        <f>E20*F20*52</f>
        <v>8216</v>
      </c>
      <c r="H20" s="17">
        <v>250</v>
      </c>
      <c r="I20" s="17">
        <f t="shared" si="18"/>
        <v>2054000</v>
      </c>
      <c r="J20" s="24">
        <f t="shared" si="19"/>
        <v>1622151.6303337587</v>
      </c>
      <c r="K20" s="59">
        <f>References!$C$17*J20</f>
        <v>3885.0531546493539</v>
      </c>
      <c r="L20" s="66">
        <f>K20/References!$F$19</f>
        <v>4012.6556028189984</v>
      </c>
      <c r="M20" s="66">
        <f t="shared" si="22"/>
        <v>0.48839527785041364</v>
      </c>
      <c r="N20" s="59">
        <v>23.36</v>
      </c>
      <c r="O20" s="66">
        <f>MROUND(N20+M20,References!$E$29)</f>
        <v>23.85</v>
      </c>
      <c r="P20" s="59">
        <f t="shared" si="23"/>
        <v>23.85</v>
      </c>
      <c r="Q20" s="61">
        <f t="shared" si="24"/>
        <v>191925.76000000001</v>
      </c>
      <c r="R20" s="61">
        <f t="shared" si="25"/>
        <v>195951.6</v>
      </c>
      <c r="S20" s="61">
        <f t="shared" si="9"/>
        <v>4025.8399999999965</v>
      </c>
      <c r="T20" s="61">
        <f t="shared" si="27"/>
        <v>195951.6</v>
      </c>
      <c r="U20" s="100">
        <f t="shared" si="20"/>
        <v>4025.8399999999965</v>
      </c>
      <c r="W20" s="129">
        <f t="shared" si="21"/>
        <v>2.090733209976086E-2</v>
      </c>
    </row>
    <row r="21" spans="1:23" s="26" customFormat="1">
      <c r="A21" s="165"/>
      <c r="B21" s="113">
        <v>240</v>
      </c>
      <c r="C21" s="113">
        <v>38</v>
      </c>
      <c r="D21" s="21" t="s">
        <v>90</v>
      </c>
      <c r="E21" s="23">
        <v>6</v>
      </c>
      <c r="F21" s="18">
        <v>2</v>
      </c>
      <c r="G21" s="69">
        <f>E21*F21*52</f>
        <v>624</v>
      </c>
      <c r="H21" s="17">
        <v>250</v>
      </c>
      <c r="I21" s="17">
        <f t="shared" si="18"/>
        <v>156000</v>
      </c>
      <c r="J21" s="24">
        <f t="shared" si="19"/>
        <v>123201.38964560191</v>
      </c>
      <c r="K21" s="59">
        <f>References!$C$17*J21</f>
        <v>295.06732820121675</v>
      </c>
      <c r="L21" s="66">
        <f>K21/References!$F$19</f>
        <v>304.7586533786581</v>
      </c>
      <c r="M21" s="66">
        <f t="shared" si="22"/>
        <v>0.48839527785041359</v>
      </c>
      <c r="N21" s="59">
        <v>23.36</v>
      </c>
      <c r="O21" s="66">
        <f>MROUND(N21+M21,References!$E$29)</f>
        <v>23.85</v>
      </c>
      <c r="P21" s="59">
        <f t="shared" si="23"/>
        <v>23.85</v>
      </c>
      <c r="Q21" s="61">
        <f t="shared" si="24"/>
        <v>14576.64</v>
      </c>
      <c r="R21" s="61">
        <f t="shared" si="25"/>
        <v>14882.400000000001</v>
      </c>
      <c r="S21" s="61">
        <f t="shared" si="9"/>
        <v>305.76000000000204</v>
      </c>
      <c r="T21" s="61">
        <f t="shared" si="27"/>
        <v>14882.400000000001</v>
      </c>
      <c r="U21" s="100">
        <f t="shared" si="20"/>
        <v>305.76000000000204</v>
      </c>
      <c r="W21" s="129">
        <f t="shared" si="21"/>
        <v>2.0907332099760857E-2</v>
      </c>
    </row>
    <row r="22" spans="1:23" s="26" customFormat="1">
      <c r="A22" s="165"/>
      <c r="B22" s="113">
        <v>240</v>
      </c>
      <c r="C22" s="113">
        <v>38</v>
      </c>
      <c r="D22" s="21" t="s">
        <v>91</v>
      </c>
      <c r="E22" s="23">
        <v>45</v>
      </c>
      <c r="F22" s="18">
        <f>References!$D$9</f>
        <v>1</v>
      </c>
      <c r="G22" s="69">
        <f t="shared" ref="G22:G36" si="29">E22*F22*52</f>
        <v>2340</v>
      </c>
      <c r="H22" s="17">
        <v>324</v>
      </c>
      <c r="I22" s="17">
        <f t="shared" si="18"/>
        <v>758160</v>
      </c>
      <c r="J22" s="24">
        <f t="shared" si="19"/>
        <v>598758.75367762533</v>
      </c>
      <c r="K22" s="59">
        <f>References!$C$17*J22</f>
        <v>1434.0272150579135</v>
      </c>
      <c r="L22" s="66">
        <f>K22/References!$F$19</f>
        <v>1481.1270554202783</v>
      </c>
      <c r="M22" s="66">
        <f t="shared" si="22"/>
        <v>0.63296028009413607</v>
      </c>
      <c r="N22" s="59">
        <v>30.96</v>
      </c>
      <c r="O22" s="66">
        <f>MROUND(N22+M22,References!$E$29)</f>
        <v>31.59</v>
      </c>
      <c r="P22" s="59">
        <f t="shared" si="23"/>
        <v>31.59</v>
      </c>
      <c r="Q22" s="61">
        <f t="shared" si="24"/>
        <v>72446.400000000009</v>
      </c>
      <c r="R22" s="61">
        <f t="shared" si="25"/>
        <v>73920.600000000006</v>
      </c>
      <c r="S22" s="61">
        <f t="shared" ref="S22:S24" si="30">R22-Q22</f>
        <v>1474.1999999999971</v>
      </c>
      <c r="T22" s="61">
        <f t="shared" si="27"/>
        <v>73920.600000000006</v>
      </c>
      <c r="U22" s="100">
        <f t="shared" ref="U22:U24" si="31">T22-Q22</f>
        <v>1474.1999999999971</v>
      </c>
      <c r="W22" s="129">
        <f t="shared" si="21"/>
        <v>2.0444453491412662E-2</v>
      </c>
    </row>
    <row r="23" spans="1:23" s="26" customFormat="1">
      <c r="A23" s="165"/>
      <c r="B23" s="113">
        <v>240</v>
      </c>
      <c r="C23" s="113">
        <v>38</v>
      </c>
      <c r="D23" s="21" t="s">
        <v>92</v>
      </c>
      <c r="E23" s="23">
        <v>6</v>
      </c>
      <c r="F23" s="18">
        <v>2</v>
      </c>
      <c r="G23" s="69">
        <f t="shared" si="29"/>
        <v>624</v>
      </c>
      <c r="H23" s="17">
        <v>324</v>
      </c>
      <c r="I23" s="17">
        <f t="shared" si="18"/>
        <v>202176</v>
      </c>
      <c r="J23" s="24">
        <f t="shared" si="19"/>
        <v>159669.00098070008</v>
      </c>
      <c r="K23" s="59">
        <f>References!$C$17*J23</f>
        <v>382.40725734877691</v>
      </c>
      <c r="L23" s="66">
        <f>K23/References!$F$19</f>
        <v>394.96721477874087</v>
      </c>
      <c r="M23" s="66">
        <f t="shared" si="22"/>
        <v>0.63296028009413596</v>
      </c>
      <c r="N23" s="59">
        <v>30.96</v>
      </c>
      <c r="O23" s="66">
        <f>MROUND(N23+M23,References!$E$29)</f>
        <v>31.59</v>
      </c>
      <c r="P23" s="59">
        <f t="shared" si="23"/>
        <v>31.59</v>
      </c>
      <c r="Q23" s="61">
        <f t="shared" si="24"/>
        <v>19319.04</v>
      </c>
      <c r="R23" s="61">
        <f t="shared" si="25"/>
        <v>19712.16</v>
      </c>
      <c r="S23" s="61">
        <f t="shared" si="30"/>
        <v>393.11999999999898</v>
      </c>
      <c r="T23" s="61">
        <f t="shared" si="27"/>
        <v>19712.16</v>
      </c>
      <c r="U23" s="100">
        <f t="shared" si="31"/>
        <v>393.11999999999898</v>
      </c>
      <c r="W23" s="129">
        <f t="shared" si="21"/>
        <v>2.0444453491412658E-2</v>
      </c>
    </row>
    <row r="24" spans="1:23" s="26" customFormat="1">
      <c r="A24" s="165"/>
      <c r="B24" s="113">
        <v>240</v>
      </c>
      <c r="C24" s="113">
        <v>38</v>
      </c>
      <c r="D24" s="21" t="s">
        <v>101</v>
      </c>
      <c r="E24" s="23">
        <v>1</v>
      </c>
      <c r="F24" s="18">
        <v>3</v>
      </c>
      <c r="G24" s="69">
        <f t="shared" si="29"/>
        <v>156</v>
      </c>
      <c r="H24" s="17">
        <v>324</v>
      </c>
      <c r="I24" s="17">
        <f t="shared" si="18"/>
        <v>50544</v>
      </c>
      <c r="J24" s="24">
        <f t="shared" si="19"/>
        <v>39917.250245175019</v>
      </c>
      <c r="K24" s="59">
        <f>References!$C$17*J24</f>
        <v>95.601814337194227</v>
      </c>
      <c r="L24" s="66">
        <f>K24/References!$F$19</f>
        <v>98.741803694685217</v>
      </c>
      <c r="M24" s="66">
        <f t="shared" si="22"/>
        <v>0.63296028009413596</v>
      </c>
      <c r="N24" s="59">
        <v>30.96</v>
      </c>
      <c r="O24" s="66">
        <f>MROUND(N24+M24,References!$E$29)</f>
        <v>31.59</v>
      </c>
      <c r="P24" s="59">
        <f t="shared" si="23"/>
        <v>31.59</v>
      </c>
      <c r="Q24" s="61">
        <f t="shared" si="24"/>
        <v>4829.76</v>
      </c>
      <c r="R24" s="61">
        <f t="shared" si="25"/>
        <v>4928.04</v>
      </c>
      <c r="S24" s="61">
        <f t="shared" si="30"/>
        <v>98.279999999999745</v>
      </c>
      <c r="T24" s="61">
        <f t="shared" si="27"/>
        <v>4928.04</v>
      </c>
      <c r="U24" s="100">
        <f t="shared" si="31"/>
        <v>98.279999999999745</v>
      </c>
      <c r="W24" s="129">
        <f t="shared" si="21"/>
        <v>2.0444453491412658E-2</v>
      </c>
    </row>
    <row r="25" spans="1:23" s="26" customFormat="1">
      <c r="A25" s="165"/>
      <c r="B25" s="113">
        <v>240</v>
      </c>
      <c r="C25" s="113">
        <v>38</v>
      </c>
      <c r="D25" s="21" t="s">
        <v>93</v>
      </c>
      <c r="E25" s="23">
        <v>32</v>
      </c>
      <c r="F25" s="18">
        <f>References!$D$9</f>
        <v>1</v>
      </c>
      <c r="G25" s="69">
        <f t="shared" si="29"/>
        <v>1664</v>
      </c>
      <c r="H25" s="17">
        <v>473</v>
      </c>
      <c r="I25" s="17">
        <f t="shared" si="18"/>
        <v>787072</v>
      </c>
      <c r="J25" s="24">
        <f t="shared" si="19"/>
        <v>621592.07789194351</v>
      </c>
      <c r="K25" s="59">
        <f>References!$C$17*J25</f>
        <v>1488.7130265512055</v>
      </c>
      <c r="L25" s="66">
        <f>K25/References!$F$19</f>
        <v>1537.608992513123</v>
      </c>
      <c r="M25" s="66">
        <f t="shared" si="22"/>
        <v>0.92404386569298258</v>
      </c>
      <c r="N25" s="59">
        <v>42.99</v>
      </c>
      <c r="O25" s="66">
        <f>MROUND(N25+M25,References!$E$29)</f>
        <v>43.910000000000004</v>
      </c>
      <c r="P25" s="59">
        <f t="shared" si="23"/>
        <v>43.910000000000004</v>
      </c>
      <c r="Q25" s="61">
        <f t="shared" si="24"/>
        <v>71535.360000000001</v>
      </c>
      <c r="R25" s="61">
        <f t="shared" si="25"/>
        <v>73066.240000000005</v>
      </c>
      <c r="S25" s="61">
        <f t="shared" ref="S25:S27" si="32">R25-Q25</f>
        <v>1530.8800000000047</v>
      </c>
      <c r="T25" s="61">
        <f t="shared" si="27"/>
        <v>73066.240000000005</v>
      </c>
      <c r="U25" s="100">
        <f t="shared" ref="U25:U27" si="33">T25-Q25</f>
        <v>1530.8800000000047</v>
      </c>
      <c r="W25" s="129">
        <f t="shared" si="21"/>
        <v>2.1494390920981217E-2</v>
      </c>
    </row>
    <row r="26" spans="1:23" s="26" customFormat="1">
      <c r="A26" s="165"/>
      <c r="B26" s="113">
        <v>240</v>
      </c>
      <c r="C26" s="113">
        <v>38</v>
      </c>
      <c r="D26" s="21" t="s">
        <v>94</v>
      </c>
      <c r="E26" s="23">
        <v>11</v>
      </c>
      <c r="F26" s="18">
        <v>2</v>
      </c>
      <c r="G26" s="69">
        <f t="shared" si="29"/>
        <v>1144</v>
      </c>
      <c r="H26" s="17">
        <v>473</v>
      </c>
      <c r="I26" s="17">
        <f t="shared" si="18"/>
        <v>541112</v>
      </c>
      <c r="J26" s="24">
        <f t="shared" si="19"/>
        <v>427344.55355071119</v>
      </c>
      <c r="K26" s="59">
        <f>References!$C$17*J26</f>
        <v>1023.4902057539539</v>
      </c>
      <c r="L26" s="66">
        <f>K26/References!$F$19</f>
        <v>1057.1061823527721</v>
      </c>
      <c r="M26" s="66">
        <f t="shared" si="22"/>
        <v>0.92404386569298258</v>
      </c>
      <c r="N26" s="59">
        <v>42.99</v>
      </c>
      <c r="O26" s="66">
        <f>MROUND(N26+M26,References!$E$29)</f>
        <v>43.910000000000004</v>
      </c>
      <c r="P26" s="59">
        <f t="shared" si="23"/>
        <v>43.910000000000004</v>
      </c>
      <c r="Q26" s="61">
        <f t="shared" si="24"/>
        <v>49180.560000000005</v>
      </c>
      <c r="R26" s="61">
        <f t="shared" si="25"/>
        <v>50233.04</v>
      </c>
      <c r="S26" s="61">
        <f t="shared" si="32"/>
        <v>1052.4799999999959</v>
      </c>
      <c r="T26" s="61">
        <f t="shared" si="27"/>
        <v>50233.04</v>
      </c>
      <c r="U26" s="100">
        <f t="shared" si="33"/>
        <v>1052.4799999999959</v>
      </c>
      <c r="W26" s="129">
        <f t="shared" si="21"/>
        <v>2.1494390920981217E-2</v>
      </c>
    </row>
    <row r="27" spans="1:23" s="26" customFormat="1">
      <c r="A27" s="165"/>
      <c r="B27" s="113">
        <v>240</v>
      </c>
      <c r="C27" s="113">
        <v>38</v>
      </c>
      <c r="D27" s="21" t="s">
        <v>102</v>
      </c>
      <c r="E27" s="23">
        <v>1</v>
      </c>
      <c r="F27" s="18">
        <v>3</v>
      </c>
      <c r="G27" s="69">
        <f t="shared" si="29"/>
        <v>156</v>
      </c>
      <c r="H27" s="17">
        <v>473</v>
      </c>
      <c r="I27" s="17">
        <f t="shared" si="18"/>
        <v>73788</v>
      </c>
      <c r="J27" s="24">
        <f t="shared" si="19"/>
        <v>58274.257302369704</v>
      </c>
      <c r="K27" s="59">
        <f>References!$C$17*J27</f>
        <v>139.5668462391755</v>
      </c>
      <c r="L27" s="66">
        <f>K27/References!$F$19</f>
        <v>144.15084304810526</v>
      </c>
      <c r="M27" s="66">
        <f t="shared" si="22"/>
        <v>0.92404386569298247</v>
      </c>
      <c r="N27" s="59">
        <v>42.99</v>
      </c>
      <c r="O27" s="66">
        <f>MROUND(N27+M27,References!$E$29)</f>
        <v>43.910000000000004</v>
      </c>
      <c r="P27" s="59">
        <f t="shared" si="23"/>
        <v>43.910000000000004</v>
      </c>
      <c r="Q27" s="61">
        <f t="shared" si="24"/>
        <v>6706.4400000000005</v>
      </c>
      <c r="R27" s="61">
        <f t="shared" si="25"/>
        <v>6849.9600000000009</v>
      </c>
      <c r="S27" s="61">
        <f t="shared" si="32"/>
        <v>143.52000000000044</v>
      </c>
      <c r="T27" s="61">
        <f t="shared" si="27"/>
        <v>6849.9600000000009</v>
      </c>
      <c r="U27" s="100">
        <f t="shared" si="33"/>
        <v>143.52000000000044</v>
      </c>
      <c r="W27" s="129">
        <f t="shared" si="21"/>
        <v>2.1494390920981214E-2</v>
      </c>
    </row>
    <row r="28" spans="1:23" s="26" customFormat="1">
      <c r="A28" s="165"/>
      <c r="B28" s="113">
        <v>240</v>
      </c>
      <c r="C28" s="113">
        <v>38</v>
      </c>
      <c r="D28" s="21" t="s">
        <v>95</v>
      </c>
      <c r="E28" s="23">
        <v>38</v>
      </c>
      <c r="F28" s="18">
        <f>References!$D$9</f>
        <v>1</v>
      </c>
      <c r="G28" s="69">
        <f t="shared" si="29"/>
        <v>1976</v>
      </c>
      <c r="H28" s="17">
        <v>613</v>
      </c>
      <c r="I28" s="17">
        <f t="shared" si="18"/>
        <v>1211288</v>
      </c>
      <c r="J28" s="24">
        <f t="shared" si="19"/>
        <v>956617.72346821707</v>
      </c>
      <c r="K28" s="59">
        <f>References!$C$17*J28</f>
        <v>2291.0994477063809</v>
      </c>
      <c r="L28" s="66">
        <f>K28/References!$F$19</f>
        <v>2366.349357267487</v>
      </c>
      <c r="M28" s="66">
        <f t="shared" si="22"/>
        <v>1.1975452212892141</v>
      </c>
      <c r="N28" s="59">
        <v>53.78</v>
      </c>
      <c r="O28" s="66">
        <f>MROUND(N28+M28,References!$E$29)</f>
        <v>54.980000000000004</v>
      </c>
      <c r="P28" s="59">
        <f t="shared" si="23"/>
        <v>54.980000000000004</v>
      </c>
      <c r="Q28" s="61">
        <f t="shared" si="24"/>
        <v>106269.28</v>
      </c>
      <c r="R28" s="61">
        <f t="shared" si="25"/>
        <v>108640.48000000001</v>
      </c>
      <c r="S28" s="61">
        <f t="shared" ref="S28:S30" si="34">R28-Q28</f>
        <v>2371.2000000000116</v>
      </c>
      <c r="T28" s="61">
        <f t="shared" si="27"/>
        <v>108640.48000000001</v>
      </c>
      <c r="U28" s="100">
        <f t="shared" ref="U28:U30" si="35">T28-Q28</f>
        <v>2371.2000000000116</v>
      </c>
      <c r="W28" s="129">
        <f t="shared" si="21"/>
        <v>2.2267482731298142E-2</v>
      </c>
    </row>
    <row r="29" spans="1:23" s="26" customFormat="1">
      <c r="A29" s="165"/>
      <c r="B29" s="113">
        <v>240</v>
      </c>
      <c r="C29" s="113">
        <v>38</v>
      </c>
      <c r="D29" s="21" t="s">
        <v>96</v>
      </c>
      <c r="E29" s="23">
        <v>18</v>
      </c>
      <c r="F29" s="18">
        <v>2</v>
      </c>
      <c r="G29" s="69">
        <f t="shared" si="29"/>
        <v>1872</v>
      </c>
      <c r="H29" s="17">
        <v>613</v>
      </c>
      <c r="I29" s="17">
        <f t="shared" si="18"/>
        <v>1147536</v>
      </c>
      <c r="J29" s="24">
        <f t="shared" si="19"/>
        <v>906269.42223304766</v>
      </c>
      <c r="K29" s="59">
        <f>References!$C$17*J29</f>
        <v>2170.5152662481505</v>
      </c>
      <c r="L29" s="66">
        <f>K29/References!$F$19</f>
        <v>2241.8046542534089</v>
      </c>
      <c r="M29" s="66">
        <f t="shared" si="22"/>
        <v>1.1975452212892141</v>
      </c>
      <c r="N29" s="59">
        <v>53.78</v>
      </c>
      <c r="O29" s="66">
        <f>MROUND(N29+M29,References!$E$29)</f>
        <v>54.980000000000004</v>
      </c>
      <c r="P29" s="59">
        <f t="shared" si="23"/>
        <v>54.980000000000004</v>
      </c>
      <c r="Q29" s="61">
        <f t="shared" si="24"/>
        <v>100676.16</v>
      </c>
      <c r="R29" s="61">
        <f t="shared" si="25"/>
        <v>102922.56000000001</v>
      </c>
      <c r="S29" s="61">
        <f t="shared" si="34"/>
        <v>2246.4000000000087</v>
      </c>
      <c r="T29" s="61">
        <f t="shared" si="27"/>
        <v>102922.56000000001</v>
      </c>
      <c r="U29" s="100">
        <f t="shared" si="35"/>
        <v>2246.4000000000087</v>
      </c>
      <c r="W29" s="129">
        <f t="shared" si="21"/>
        <v>2.2267482731298142E-2</v>
      </c>
    </row>
    <row r="30" spans="1:23" s="26" customFormat="1">
      <c r="A30" s="165"/>
      <c r="B30" s="113">
        <v>240</v>
      </c>
      <c r="C30" s="113">
        <v>38</v>
      </c>
      <c r="D30" s="21" t="s">
        <v>103</v>
      </c>
      <c r="E30" s="23">
        <v>4</v>
      </c>
      <c r="F30" s="18">
        <v>3</v>
      </c>
      <c r="G30" s="69">
        <f t="shared" si="29"/>
        <v>624</v>
      </c>
      <c r="H30" s="17">
        <v>613</v>
      </c>
      <c r="I30" s="17">
        <f t="shared" si="18"/>
        <v>382512</v>
      </c>
      <c r="J30" s="24">
        <f t="shared" si="19"/>
        <v>302089.80741101591</v>
      </c>
      <c r="K30" s="59">
        <f>References!$C$17*J30</f>
        <v>723.5050887493835</v>
      </c>
      <c r="L30" s="66">
        <f>K30/References!$F$19</f>
        <v>747.26821808446971</v>
      </c>
      <c r="M30" s="66">
        <f t="shared" si="22"/>
        <v>1.1975452212892144</v>
      </c>
      <c r="N30" s="59">
        <v>53.78</v>
      </c>
      <c r="O30" s="66">
        <f>MROUND(N30+M30,References!$E$29)</f>
        <v>54.980000000000004</v>
      </c>
      <c r="P30" s="59">
        <f t="shared" si="23"/>
        <v>54.980000000000004</v>
      </c>
      <c r="Q30" s="61">
        <f t="shared" si="24"/>
        <v>33558.720000000001</v>
      </c>
      <c r="R30" s="61">
        <f t="shared" si="25"/>
        <v>34307.520000000004</v>
      </c>
      <c r="S30" s="61">
        <f t="shared" si="34"/>
        <v>748.80000000000291</v>
      </c>
      <c r="T30" s="61">
        <f t="shared" si="27"/>
        <v>34307.520000000004</v>
      </c>
      <c r="U30" s="100">
        <f t="shared" si="35"/>
        <v>748.80000000000291</v>
      </c>
      <c r="W30" s="129">
        <f t="shared" si="21"/>
        <v>2.2267482731298149E-2</v>
      </c>
    </row>
    <row r="31" spans="1:23" s="26" customFormat="1">
      <c r="A31" s="165"/>
      <c r="B31" s="113">
        <v>240</v>
      </c>
      <c r="C31" s="113">
        <v>38</v>
      </c>
      <c r="D31" s="21" t="s">
        <v>97</v>
      </c>
      <c r="E31" s="23">
        <v>11</v>
      </c>
      <c r="F31" s="18">
        <f>References!$D$9</f>
        <v>1</v>
      </c>
      <c r="G31" s="69">
        <f t="shared" si="29"/>
        <v>572</v>
      </c>
      <c r="H31" s="17">
        <v>766</v>
      </c>
      <c r="I31" s="17">
        <f t="shared" si="18"/>
        <v>438152</v>
      </c>
      <c r="J31" s="24">
        <f t="shared" si="19"/>
        <v>346031.63638461393</v>
      </c>
      <c r="K31" s="59">
        <f>References!$C$17*J31</f>
        <v>828.74576914115084</v>
      </c>
      <c r="L31" s="66">
        <f>K31/References!$F$19</f>
        <v>855.96547112285782</v>
      </c>
      <c r="M31" s="66">
        <f t="shared" si="22"/>
        <v>1.4964431313336675</v>
      </c>
      <c r="N31" s="59">
        <v>63.47</v>
      </c>
      <c r="O31" s="66">
        <f>MROUND(N31+M31,References!$E$29)</f>
        <v>64.97</v>
      </c>
      <c r="P31" s="59">
        <f t="shared" si="23"/>
        <v>64.97</v>
      </c>
      <c r="Q31" s="61">
        <f t="shared" si="24"/>
        <v>36304.839999999997</v>
      </c>
      <c r="R31" s="61">
        <f t="shared" si="25"/>
        <v>37162.839999999997</v>
      </c>
      <c r="S31" s="61">
        <f t="shared" ref="S31:S33" si="36">R31-Q31</f>
        <v>858</v>
      </c>
      <c r="T31" s="61">
        <f t="shared" si="27"/>
        <v>37162.839999999997</v>
      </c>
      <c r="U31" s="100">
        <f t="shared" ref="U31:U33" si="37">T31-Q31</f>
        <v>858</v>
      </c>
      <c r="W31" s="129">
        <f t="shared" si="21"/>
        <v>2.3577172385909367E-2</v>
      </c>
    </row>
    <row r="32" spans="1:23" s="26" customFormat="1">
      <c r="A32" s="165"/>
      <c r="B32" s="113">
        <v>240</v>
      </c>
      <c r="C32" s="113">
        <v>38</v>
      </c>
      <c r="D32" s="21" t="s">
        <v>98</v>
      </c>
      <c r="E32" s="23">
        <v>8</v>
      </c>
      <c r="F32" s="18">
        <v>2</v>
      </c>
      <c r="G32" s="69">
        <f t="shared" si="29"/>
        <v>832</v>
      </c>
      <c r="H32" s="17">
        <v>766</v>
      </c>
      <c r="I32" s="17">
        <f t="shared" si="18"/>
        <v>637312</v>
      </c>
      <c r="J32" s="24">
        <f t="shared" si="19"/>
        <v>503318.74383216572</v>
      </c>
      <c r="K32" s="59">
        <f>References!$C$17*J32</f>
        <v>1205.4483914780376</v>
      </c>
      <c r="L32" s="66">
        <f>K32/References!$F$19</f>
        <v>1245.0406852696112</v>
      </c>
      <c r="M32" s="66">
        <f t="shared" si="22"/>
        <v>1.4964431313336672</v>
      </c>
      <c r="N32" s="59">
        <v>63.47</v>
      </c>
      <c r="O32" s="66">
        <f>MROUND(N32+M32,References!$E$29)</f>
        <v>64.97</v>
      </c>
      <c r="P32" s="59">
        <f t="shared" si="23"/>
        <v>64.97</v>
      </c>
      <c r="Q32" s="61">
        <f t="shared" si="24"/>
        <v>52807.040000000001</v>
      </c>
      <c r="R32" s="61">
        <f t="shared" si="25"/>
        <v>54055.040000000001</v>
      </c>
      <c r="S32" s="61">
        <f t="shared" si="36"/>
        <v>1248</v>
      </c>
      <c r="T32" s="61">
        <f t="shared" si="27"/>
        <v>54055.040000000001</v>
      </c>
      <c r="U32" s="100">
        <f t="shared" si="37"/>
        <v>1248</v>
      </c>
      <c r="W32" s="129">
        <f t="shared" si="21"/>
        <v>2.3577172385909364E-2</v>
      </c>
    </row>
    <row r="33" spans="1:23" s="26" customFormat="1">
      <c r="A33" s="165"/>
      <c r="B33" s="113">
        <v>240</v>
      </c>
      <c r="C33" s="113">
        <v>38</v>
      </c>
      <c r="D33" s="21" t="s">
        <v>104</v>
      </c>
      <c r="E33" s="23">
        <v>1</v>
      </c>
      <c r="F33" s="18">
        <v>3</v>
      </c>
      <c r="G33" s="69">
        <f t="shared" si="29"/>
        <v>156</v>
      </c>
      <c r="H33" s="17">
        <v>766</v>
      </c>
      <c r="I33" s="17">
        <f t="shared" si="18"/>
        <v>119496</v>
      </c>
      <c r="J33" s="24">
        <f t="shared" si="19"/>
        <v>94372.264468531066</v>
      </c>
      <c r="K33" s="59">
        <f>References!$C$17*J33</f>
        <v>226.02157340213202</v>
      </c>
      <c r="L33" s="66">
        <f>K33/References!$F$19</f>
        <v>233.44512848805209</v>
      </c>
      <c r="M33" s="66">
        <f t="shared" si="22"/>
        <v>1.4964431313336672</v>
      </c>
      <c r="N33" s="59">
        <v>63.47</v>
      </c>
      <c r="O33" s="66">
        <f>MROUND(N33+M33,References!$E$29)</f>
        <v>64.97</v>
      </c>
      <c r="P33" s="59">
        <f t="shared" si="23"/>
        <v>64.97</v>
      </c>
      <c r="Q33" s="61">
        <f t="shared" si="24"/>
        <v>9901.32</v>
      </c>
      <c r="R33" s="61">
        <f t="shared" si="25"/>
        <v>10135.32</v>
      </c>
      <c r="S33" s="61">
        <f t="shared" si="36"/>
        <v>234</v>
      </c>
      <c r="T33" s="61">
        <f t="shared" si="27"/>
        <v>10135.32</v>
      </c>
      <c r="U33" s="100">
        <f t="shared" si="37"/>
        <v>234</v>
      </c>
      <c r="W33" s="129">
        <f t="shared" si="21"/>
        <v>2.3577172385909364E-2</v>
      </c>
    </row>
    <row r="34" spans="1:23" s="26" customFormat="1">
      <c r="A34" s="165"/>
      <c r="B34" s="113">
        <v>240</v>
      </c>
      <c r="C34" s="113">
        <v>38</v>
      </c>
      <c r="D34" s="21" t="s">
        <v>99</v>
      </c>
      <c r="E34" s="23">
        <v>18</v>
      </c>
      <c r="F34" s="18">
        <f>References!$D$9</f>
        <v>1</v>
      </c>
      <c r="G34" s="69">
        <f t="shared" si="29"/>
        <v>936</v>
      </c>
      <c r="H34" s="17">
        <v>840</v>
      </c>
      <c r="I34" s="17">
        <f t="shared" si="18"/>
        <v>786240</v>
      </c>
      <c r="J34" s="24">
        <f t="shared" si="19"/>
        <v>620935.0038138337</v>
      </c>
      <c r="K34" s="59">
        <f>References!$C$17*J34</f>
        <v>1487.1393341341325</v>
      </c>
      <c r="L34" s="66">
        <f>K34/References!$F$19</f>
        <v>1535.9836130284368</v>
      </c>
      <c r="M34" s="66">
        <f t="shared" si="22"/>
        <v>1.6410081335773898</v>
      </c>
      <c r="N34" s="59">
        <v>72.91</v>
      </c>
      <c r="O34" s="66">
        <f>MROUND(N34+M34,References!$E$29)</f>
        <v>74.55</v>
      </c>
      <c r="P34" s="59">
        <f t="shared" si="23"/>
        <v>74.55</v>
      </c>
      <c r="Q34" s="61">
        <f t="shared" si="24"/>
        <v>68243.759999999995</v>
      </c>
      <c r="R34" s="61">
        <f t="shared" si="25"/>
        <v>69778.8</v>
      </c>
      <c r="S34" s="61">
        <f t="shared" si="9"/>
        <v>1535.0400000000081</v>
      </c>
      <c r="T34" s="61">
        <f t="shared" si="27"/>
        <v>69778.8</v>
      </c>
      <c r="U34" s="100">
        <f t="shared" si="20"/>
        <v>1535.0400000000081</v>
      </c>
      <c r="W34" s="129">
        <f t="shared" si="21"/>
        <v>2.2507312214749553E-2</v>
      </c>
    </row>
    <row r="35" spans="1:23" s="26" customFormat="1">
      <c r="A35" s="165"/>
      <c r="B35" s="113">
        <v>240</v>
      </c>
      <c r="C35" s="113">
        <v>38</v>
      </c>
      <c r="D35" s="21" t="s">
        <v>100</v>
      </c>
      <c r="E35" s="23">
        <v>1</v>
      </c>
      <c r="F35" s="18">
        <v>2</v>
      </c>
      <c r="G35" s="69">
        <f t="shared" si="29"/>
        <v>104</v>
      </c>
      <c r="H35" s="17">
        <v>840</v>
      </c>
      <c r="I35" s="17">
        <f t="shared" si="18"/>
        <v>87360</v>
      </c>
      <c r="J35" s="24">
        <f t="shared" si="19"/>
        <v>68992.778201537076</v>
      </c>
      <c r="K35" s="59">
        <f>References!$C$17*J35</f>
        <v>165.23770379268137</v>
      </c>
      <c r="L35" s="66">
        <f>K35/References!$F$19</f>
        <v>170.66484589204853</v>
      </c>
      <c r="M35" s="66">
        <f t="shared" si="22"/>
        <v>1.6410081335773898</v>
      </c>
      <c r="N35" s="59">
        <v>72.91</v>
      </c>
      <c r="O35" s="66">
        <f>MROUND(N35+M35,References!$E$29)</f>
        <v>74.55</v>
      </c>
      <c r="P35" s="59">
        <f t="shared" si="23"/>
        <v>74.55</v>
      </c>
      <c r="Q35" s="61">
        <f t="shared" si="24"/>
        <v>7582.6399999999994</v>
      </c>
      <c r="R35" s="61">
        <f t="shared" si="25"/>
        <v>7753.2</v>
      </c>
      <c r="S35" s="61">
        <f t="shared" si="9"/>
        <v>170.5600000000004</v>
      </c>
      <c r="T35" s="61">
        <f t="shared" si="27"/>
        <v>7753.2</v>
      </c>
      <c r="U35" s="100">
        <f t="shared" si="20"/>
        <v>170.5600000000004</v>
      </c>
      <c r="W35" s="129">
        <f t="shared" si="21"/>
        <v>2.2507312214749553E-2</v>
      </c>
    </row>
    <row r="36" spans="1:23" s="26" customFormat="1">
      <c r="A36" s="165"/>
      <c r="B36" s="113">
        <v>240</v>
      </c>
      <c r="C36" s="113">
        <v>38</v>
      </c>
      <c r="D36" s="21" t="s">
        <v>105</v>
      </c>
      <c r="E36" s="23">
        <v>1</v>
      </c>
      <c r="F36" s="18">
        <v>3</v>
      </c>
      <c r="G36" s="69">
        <f t="shared" si="29"/>
        <v>156</v>
      </c>
      <c r="H36" s="17">
        <v>840</v>
      </c>
      <c r="I36" s="17">
        <f t="shared" ref="I36" si="38">G36*H36</f>
        <v>131040</v>
      </c>
      <c r="J36" s="24">
        <f t="shared" si="19"/>
        <v>103489.16730230561</v>
      </c>
      <c r="K36" s="59">
        <f>References!$C$17*J36</f>
        <v>247.85655568902206</v>
      </c>
      <c r="L36" s="66">
        <f>K36/References!$F$19</f>
        <v>255.99726883807278</v>
      </c>
      <c r="M36" s="66">
        <f t="shared" si="22"/>
        <v>1.6410081335773896</v>
      </c>
      <c r="N36" s="59">
        <v>72.91</v>
      </c>
      <c r="O36" s="66">
        <f>MROUND(N36+M36,References!$E$29)</f>
        <v>74.55</v>
      </c>
      <c r="P36" s="59">
        <f t="shared" si="23"/>
        <v>74.55</v>
      </c>
      <c r="Q36" s="61">
        <f t="shared" si="24"/>
        <v>11373.96</v>
      </c>
      <c r="R36" s="61">
        <f t="shared" si="25"/>
        <v>11629.8</v>
      </c>
      <c r="S36" s="61">
        <f t="shared" ref="S36" si="39">R36-Q36</f>
        <v>255.84000000000015</v>
      </c>
      <c r="T36" s="61">
        <f t="shared" si="27"/>
        <v>11629.8</v>
      </c>
      <c r="U36" s="100">
        <f t="shared" ref="U36" si="40">T36-Q36</f>
        <v>255.84000000000015</v>
      </c>
      <c r="W36" s="129">
        <f t="shared" si="21"/>
        <v>2.250731221474955E-2</v>
      </c>
    </row>
    <row r="37" spans="1:23" s="26" customFormat="1">
      <c r="A37" s="165"/>
      <c r="B37" s="113"/>
      <c r="C37" s="113"/>
      <c r="D37" s="21"/>
      <c r="E37" s="23"/>
      <c r="F37" s="18"/>
      <c r="G37" s="69"/>
      <c r="H37" s="17"/>
      <c r="I37" s="17"/>
      <c r="J37" s="24"/>
      <c r="K37" s="59"/>
      <c r="L37" s="66"/>
      <c r="M37" s="66"/>
      <c r="N37" s="59"/>
      <c r="O37" s="66"/>
      <c r="P37" s="59"/>
      <c r="Q37" s="61"/>
      <c r="R37" s="61"/>
      <c r="S37" s="61"/>
      <c r="T37" s="61"/>
      <c r="U37" s="100"/>
      <c r="W37" s="129"/>
    </row>
    <row r="38" spans="1:23" s="26" customFormat="1">
      <c r="A38" s="165"/>
      <c r="B38" s="115"/>
      <c r="C38" s="77"/>
      <c r="D38" s="78" t="s">
        <v>15</v>
      </c>
      <c r="E38" s="85">
        <f>SUM(E18:E37)</f>
        <v>381</v>
      </c>
      <c r="F38" s="65"/>
      <c r="G38" s="119">
        <f>SUM(G18:G37)</f>
        <v>23348</v>
      </c>
      <c r="H38" s="120"/>
      <c r="I38" s="85">
        <f>SUM(I18:I37)</f>
        <v>9773088</v>
      </c>
      <c r="J38" s="85">
        <f>SUM(J18:J37)</f>
        <v>7718320.658517669</v>
      </c>
      <c r="K38" s="65"/>
      <c r="L38" s="65"/>
      <c r="M38" s="65"/>
      <c r="N38" s="65"/>
      <c r="O38" s="65"/>
      <c r="P38" s="65"/>
      <c r="Q38" s="106">
        <f>SUM(Q18:Q37)</f>
        <v>879268</v>
      </c>
      <c r="R38" s="106">
        <f>SUM(R18:R37)</f>
        <v>898366.56</v>
      </c>
      <c r="S38" s="106">
        <f>SUM(S18:S37)</f>
        <v>19098.560000000027</v>
      </c>
      <c r="T38" s="106">
        <f>SUM(T18:T37)</f>
        <v>898366.56</v>
      </c>
      <c r="U38" s="106">
        <f>SUM(U18:U37)</f>
        <v>19098.560000000027</v>
      </c>
      <c r="W38" s="129"/>
    </row>
    <row r="39" spans="1:23" s="26" customFormat="1">
      <c r="A39" s="116"/>
      <c r="B39" s="116"/>
      <c r="C39" s="121"/>
      <c r="D39" s="56"/>
      <c r="E39" s="57"/>
      <c r="F39" s="18"/>
      <c r="G39" s="71"/>
      <c r="H39" s="17"/>
      <c r="I39" s="57"/>
      <c r="J39" s="57"/>
      <c r="K39" s="18"/>
      <c r="L39" s="18"/>
      <c r="M39" s="18"/>
      <c r="N39" s="18"/>
      <c r="O39" s="18"/>
      <c r="P39" s="18"/>
      <c r="Q39" s="63"/>
      <c r="R39" s="63"/>
      <c r="S39" s="63"/>
      <c r="T39" s="63"/>
      <c r="U39" s="63"/>
    </row>
    <row r="40" spans="1:23" ht="24" customHeight="1">
      <c r="A40" s="163" t="s">
        <v>30</v>
      </c>
      <c r="B40" s="163"/>
      <c r="C40" s="163"/>
      <c r="D40" s="163"/>
      <c r="E40" s="1"/>
      <c r="F40" s="1"/>
      <c r="G40" s="1"/>
      <c r="H40" s="123"/>
      <c r="I40" s="124"/>
      <c r="J40" s="125"/>
      <c r="K40" s="1"/>
      <c r="L40" s="1"/>
      <c r="M40" s="1"/>
      <c r="N40" s="1"/>
      <c r="O40" s="127"/>
      <c r="P40" s="127"/>
      <c r="Q40" s="126"/>
      <c r="R40" s="126"/>
      <c r="S40" s="126"/>
      <c r="T40" s="126"/>
      <c r="U40" s="127"/>
    </row>
    <row r="41" spans="1:23" s="26" customFormat="1" ht="14.45" customHeight="1">
      <c r="A41" s="166" t="s">
        <v>12</v>
      </c>
      <c r="B41" s="113"/>
      <c r="C41" s="133"/>
      <c r="D41" s="21"/>
      <c r="E41" s="23"/>
      <c r="F41" s="18"/>
      <c r="G41" s="69"/>
      <c r="H41" s="17"/>
      <c r="I41" s="17"/>
      <c r="J41" s="24"/>
      <c r="K41" s="59"/>
      <c r="L41" s="59"/>
      <c r="M41" s="66"/>
      <c r="N41" s="59"/>
      <c r="O41" s="66"/>
      <c r="P41" s="59"/>
      <c r="Q41" s="61"/>
      <c r="R41" s="61"/>
      <c r="S41" s="61"/>
      <c r="T41" s="86"/>
      <c r="U41" s="100"/>
    </row>
    <row r="42" spans="1:23">
      <c r="A42" s="165"/>
      <c r="B42" s="113"/>
      <c r="C42" s="133"/>
      <c r="D42" s="21" t="s">
        <v>119</v>
      </c>
      <c r="E42" s="22"/>
      <c r="F42" s="31"/>
      <c r="G42" s="69"/>
      <c r="H42" s="17"/>
      <c r="I42" s="17"/>
      <c r="J42" s="24"/>
      <c r="K42" s="59"/>
      <c r="L42" s="59"/>
      <c r="M42" s="66"/>
      <c r="N42" s="59"/>
      <c r="O42" s="66"/>
      <c r="P42" s="59"/>
      <c r="Q42" s="61"/>
      <c r="R42" s="61"/>
      <c r="S42" s="61"/>
      <c r="T42" s="86"/>
      <c r="U42" s="100"/>
      <c r="V42" s="130"/>
    </row>
    <row r="43" spans="1:23">
      <c r="A43" s="165"/>
      <c r="B43" s="113"/>
      <c r="C43" s="133"/>
      <c r="D43" s="21"/>
      <c r="E43" s="22"/>
      <c r="F43" s="31"/>
      <c r="G43" s="69"/>
      <c r="H43" s="17"/>
      <c r="I43" s="17"/>
      <c r="J43" s="24"/>
      <c r="K43" s="59"/>
      <c r="L43" s="59"/>
      <c r="M43" s="66"/>
      <c r="N43" s="59"/>
      <c r="O43" s="66"/>
      <c r="P43" s="59"/>
      <c r="Q43" s="61"/>
      <c r="R43" s="61"/>
      <c r="S43" s="61"/>
      <c r="T43" s="86"/>
      <c r="U43" s="100"/>
      <c r="V43" s="130"/>
    </row>
    <row r="44" spans="1:23">
      <c r="A44" s="165"/>
      <c r="B44" s="114"/>
      <c r="C44" s="134"/>
      <c r="D44" s="40"/>
      <c r="E44" s="2"/>
      <c r="F44" s="72"/>
      <c r="G44" s="70"/>
      <c r="H44" s="73"/>
      <c r="I44" s="29"/>
      <c r="J44" s="30"/>
      <c r="K44" s="59"/>
      <c r="L44" s="60"/>
      <c r="M44" s="67"/>
      <c r="N44" s="60"/>
      <c r="O44" s="66"/>
      <c r="P44" s="60"/>
      <c r="Q44" s="62"/>
      <c r="R44" s="61"/>
      <c r="S44" s="61"/>
      <c r="T44" s="86"/>
      <c r="U44" s="100"/>
    </row>
    <row r="45" spans="1:23">
      <c r="A45" s="167"/>
      <c r="B45" s="115"/>
      <c r="C45" s="32"/>
      <c r="D45" s="56" t="s">
        <v>15</v>
      </c>
      <c r="E45" s="74"/>
      <c r="F45" s="74"/>
      <c r="G45" s="84">
        <f>SUM(G41:G44)</f>
        <v>0</v>
      </c>
      <c r="H45" s="75"/>
      <c r="I45" s="84">
        <f>SUM(I41:I44)</f>
        <v>0</v>
      </c>
      <c r="J45" s="84">
        <f>SUM(J41:J44)</f>
        <v>0</v>
      </c>
      <c r="K45" s="76"/>
      <c r="L45" s="91"/>
      <c r="M45" s="91"/>
      <c r="N45" s="92"/>
      <c r="O45" s="91"/>
      <c r="P45" s="92"/>
      <c r="Q45" s="87">
        <f>SUM(Q41:Q44)</f>
        <v>0</v>
      </c>
      <c r="R45" s="88">
        <f>SUM(R41:R44)</f>
        <v>0</v>
      </c>
      <c r="S45" s="88">
        <f>SUM(S41:S44)</f>
        <v>0</v>
      </c>
      <c r="T45" s="88">
        <f>SUM(T41:T44)</f>
        <v>0</v>
      </c>
      <c r="U45" s="107">
        <f>SUM(U41:U44)</f>
        <v>0</v>
      </c>
    </row>
    <row r="46" spans="1:23" ht="14.45" customHeight="1">
      <c r="A46" s="166" t="s">
        <v>13</v>
      </c>
      <c r="B46" s="113"/>
      <c r="C46" s="33"/>
      <c r="D46" s="34"/>
      <c r="E46" s="35"/>
      <c r="F46" s="38"/>
      <c r="G46" s="68"/>
      <c r="H46" s="36"/>
      <c r="I46" s="17"/>
      <c r="J46" s="37"/>
      <c r="K46" s="59"/>
      <c r="L46" s="58"/>
      <c r="M46" s="66"/>
      <c r="N46" s="58"/>
      <c r="O46" s="66"/>
      <c r="P46" s="58"/>
      <c r="Q46" s="61"/>
      <c r="R46" s="61"/>
      <c r="S46" s="61"/>
      <c r="T46" s="86"/>
      <c r="U46" s="100"/>
    </row>
    <row r="47" spans="1:23">
      <c r="A47" s="165"/>
      <c r="B47" s="113"/>
      <c r="C47" s="32"/>
      <c r="D47" s="21"/>
      <c r="E47" s="23"/>
      <c r="F47" s="18"/>
      <c r="G47" s="69"/>
      <c r="H47" s="17"/>
      <c r="I47" s="17"/>
      <c r="J47" s="24"/>
      <c r="K47" s="59"/>
      <c r="L47" s="59"/>
      <c r="M47" s="66"/>
      <c r="N47" s="59"/>
      <c r="O47" s="66"/>
      <c r="P47" s="59"/>
      <c r="Q47" s="61"/>
      <c r="R47" s="61"/>
      <c r="S47" s="61"/>
      <c r="T47" s="86"/>
      <c r="U47" s="100"/>
    </row>
    <row r="48" spans="1:23">
      <c r="A48" s="165"/>
      <c r="B48" s="113"/>
      <c r="C48" s="32"/>
      <c r="D48" s="21"/>
      <c r="E48" s="23"/>
      <c r="F48" s="18"/>
      <c r="G48" s="69"/>
      <c r="H48" s="17"/>
      <c r="I48" s="17"/>
      <c r="J48" s="24"/>
      <c r="K48" s="59"/>
      <c r="L48" s="59"/>
      <c r="M48" s="66"/>
      <c r="N48" s="59"/>
      <c r="O48" s="66"/>
      <c r="P48" s="59"/>
      <c r="Q48" s="61"/>
      <c r="R48" s="61"/>
      <c r="S48" s="61"/>
      <c r="T48" s="86"/>
      <c r="U48" s="100"/>
    </row>
    <row r="49" spans="1:22">
      <c r="A49" s="165"/>
      <c r="B49" s="114"/>
      <c r="C49" s="39"/>
      <c r="D49" s="40"/>
      <c r="E49" s="27"/>
      <c r="F49" s="28"/>
      <c r="G49" s="70"/>
      <c r="H49" s="29"/>
      <c r="I49" s="17"/>
      <c r="J49" s="30"/>
      <c r="K49" s="59"/>
      <c r="L49" s="60"/>
      <c r="M49" s="66"/>
      <c r="N49" s="60"/>
      <c r="O49" s="66"/>
      <c r="P49" s="60"/>
      <c r="Q49" s="61"/>
      <c r="R49" s="61"/>
      <c r="S49" s="61"/>
      <c r="T49" s="86"/>
      <c r="U49" s="100"/>
    </row>
    <row r="50" spans="1:22">
      <c r="A50" s="167"/>
      <c r="B50" s="112"/>
      <c r="C50" s="79"/>
      <c r="D50" s="78" t="s">
        <v>15</v>
      </c>
      <c r="E50" s="80"/>
      <c r="F50" s="80"/>
      <c r="G50" s="84">
        <f>SUM(G46:G49)</f>
        <v>0</v>
      </c>
      <c r="H50" s="81"/>
      <c r="I50" s="84">
        <f>SUM(I46:I49)</f>
        <v>0</v>
      </c>
      <c r="J50" s="84">
        <f>SUM(J46:J49)</f>
        <v>0</v>
      </c>
      <c r="K50" s="82"/>
      <c r="L50" s="83"/>
      <c r="M50" s="83"/>
      <c r="N50" s="83"/>
      <c r="O50" s="83"/>
      <c r="P50" s="83"/>
      <c r="Q50" s="89">
        <f t="shared" ref="Q50:T50" si="41">SUM(Q46:Q49)</f>
        <v>0</v>
      </c>
      <c r="R50" s="89">
        <f t="shared" si="41"/>
        <v>0</v>
      </c>
      <c r="S50" s="89">
        <f t="shared" si="41"/>
        <v>0</v>
      </c>
      <c r="T50" s="89">
        <f t="shared" si="41"/>
        <v>0</v>
      </c>
      <c r="U50" s="106">
        <f>SUM(U46:U49)</f>
        <v>0</v>
      </c>
    </row>
    <row r="51" spans="1:22" ht="15.75" thickBot="1">
      <c r="A51" s="93"/>
      <c r="B51" s="93"/>
      <c r="C51" s="93"/>
      <c r="D51" s="94" t="s">
        <v>3</v>
      </c>
      <c r="E51" s="95">
        <f>E50+E45+E38+E16</f>
        <v>11190</v>
      </c>
      <c r="F51" s="93"/>
      <c r="G51" s="95">
        <f>G50+G45+G38+G16</f>
        <v>585416</v>
      </c>
      <c r="H51" s="93"/>
      <c r="I51" s="95">
        <f>I50+I45+I38+I16</f>
        <v>40562860</v>
      </c>
      <c r="J51" s="95">
        <f>J50+J45+J38+J16</f>
        <v>32034620</v>
      </c>
      <c r="K51" s="96"/>
      <c r="L51" s="96"/>
      <c r="M51" s="96"/>
      <c r="N51" s="93"/>
      <c r="O51" s="157"/>
      <c r="P51" s="157"/>
      <c r="Q51" s="97">
        <f>Q50+Q45+Q38+Q16</f>
        <v>3832291.2280000001</v>
      </c>
      <c r="R51" s="97">
        <f>R50+R45+R38+R16</f>
        <v>3911935.4400000004</v>
      </c>
      <c r="S51" s="97">
        <f>S50+S45+S38+S16</f>
        <v>79644.211999999839</v>
      </c>
      <c r="T51" s="97">
        <f>T50+T45+T38+T16</f>
        <v>3911935.4400000004</v>
      </c>
      <c r="U51" s="108">
        <f>U50+U45+U38+U16</f>
        <v>79644.211999999839</v>
      </c>
    </row>
    <row r="52" spans="1:22" ht="15.75" thickTop="1">
      <c r="J52" s="5"/>
      <c r="P52" s="26"/>
      <c r="T52" s="64"/>
    </row>
    <row r="53" spans="1:22" ht="26.45" customHeight="1">
      <c r="A53" s="164" t="s">
        <v>35</v>
      </c>
      <c r="B53" s="164"/>
      <c r="C53" s="164"/>
      <c r="D53" s="164"/>
      <c r="H53" s="7"/>
      <c r="I53" s="15"/>
      <c r="J53" s="5"/>
      <c r="P53" s="26"/>
    </row>
    <row r="54" spans="1:22" s="26" customFormat="1" ht="15" customHeight="1">
      <c r="A54" s="122"/>
      <c r="B54" s="113">
        <v>55</v>
      </c>
      <c r="C54" s="113">
        <v>18</v>
      </c>
      <c r="D54" s="21" t="s">
        <v>113</v>
      </c>
      <c r="E54" s="23">
        <v>0</v>
      </c>
      <c r="F54" s="18">
        <v>1</v>
      </c>
      <c r="G54" s="17">
        <f t="shared" ref="G54:G60" si="42">F54*12</f>
        <v>12</v>
      </c>
      <c r="H54" s="17">
        <v>47</v>
      </c>
      <c r="I54" s="17">
        <f>G54*H54</f>
        <v>564</v>
      </c>
      <c r="J54" s="24">
        <f>$E$165*I54</f>
        <v>445.42040871871461</v>
      </c>
      <c r="K54" s="59">
        <f>References!$C$17*J54</f>
        <v>1.0667818788813221</v>
      </c>
      <c r="L54" s="59">
        <f>K54/References!$F$19</f>
        <v>1.1018197468305331</v>
      </c>
      <c r="M54" s="66">
        <f>L54/G54*F54</f>
        <v>9.1818312235877761E-2</v>
      </c>
      <c r="N54" s="59">
        <v>7.28</v>
      </c>
      <c r="O54" s="59">
        <f>ROUND(M54+N54,2)</f>
        <v>7.37</v>
      </c>
      <c r="P54" s="59">
        <f t="shared" ref="P54:P61" si="43">O54</f>
        <v>7.37</v>
      </c>
      <c r="Q54" s="149">
        <f t="shared" ref="Q54:Q62" si="44">E54*N54*12</f>
        <v>0</v>
      </c>
      <c r="R54" s="149">
        <f t="shared" ref="R54:R62" si="45">E54*P54*12</f>
        <v>0</v>
      </c>
      <c r="S54" s="149">
        <f t="shared" ref="S54:S62" si="46">R54-Q54</f>
        <v>0</v>
      </c>
      <c r="T54" s="25">
        <f t="shared" ref="T54:T62" si="47">E54*O54*12</f>
        <v>0</v>
      </c>
    </row>
    <row r="55" spans="1:22" s="26" customFormat="1" ht="14.45" customHeight="1">
      <c r="A55" s="165" t="s">
        <v>12</v>
      </c>
      <c r="B55" s="113">
        <v>100</v>
      </c>
      <c r="C55" s="151">
        <v>24</v>
      </c>
      <c r="D55" s="21" t="s">
        <v>114</v>
      </c>
      <c r="E55" s="23">
        <v>0</v>
      </c>
      <c r="F55" s="18">
        <v>1</v>
      </c>
      <c r="G55" s="17">
        <f t="shared" si="42"/>
        <v>12</v>
      </c>
      <c r="H55" s="17">
        <v>34</v>
      </c>
      <c r="I55" s="17">
        <f t="shared" ref="I55:I127" si="48">G55*H55</f>
        <v>408</v>
      </c>
      <c r="J55" s="24">
        <f t="shared" ref="J55:J62" si="49">$E$165*I55</f>
        <v>322.21901907311269</v>
      </c>
      <c r="K55" s="59">
        <f>References!$C$17*J55</f>
        <v>0.7717145506801053</v>
      </c>
      <c r="L55" s="59">
        <f>K55/References!$F$19</f>
        <v>0.79706109345187492</v>
      </c>
      <c r="M55" s="66">
        <f t="shared" ref="M55:M134" si="50">L55/G55*F55</f>
        <v>6.6421757787656244E-2</v>
      </c>
      <c r="N55" s="59">
        <v>5.79</v>
      </c>
      <c r="O55" s="59">
        <f t="shared" ref="O55:O118" si="51">ROUND(M55+N55,2)</f>
        <v>5.86</v>
      </c>
      <c r="P55" s="59">
        <f>O55</f>
        <v>5.86</v>
      </c>
      <c r="Q55" s="149">
        <f t="shared" si="44"/>
        <v>0</v>
      </c>
      <c r="R55" s="149">
        <f t="shared" si="45"/>
        <v>0</v>
      </c>
      <c r="S55" s="149">
        <f t="shared" si="46"/>
        <v>0</v>
      </c>
      <c r="T55" s="25">
        <f t="shared" si="47"/>
        <v>0</v>
      </c>
      <c r="U55" s="100"/>
    </row>
    <row r="56" spans="1:22" s="26" customFormat="1">
      <c r="A56" s="165"/>
      <c r="B56" s="113">
        <v>100</v>
      </c>
      <c r="C56" s="151">
        <v>24</v>
      </c>
      <c r="D56" s="21" t="s">
        <v>115</v>
      </c>
      <c r="E56" s="152">
        <v>0</v>
      </c>
      <c r="F56" s="18">
        <v>1</v>
      </c>
      <c r="G56" s="17">
        <f t="shared" si="42"/>
        <v>12</v>
      </c>
      <c r="H56" s="17">
        <v>47</v>
      </c>
      <c r="I56" s="17">
        <f t="shared" si="48"/>
        <v>564</v>
      </c>
      <c r="J56" s="24">
        <f t="shared" si="49"/>
        <v>445.42040871871461</v>
      </c>
      <c r="K56" s="59">
        <f>References!$C$17*J56</f>
        <v>1.0667818788813221</v>
      </c>
      <c r="L56" s="59">
        <f>K56/References!$F$19</f>
        <v>1.1018197468305331</v>
      </c>
      <c r="M56" s="66">
        <f t="shared" si="50"/>
        <v>9.1818312235877761E-2</v>
      </c>
      <c r="N56" s="59">
        <v>6.39</v>
      </c>
      <c r="O56" s="59">
        <f t="shared" si="51"/>
        <v>6.48</v>
      </c>
      <c r="P56" s="59">
        <f t="shared" si="43"/>
        <v>6.48</v>
      </c>
      <c r="Q56" s="149">
        <f t="shared" si="44"/>
        <v>0</v>
      </c>
      <c r="R56" s="149">
        <f t="shared" si="45"/>
        <v>0</v>
      </c>
      <c r="S56" s="149">
        <f t="shared" si="46"/>
        <v>0</v>
      </c>
      <c r="T56" s="25">
        <f t="shared" si="47"/>
        <v>0</v>
      </c>
      <c r="U56" s="100"/>
      <c r="V56" s="153"/>
    </row>
    <row r="57" spans="1:22" s="26" customFormat="1">
      <c r="A57" s="165"/>
      <c r="B57" s="113">
        <v>100</v>
      </c>
      <c r="C57" s="151">
        <v>24</v>
      </c>
      <c r="D57" s="21" t="s">
        <v>116</v>
      </c>
      <c r="E57" s="152">
        <v>0</v>
      </c>
      <c r="F57" s="18">
        <v>1</v>
      </c>
      <c r="G57" s="17">
        <f t="shared" si="42"/>
        <v>12</v>
      </c>
      <c r="H57" s="17">
        <v>68</v>
      </c>
      <c r="I57" s="17">
        <f t="shared" si="48"/>
        <v>816</v>
      </c>
      <c r="J57" s="24">
        <f t="shared" si="49"/>
        <v>644.43803814622538</v>
      </c>
      <c r="K57" s="59">
        <f>References!$C$17*J57</f>
        <v>1.5434291013602106</v>
      </c>
      <c r="L57" s="59">
        <f>K57/References!$F$19</f>
        <v>1.5941221869037498</v>
      </c>
      <c r="M57" s="66">
        <f t="shared" si="50"/>
        <v>0.13284351557531249</v>
      </c>
      <c r="N57" s="59">
        <v>7.01</v>
      </c>
      <c r="O57" s="59">
        <f t="shared" si="51"/>
        <v>7.14</v>
      </c>
      <c r="P57" s="59">
        <f t="shared" si="43"/>
        <v>7.14</v>
      </c>
      <c r="Q57" s="149">
        <f t="shared" si="44"/>
        <v>0</v>
      </c>
      <c r="R57" s="149">
        <f t="shared" si="45"/>
        <v>0</v>
      </c>
      <c r="S57" s="149">
        <f t="shared" si="46"/>
        <v>0</v>
      </c>
      <c r="T57" s="25">
        <f t="shared" si="47"/>
        <v>0</v>
      </c>
      <c r="U57" s="100"/>
    </row>
    <row r="58" spans="1:22" s="26" customFormat="1">
      <c r="A58" s="165"/>
      <c r="B58" s="113">
        <v>100</v>
      </c>
      <c r="C58" s="151">
        <v>24</v>
      </c>
      <c r="D58" s="21" t="s">
        <v>117</v>
      </c>
      <c r="E58" s="152">
        <v>0</v>
      </c>
      <c r="F58" s="18">
        <v>1</v>
      </c>
      <c r="G58" s="17">
        <f t="shared" si="42"/>
        <v>12</v>
      </c>
      <c r="H58" s="17">
        <v>34</v>
      </c>
      <c r="I58" s="17">
        <f t="shared" si="48"/>
        <v>408</v>
      </c>
      <c r="J58" s="24">
        <f t="shared" si="49"/>
        <v>322.21901907311269</v>
      </c>
      <c r="K58" s="59">
        <f>References!$C$17*J58</f>
        <v>0.7717145506801053</v>
      </c>
      <c r="L58" s="59">
        <f>K58/References!$F$19</f>
        <v>0.79706109345187492</v>
      </c>
      <c r="M58" s="66">
        <f t="shared" si="50"/>
        <v>6.6421757787656244E-2</v>
      </c>
      <c r="N58" s="59">
        <v>6.38</v>
      </c>
      <c r="O58" s="59">
        <f t="shared" si="51"/>
        <v>6.45</v>
      </c>
      <c r="P58" s="59">
        <f t="shared" si="43"/>
        <v>6.45</v>
      </c>
      <c r="Q58" s="149">
        <f t="shared" si="44"/>
        <v>0</v>
      </c>
      <c r="R58" s="149">
        <f t="shared" si="45"/>
        <v>0</v>
      </c>
      <c r="S58" s="149">
        <f t="shared" si="46"/>
        <v>0</v>
      </c>
      <c r="T58" s="25">
        <f t="shared" si="47"/>
        <v>0</v>
      </c>
      <c r="U58" s="100"/>
    </row>
    <row r="59" spans="1:22" s="121" customFormat="1">
      <c r="A59" s="165"/>
      <c r="B59" s="113">
        <v>100</v>
      </c>
      <c r="C59" s="151">
        <v>24</v>
      </c>
      <c r="D59" s="21" t="s">
        <v>110</v>
      </c>
      <c r="E59" s="152">
        <v>0</v>
      </c>
      <c r="F59" s="18">
        <v>1</v>
      </c>
      <c r="G59" s="17">
        <f t="shared" si="42"/>
        <v>12</v>
      </c>
      <c r="H59" s="17">
        <v>34</v>
      </c>
      <c r="I59" s="17">
        <f t="shared" si="48"/>
        <v>408</v>
      </c>
      <c r="J59" s="24">
        <f t="shared" si="49"/>
        <v>322.21901907311269</v>
      </c>
      <c r="K59" s="59">
        <f>References!$C$17*J59</f>
        <v>0.7717145506801053</v>
      </c>
      <c r="L59" s="59">
        <f>K59/References!$F$19</f>
        <v>0.79706109345187492</v>
      </c>
      <c r="M59" s="66">
        <f t="shared" si="50"/>
        <v>6.6421757787656244E-2</v>
      </c>
      <c r="N59" s="59">
        <v>7.01</v>
      </c>
      <c r="O59" s="59">
        <f t="shared" si="51"/>
        <v>7.08</v>
      </c>
      <c r="P59" s="59">
        <f t="shared" si="43"/>
        <v>7.08</v>
      </c>
      <c r="Q59" s="149">
        <f t="shared" si="44"/>
        <v>0</v>
      </c>
      <c r="R59" s="149">
        <f t="shared" si="45"/>
        <v>0</v>
      </c>
      <c r="S59" s="149">
        <f t="shared" si="46"/>
        <v>0</v>
      </c>
      <c r="T59" s="25">
        <f t="shared" si="47"/>
        <v>0</v>
      </c>
      <c r="U59" s="100"/>
    </row>
    <row r="60" spans="1:22" s="121" customFormat="1">
      <c r="A60" s="165"/>
      <c r="B60" s="113">
        <v>100</v>
      </c>
      <c r="C60" s="151">
        <v>24</v>
      </c>
      <c r="D60" s="21" t="s">
        <v>189</v>
      </c>
      <c r="E60" s="152">
        <v>0</v>
      </c>
      <c r="F60" s="18">
        <v>1</v>
      </c>
      <c r="G60" s="17">
        <f t="shared" si="42"/>
        <v>12</v>
      </c>
      <c r="H60" s="17">
        <v>34</v>
      </c>
      <c r="I60" s="17">
        <f t="shared" si="48"/>
        <v>408</v>
      </c>
      <c r="J60" s="24">
        <f t="shared" si="49"/>
        <v>322.21901907311269</v>
      </c>
      <c r="K60" s="59">
        <f>References!$C$17*J60</f>
        <v>0.7717145506801053</v>
      </c>
      <c r="L60" s="59">
        <f>K60/References!$F$19</f>
        <v>0.79706109345187492</v>
      </c>
      <c r="M60" s="66">
        <f t="shared" si="50"/>
        <v>6.6421757787656244E-2</v>
      </c>
      <c r="N60" s="59">
        <v>15.17</v>
      </c>
      <c r="O60" s="59">
        <f t="shared" si="51"/>
        <v>15.24</v>
      </c>
      <c r="P60" s="59">
        <f t="shared" si="43"/>
        <v>15.24</v>
      </c>
      <c r="Q60" s="149">
        <f t="shared" si="44"/>
        <v>0</v>
      </c>
      <c r="R60" s="149">
        <f t="shared" si="45"/>
        <v>0</v>
      </c>
      <c r="S60" s="149">
        <f t="shared" si="46"/>
        <v>0</v>
      </c>
      <c r="T60" s="25">
        <f t="shared" si="47"/>
        <v>0</v>
      </c>
      <c r="U60" s="100"/>
    </row>
    <row r="61" spans="1:22" s="26" customFormat="1" ht="15" customHeight="1">
      <c r="A61" s="165" t="s">
        <v>107</v>
      </c>
      <c r="B61" s="113">
        <v>105</v>
      </c>
      <c r="C61" s="113">
        <v>27</v>
      </c>
      <c r="D61" s="21" t="s">
        <v>109</v>
      </c>
      <c r="E61" s="23">
        <v>0</v>
      </c>
      <c r="F61" s="18">
        <f>References!$D$7</f>
        <v>4.333333333333333</v>
      </c>
      <c r="G61" s="17">
        <f>F61*12</f>
        <v>52</v>
      </c>
      <c r="H61" s="17">
        <v>34</v>
      </c>
      <c r="I61" s="17">
        <f t="shared" si="48"/>
        <v>1768</v>
      </c>
      <c r="J61" s="24">
        <f t="shared" si="49"/>
        <v>1396.2824159834884</v>
      </c>
      <c r="K61" s="59">
        <f>References!$C$17*J61</f>
        <v>3.3440963862804565</v>
      </c>
      <c r="L61" s="66">
        <f>K61/References!$F$19</f>
        <v>3.4539314049581251</v>
      </c>
      <c r="M61" s="66">
        <f>L61/G61*F61</f>
        <v>0.28782761707984378</v>
      </c>
      <c r="N61" s="59">
        <v>18.100000000000001</v>
      </c>
      <c r="O61" s="59">
        <f>ROUND(M61+N61,2)</f>
        <v>18.39</v>
      </c>
      <c r="P61" s="59">
        <f t="shared" si="43"/>
        <v>18.39</v>
      </c>
      <c r="Q61" s="149">
        <f t="shared" si="44"/>
        <v>0</v>
      </c>
      <c r="R61" s="149">
        <f t="shared" si="45"/>
        <v>0</v>
      </c>
      <c r="S61" s="149">
        <f t="shared" si="46"/>
        <v>0</v>
      </c>
      <c r="T61" s="25">
        <f t="shared" si="47"/>
        <v>0</v>
      </c>
      <c r="U61" s="100"/>
    </row>
    <row r="62" spans="1:22" s="26" customFormat="1" ht="15" customHeight="1">
      <c r="A62" s="165"/>
      <c r="B62" s="113">
        <v>105</v>
      </c>
      <c r="C62" s="113">
        <v>27</v>
      </c>
      <c r="D62" s="21" t="s">
        <v>108</v>
      </c>
      <c r="E62" s="23">
        <v>0</v>
      </c>
      <c r="F62" s="18">
        <v>4.33</v>
      </c>
      <c r="G62" s="17">
        <f>F62*12</f>
        <v>51.96</v>
      </c>
      <c r="H62" s="17">
        <v>47</v>
      </c>
      <c r="I62" s="17">
        <f t="shared" si="48"/>
        <v>2442.12</v>
      </c>
      <c r="J62" s="24">
        <f t="shared" si="49"/>
        <v>1928.6703697520343</v>
      </c>
      <c r="K62" s="59">
        <f>References!$C$17*J62</f>
        <v>4.6191655355561245</v>
      </c>
      <c r="L62" s="59">
        <f>K62/References!$F$19</f>
        <v>4.7708795037762082</v>
      </c>
      <c r="M62" s="66">
        <f t="shared" si="50"/>
        <v>0.39757329198135066</v>
      </c>
      <c r="N62" s="59">
        <v>22.36</v>
      </c>
      <c r="O62" s="59">
        <f t="shared" si="51"/>
        <v>22.76</v>
      </c>
      <c r="P62" s="59">
        <f>O62</f>
        <v>22.76</v>
      </c>
      <c r="Q62" s="149">
        <f t="shared" si="44"/>
        <v>0</v>
      </c>
      <c r="R62" s="149">
        <f t="shared" si="45"/>
        <v>0</v>
      </c>
      <c r="S62" s="149">
        <f t="shared" si="46"/>
        <v>0</v>
      </c>
      <c r="T62" s="25">
        <f t="shared" si="47"/>
        <v>0</v>
      </c>
      <c r="U62" s="100"/>
    </row>
    <row r="63" spans="1:22" s="26" customFormat="1" ht="15" customHeight="1">
      <c r="A63" s="165"/>
      <c r="B63" s="113">
        <v>105</v>
      </c>
      <c r="C63" s="113">
        <v>27</v>
      </c>
      <c r="D63" s="21" t="s">
        <v>180</v>
      </c>
      <c r="E63" s="23">
        <v>0</v>
      </c>
      <c r="F63" s="18">
        <v>1</v>
      </c>
      <c r="G63" s="17">
        <f t="shared" ref="G63:G67" si="52">F63*12</f>
        <v>12</v>
      </c>
      <c r="H63" s="17">
        <v>34</v>
      </c>
      <c r="I63" s="17">
        <f t="shared" ref="I63:I67" si="53">G63*H63</f>
        <v>408</v>
      </c>
      <c r="J63" s="24">
        <f t="shared" ref="J63:J67" si="54">$E$165*I63</f>
        <v>322.21901907311269</v>
      </c>
      <c r="K63" s="59">
        <f>References!$C$17*J63</f>
        <v>0.7717145506801053</v>
      </c>
      <c r="L63" s="59">
        <f>K63/References!$F$19</f>
        <v>0.79706109345187492</v>
      </c>
      <c r="M63" s="66">
        <f t="shared" ref="M63:M67" si="55">L63/G63*F63</f>
        <v>6.6421757787656244E-2</v>
      </c>
      <c r="N63" s="59">
        <v>6.98</v>
      </c>
      <c r="O63" s="59">
        <f t="shared" si="51"/>
        <v>7.05</v>
      </c>
      <c r="P63" s="59">
        <f t="shared" ref="P63:P67" si="56">O63</f>
        <v>7.05</v>
      </c>
      <c r="Q63" s="149">
        <f t="shared" ref="Q63:Q67" si="57">E63*N63*12</f>
        <v>0</v>
      </c>
      <c r="R63" s="149">
        <f t="shared" ref="R63:R67" si="58">E63*P63*12</f>
        <v>0</v>
      </c>
      <c r="S63" s="149">
        <f t="shared" ref="S63:S67" si="59">R63-Q63</f>
        <v>0</v>
      </c>
      <c r="T63" s="25">
        <f t="shared" ref="T63:T67" si="60">E63*O63*12</f>
        <v>0</v>
      </c>
      <c r="U63" s="100"/>
    </row>
    <row r="64" spans="1:22" s="26" customFormat="1" ht="15" customHeight="1">
      <c r="A64" s="165"/>
      <c r="B64" s="113">
        <v>105</v>
      </c>
      <c r="C64" s="113">
        <v>27</v>
      </c>
      <c r="D64" s="21" t="s">
        <v>180</v>
      </c>
      <c r="E64" s="23">
        <v>0</v>
      </c>
      <c r="F64" s="18">
        <v>1</v>
      </c>
      <c r="G64" s="17">
        <f t="shared" si="52"/>
        <v>12</v>
      </c>
      <c r="H64" s="17">
        <v>34</v>
      </c>
      <c r="I64" s="17">
        <f t="shared" si="53"/>
        <v>408</v>
      </c>
      <c r="J64" s="24">
        <f t="shared" si="54"/>
        <v>322.21901907311269</v>
      </c>
      <c r="K64" s="59">
        <f>References!$C$17*J64</f>
        <v>0.7717145506801053</v>
      </c>
      <c r="L64" s="59">
        <f>K64/References!$F$19</f>
        <v>0.79706109345187492</v>
      </c>
      <c r="M64" s="66">
        <f t="shared" si="55"/>
        <v>6.6421757787656244E-2</v>
      </c>
      <c r="N64" s="59">
        <v>7.28</v>
      </c>
      <c r="O64" s="59">
        <f t="shared" si="51"/>
        <v>7.35</v>
      </c>
      <c r="P64" s="59">
        <f t="shared" si="56"/>
        <v>7.35</v>
      </c>
      <c r="Q64" s="149">
        <f t="shared" si="57"/>
        <v>0</v>
      </c>
      <c r="R64" s="149">
        <f t="shared" si="58"/>
        <v>0</v>
      </c>
      <c r="S64" s="149">
        <f t="shared" si="59"/>
        <v>0</v>
      </c>
      <c r="T64" s="25">
        <f t="shared" si="60"/>
        <v>0</v>
      </c>
      <c r="U64" s="100"/>
    </row>
    <row r="65" spans="1:21" s="26" customFormat="1" ht="15" customHeight="1">
      <c r="A65" s="165"/>
      <c r="B65" s="113">
        <v>105</v>
      </c>
      <c r="C65" s="113">
        <v>27</v>
      </c>
      <c r="D65" s="21" t="s">
        <v>182</v>
      </c>
      <c r="E65" s="23">
        <v>0</v>
      </c>
      <c r="F65" s="18">
        <v>1</v>
      </c>
      <c r="G65" s="17">
        <f t="shared" si="52"/>
        <v>12</v>
      </c>
      <c r="H65" s="17">
        <v>47</v>
      </c>
      <c r="I65" s="17">
        <f t="shared" si="53"/>
        <v>564</v>
      </c>
      <c r="J65" s="24">
        <f t="shared" si="54"/>
        <v>445.42040871871461</v>
      </c>
      <c r="K65" s="59">
        <f>References!$C$17*J65</f>
        <v>1.0667818788813221</v>
      </c>
      <c r="L65" s="59">
        <f>K65/References!$F$19</f>
        <v>1.1018197468305331</v>
      </c>
      <c r="M65" s="66">
        <f t="shared" si="55"/>
        <v>9.1818312235877761E-2</v>
      </c>
      <c r="N65" s="59">
        <v>7.58</v>
      </c>
      <c r="O65" s="59">
        <f t="shared" si="51"/>
        <v>7.67</v>
      </c>
      <c r="P65" s="59">
        <f t="shared" si="56"/>
        <v>7.67</v>
      </c>
      <c r="Q65" s="149">
        <f t="shared" si="57"/>
        <v>0</v>
      </c>
      <c r="R65" s="149">
        <f t="shared" si="58"/>
        <v>0</v>
      </c>
      <c r="S65" s="149">
        <f t="shared" si="59"/>
        <v>0</v>
      </c>
      <c r="T65" s="25">
        <f t="shared" si="60"/>
        <v>0</v>
      </c>
      <c r="U65" s="100"/>
    </row>
    <row r="66" spans="1:21" s="26" customFormat="1" ht="15" customHeight="1">
      <c r="A66" s="165"/>
      <c r="B66" s="113">
        <v>105</v>
      </c>
      <c r="C66" s="113">
        <v>27</v>
      </c>
      <c r="D66" s="21" t="s">
        <v>182</v>
      </c>
      <c r="E66" s="23">
        <v>0</v>
      </c>
      <c r="F66" s="18">
        <v>1</v>
      </c>
      <c r="G66" s="17">
        <f t="shared" si="52"/>
        <v>12</v>
      </c>
      <c r="H66" s="17">
        <v>47</v>
      </c>
      <c r="I66" s="17">
        <f t="shared" si="53"/>
        <v>564</v>
      </c>
      <c r="J66" s="24">
        <f t="shared" si="54"/>
        <v>445.42040871871461</v>
      </c>
      <c r="K66" s="59">
        <f>References!$C$17*J66</f>
        <v>1.0667818788813221</v>
      </c>
      <c r="L66" s="59">
        <f>K66/References!$F$19</f>
        <v>1.1018197468305331</v>
      </c>
      <c r="M66" s="66">
        <f t="shared" si="55"/>
        <v>9.1818312235877761E-2</v>
      </c>
      <c r="N66" s="59">
        <v>7.89</v>
      </c>
      <c r="O66" s="59">
        <f t="shared" si="51"/>
        <v>7.98</v>
      </c>
      <c r="P66" s="59">
        <f t="shared" si="56"/>
        <v>7.98</v>
      </c>
      <c r="Q66" s="149">
        <f t="shared" si="57"/>
        <v>0</v>
      </c>
      <c r="R66" s="149">
        <f t="shared" si="58"/>
        <v>0</v>
      </c>
      <c r="S66" s="149">
        <f t="shared" si="59"/>
        <v>0</v>
      </c>
      <c r="T66" s="25">
        <f t="shared" si="60"/>
        <v>0</v>
      </c>
      <c r="U66" s="100"/>
    </row>
    <row r="67" spans="1:21" s="26" customFormat="1" ht="15" customHeight="1">
      <c r="A67" s="165"/>
      <c r="B67" s="113">
        <v>105</v>
      </c>
      <c r="C67" s="113">
        <v>27</v>
      </c>
      <c r="D67" s="21" t="s">
        <v>181</v>
      </c>
      <c r="E67" s="23">
        <v>0</v>
      </c>
      <c r="F67" s="18">
        <v>1</v>
      </c>
      <c r="G67" s="17">
        <f t="shared" si="52"/>
        <v>12</v>
      </c>
      <c r="H67" s="17">
        <v>68</v>
      </c>
      <c r="I67" s="17">
        <f t="shared" si="53"/>
        <v>816</v>
      </c>
      <c r="J67" s="24">
        <f t="shared" si="54"/>
        <v>644.43803814622538</v>
      </c>
      <c r="K67" s="59">
        <f>References!$C$17*J67</f>
        <v>1.5434291013602106</v>
      </c>
      <c r="L67" s="59">
        <f>K67/References!$F$19</f>
        <v>1.5941221869037498</v>
      </c>
      <c r="M67" s="66">
        <f t="shared" si="55"/>
        <v>0.13284351557531249</v>
      </c>
      <c r="N67" s="59">
        <v>8.19</v>
      </c>
      <c r="O67" s="59">
        <f t="shared" si="51"/>
        <v>8.32</v>
      </c>
      <c r="P67" s="59">
        <f t="shared" si="56"/>
        <v>8.32</v>
      </c>
      <c r="Q67" s="149">
        <f t="shared" si="57"/>
        <v>0</v>
      </c>
      <c r="R67" s="149">
        <f t="shared" si="58"/>
        <v>0</v>
      </c>
      <c r="S67" s="149">
        <f t="shared" si="59"/>
        <v>0</v>
      </c>
      <c r="T67" s="25">
        <f t="shared" si="60"/>
        <v>0</v>
      </c>
      <c r="U67" s="100"/>
    </row>
    <row r="68" spans="1:21" s="26" customFormat="1" ht="15" customHeight="1">
      <c r="A68" s="165"/>
      <c r="B68" s="113">
        <v>105</v>
      </c>
      <c r="C68" s="113">
        <v>27</v>
      </c>
      <c r="D68" s="21" t="s">
        <v>114</v>
      </c>
      <c r="E68" s="152">
        <v>0</v>
      </c>
      <c r="F68" s="18">
        <v>1</v>
      </c>
      <c r="G68" s="17">
        <f t="shared" ref="G68:G95" si="61">F68*12</f>
        <v>12</v>
      </c>
      <c r="H68" s="17">
        <v>34</v>
      </c>
      <c r="I68" s="17">
        <f t="shared" si="48"/>
        <v>408</v>
      </c>
      <c r="J68" s="24">
        <f t="shared" ref="J68:J88" si="62">$E$165*I68</f>
        <v>322.21901907311269</v>
      </c>
      <c r="K68" s="59">
        <f>References!$C$17*J68</f>
        <v>0.7717145506801053</v>
      </c>
      <c r="L68" s="59">
        <f>K68/References!$F$19</f>
        <v>0.79706109345187492</v>
      </c>
      <c r="M68" s="66">
        <f t="shared" si="50"/>
        <v>6.6421757787656244E-2</v>
      </c>
      <c r="N68" s="59">
        <v>5.91</v>
      </c>
      <c r="O68" s="59">
        <f t="shared" si="51"/>
        <v>5.98</v>
      </c>
      <c r="P68" s="59">
        <f t="shared" ref="P68:P70" si="63">O68</f>
        <v>5.98</v>
      </c>
      <c r="Q68" s="149">
        <f t="shared" ref="Q68:Q72" si="64">E68*N68*12</f>
        <v>0</v>
      </c>
      <c r="R68" s="149">
        <f t="shared" ref="R68:R72" si="65">E68*P68*12</f>
        <v>0</v>
      </c>
      <c r="S68" s="149">
        <f t="shared" ref="S68:S72" si="66">R68-Q68</f>
        <v>0</v>
      </c>
      <c r="T68" s="25">
        <f t="shared" ref="T68:T72" si="67">E68*O68*12</f>
        <v>0</v>
      </c>
      <c r="U68" s="100"/>
    </row>
    <row r="69" spans="1:21" s="26" customFormat="1">
      <c r="A69" s="165"/>
      <c r="B69" s="113">
        <v>105</v>
      </c>
      <c r="C69" s="113">
        <v>27</v>
      </c>
      <c r="D69" s="21" t="s">
        <v>115</v>
      </c>
      <c r="E69" s="23">
        <v>0</v>
      </c>
      <c r="F69" s="18">
        <v>1</v>
      </c>
      <c r="G69" s="17">
        <f t="shared" si="61"/>
        <v>12</v>
      </c>
      <c r="H69" s="17">
        <v>47</v>
      </c>
      <c r="I69" s="17">
        <f t="shared" si="48"/>
        <v>564</v>
      </c>
      <c r="J69" s="24">
        <f t="shared" si="62"/>
        <v>445.42040871871461</v>
      </c>
      <c r="K69" s="59">
        <f>References!$C$17*J69</f>
        <v>1.0667818788813221</v>
      </c>
      <c r="L69" s="59">
        <f>K69/References!$F$19</f>
        <v>1.1018197468305331</v>
      </c>
      <c r="M69" s="66">
        <f t="shared" si="50"/>
        <v>9.1818312235877761E-2</v>
      </c>
      <c r="N69" s="59">
        <v>6.57</v>
      </c>
      <c r="O69" s="59">
        <f t="shared" si="51"/>
        <v>6.66</v>
      </c>
      <c r="P69" s="59">
        <f t="shared" si="63"/>
        <v>6.66</v>
      </c>
      <c r="Q69" s="149">
        <f t="shared" si="64"/>
        <v>0</v>
      </c>
      <c r="R69" s="149">
        <f t="shared" si="65"/>
        <v>0</v>
      </c>
      <c r="S69" s="149">
        <f t="shared" si="66"/>
        <v>0</v>
      </c>
      <c r="T69" s="25">
        <f t="shared" si="67"/>
        <v>0</v>
      </c>
    </row>
    <row r="70" spans="1:21" s="26" customFormat="1">
      <c r="A70" s="165"/>
      <c r="B70" s="113">
        <v>105</v>
      </c>
      <c r="C70" s="113">
        <v>27</v>
      </c>
      <c r="D70" s="21" t="s">
        <v>116</v>
      </c>
      <c r="E70" s="23">
        <v>0</v>
      </c>
      <c r="F70" s="18">
        <v>1</v>
      </c>
      <c r="G70" s="17">
        <f t="shared" si="61"/>
        <v>12</v>
      </c>
      <c r="H70" s="17">
        <v>68</v>
      </c>
      <c r="I70" s="17">
        <f t="shared" si="48"/>
        <v>816</v>
      </c>
      <c r="J70" s="24">
        <f t="shared" si="62"/>
        <v>644.43803814622538</v>
      </c>
      <c r="K70" s="59">
        <f>References!$C$17*J70</f>
        <v>1.5434291013602106</v>
      </c>
      <c r="L70" s="59">
        <f>K70/References!$F$19</f>
        <v>1.5941221869037498</v>
      </c>
      <c r="M70" s="66">
        <f t="shared" si="50"/>
        <v>0.13284351557531249</v>
      </c>
      <c r="N70" s="59">
        <v>7.25</v>
      </c>
      <c r="O70" s="59">
        <f t="shared" si="51"/>
        <v>7.38</v>
      </c>
      <c r="P70" s="59">
        <f t="shared" si="63"/>
        <v>7.38</v>
      </c>
      <c r="Q70" s="149">
        <f t="shared" si="64"/>
        <v>0</v>
      </c>
      <c r="R70" s="149">
        <f t="shared" si="65"/>
        <v>0</v>
      </c>
      <c r="S70" s="149">
        <f t="shared" si="66"/>
        <v>0</v>
      </c>
      <c r="T70" s="25">
        <f t="shared" si="67"/>
        <v>0</v>
      </c>
    </row>
    <row r="71" spans="1:21" s="26" customFormat="1">
      <c r="A71" s="165"/>
      <c r="B71" s="113">
        <v>105</v>
      </c>
      <c r="C71" s="113">
        <v>27</v>
      </c>
      <c r="D71" s="21" t="s">
        <v>117</v>
      </c>
      <c r="E71" s="152">
        <v>0</v>
      </c>
      <c r="F71" s="18">
        <v>1</v>
      </c>
      <c r="G71" s="17">
        <f t="shared" si="61"/>
        <v>12</v>
      </c>
      <c r="H71" s="17">
        <v>47</v>
      </c>
      <c r="I71" s="17">
        <f t="shared" si="48"/>
        <v>564</v>
      </c>
      <c r="J71" s="24">
        <f t="shared" si="62"/>
        <v>445.42040871871461</v>
      </c>
      <c r="K71" s="59">
        <f>References!$C$17*J71</f>
        <v>1.0667818788813221</v>
      </c>
      <c r="L71" s="59">
        <f>K71/References!$F$19</f>
        <v>1.1018197468305331</v>
      </c>
      <c r="M71" s="66">
        <f t="shared" si="50"/>
        <v>9.1818312235877761E-2</v>
      </c>
      <c r="N71" s="59">
        <v>6.56</v>
      </c>
      <c r="O71" s="59">
        <f t="shared" si="51"/>
        <v>6.65</v>
      </c>
      <c r="P71" s="59">
        <v>6.66</v>
      </c>
      <c r="Q71" s="149">
        <f t="shared" si="64"/>
        <v>0</v>
      </c>
      <c r="R71" s="149">
        <f t="shared" si="65"/>
        <v>0</v>
      </c>
      <c r="S71" s="149">
        <f t="shared" si="66"/>
        <v>0</v>
      </c>
      <c r="T71" s="25">
        <f t="shared" si="67"/>
        <v>0</v>
      </c>
    </row>
    <row r="72" spans="1:21" s="26" customFormat="1">
      <c r="A72" s="165"/>
      <c r="B72" s="113">
        <v>105</v>
      </c>
      <c r="C72" s="113">
        <v>27</v>
      </c>
      <c r="D72" s="21" t="s">
        <v>110</v>
      </c>
      <c r="E72" s="23">
        <v>0</v>
      </c>
      <c r="F72" s="18">
        <v>1</v>
      </c>
      <c r="G72" s="17">
        <f t="shared" si="61"/>
        <v>12</v>
      </c>
      <c r="H72" s="17">
        <v>68</v>
      </c>
      <c r="I72" s="17">
        <f t="shared" si="48"/>
        <v>816</v>
      </c>
      <c r="J72" s="24">
        <f t="shared" si="62"/>
        <v>644.43803814622538</v>
      </c>
      <c r="K72" s="59">
        <f>References!$C$17*J72</f>
        <v>1.5434291013602106</v>
      </c>
      <c r="L72" s="59">
        <f>K72/References!$F$19</f>
        <v>1.5941221869037498</v>
      </c>
      <c r="M72" s="66">
        <f t="shared" si="50"/>
        <v>0.13284351557531249</v>
      </c>
      <c r="N72" s="59">
        <v>7.23</v>
      </c>
      <c r="O72" s="59">
        <f t="shared" si="51"/>
        <v>7.36</v>
      </c>
      <c r="P72" s="59">
        <v>7.38</v>
      </c>
      <c r="Q72" s="149">
        <f t="shared" si="64"/>
        <v>0</v>
      </c>
      <c r="R72" s="149">
        <f t="shared" si="65"/>
        <v>0</v>
      </c>
      <c r="S72" s="149">
        <f t="shared" si="66"/>
        <v>0</v>
      </c>
      <c r="T72" s="25">
        <f t="shared" si="67"/>
        <v>0</v>
      </c>
    </row>
    <row r="73" spans="1:21" s="26" customFormat="1">
      <c r="A73" s="165"/>
      <c r="B73" s="113">
        <v>105</v>
      </c>
      <c r="C73" s="113">
        <v>27</v>
      </c>
      <c r="D73" s="21" t="s">
        <v>189</v>
      </c>
      <c r="E73" s="23">
        <v>0</v>
      </c>
      <c r="F73" s="18">
        <v>1</v>
      </c>
      <c r="G73" s="17">
        <f t="shared" ref="G73" si="68">F73*12</f>
        <v>12</v>
      </c>
      <c r="H73" s="17">
        <v>34</v>
      </c>
      <c r="I73" s="17">
        <f t="shared" ref="I73" si="69">G73*H73</f>
        <v>408</v>
      </c>
      <c r="J73" s="24">
        <f t="shared" ref="J73" si="70">$E$165*I73</f>
        <v>322.21901907311269</v>
      </c>
      <c r="K73" s="59">
        <f>References!$C$17*J73</f>
        <v>0.7717145506801053</v>
      </c>
      <c r="L73" s="59">
        <f>K73/References!$F$19</f>
        <v>0.79706109345187492</v>
      </c>
      <c r="M73" s="66">
        <f t="shared" ref="M73" si="71">L73/G73*F73</f>
        <v>6.6421757787656244E-2</v>
      </c>
      <c r="N73" s="59">
        <v>13.82</v>
      </c>
      <c r="O73" s="59">
        <f t="shared" si="51"/>
        <v>13.89</v>
      </c>
      <c r="P73" s="59">
        <f>O73</f>
        <v>13.89</v>
      </c>
      <c r="Q73" s="149">
        <f t="shared" ref="Q73" si="72">E73*N73*12</f>
        <v>0</v>
      </c>
      <c r="R73" s="149">
        <f t="shared" ref="R73" si="73">E73*P73*12</f>
        <v>0</v>
      </c>
      <c r="S73" s="149">
        <f t="shared" ref="S73" si="74">R73-Q73</f>
        <v>0</v>
      </c>
      <c r="T73" s="25">
        <f t="shared" ref="T73" si="75">E73*O73*12</f>
        <v>0</v>
      </c>
    </row>
    <row r="74" spans="1:21" s="26" customFormat="1">
      <c r="A74" s="138"/>
      <c r="B74" s="113">
        <v>150</v>
      </c>
      <c r="C74" s="113">
        <v>31</v>
      </c>
      <c r="D74" s="21" t="s">
        <v>118</v>
      </c>
      <c r="E74" s="152">
        <v>0</v>
      </c>
      <c r="F74" s="18">
        <v>1</v>
      </c>
      <c r="G74" s="17">
        <f t="shared" si="61"/>
        <v>12</v>
      </c>
      <c r="H74" s="17">
        <v>47</v>
      </c>
      <c r="I74" s="17">
        <f t="shared" si="48"/>
        <v>564</v>
      </c>
      <c r="J74" s="24">
        <f t="shared" si="62"/>
        <v>445.42040871871461</v>
      </c>
      <c r="K74" s="59">
        <f>References!$C$17*J74</f>
        <v>1.0667818788813221</v>
      </c>
      <c r="L74" s="59">
        <f>K74/References!$F$19</f>
        <v>1.1018197468305331</v>
      </c>
      <c r="M74" s="66">
        <f t="shared" si="50"/>
        <v>9.1818312235877761E-2</v>
      </c>
      <c r="N74" s="59">
        <v>15.83</v>
      </c>
      <c r="O74" s="59">
        <f t="shared" si="51"/>
        <v>15.92</v>
      </c>
      <c r="P74" s="59">
        <f t="shared" ref="P74:P78" si="76">O74</f>
        <v>15.92</v>
      </c>
      <c r="Q74" s="149">
        <f t="shared" ref="Q74:Q78" si="77">E74*N74*12</f>
        <v>0</v>
      </c>
      <c r="R74" s="149">
        <f t="shared" ref="R74:R78" si="78">E74*P74*12</f>
        <v>0</v>
      </c>
      <c r="S74" s="149">
        <f t="shared" ref="S74:S78" si="79">R74-Q74</f>
        <v>0</v>
      </c>
      <c r="T74" s="25">
        <f t="shared" ref="T74:T78" si="80">E74*O74*12</f>
        <v>0</v>
      </c>
    </row>
    <row r="75" spans="1:21" s="26" customFormat="1">
      <c r="A75" s="138"/>
      <c r="B75" s="113">
        <v>150</v>
      </c>
      <c r="C75" s="113">
        <v>31</v>
      </c>
      <c r="D75" s="10" t="s">
        <v>138</v>
      </c>
      <c r="E75" s="23">
        <v>0</v>
      </c>
      <c r="F75" s="18">
        <v>1</v>
      </c>
      <c r="G75" s="17">
        <f t="shared" si="61"/>
        <v>12</v>
      </c>
      <c r="H75" s="17">
        <v>47</v>
      </c>
      <c r="I75" s="17">
        <f t="shared" si="48"/>
        <v>564</v>
      </c>
      <c r="J75" s="24">
        <f t="shared" si="62"/>
        <v>445.42040871871461</v>
      </c>
      <c r="K75" s="59">
        <f>References!$C$17*J75</f>
        <v>1.0667818788813221</v>
      </c>
      <c r="L75" s="59">
        <f>K75/References!$F$19</f>
        <v>1.1018197468305331</v>
      </c>
      <c r="M75" s="66">
        <f t="shared" si="50"/>
        <v>9.1818312235877761E-2</v>
      </c>
      <c r="N75" s="59">
        <v>15.83</v>
      </c>
      <c r="O75" s="59">
        <f t="shared" si="51"/>
        <v>15.92</v>
      </c>
      <c r="P75" s="59">
        <f t="shared" si="76"/>
        <v>15.92</v>
      </c>
      <c r="Q75" s="149">
        <f t="shared" si="77"/>
        <v>0</v>
      </c>
      <c r="R75" s="149">
        <f t="shared" si="78"/>
        <v>0</v>
      </c>
      <c r="S75" s="149">
        <f t="shared" si="79"/>
        <v>0</v>
      </c>
      <c r="T75" s="25">
        <f t="shared" si="80"/>
        <v>0</v>
      </c>
    </row>
    <row r="76" spans="1:21" s="26" customFormat="1">
      <c r="A76" s="138"/>
      <c r="B76" s="113">
        <v>150</v>
      </c>
      <c r="C76" s="113">
        <v>31</v>
      </c>
      <c r="D76" s="10" t="s">
        <v>120</v>
      </c>
      <c r="E76" s="152">
        <v>0</v>
      </c>
      <c r="F76" s="18">
        <v>1</v>
      </c>
      <c r="G76" s="17">
        <f t="shared" si="61"/>
        <v>12</v>
      </c>
      <c r="H76" s="17">
        <v>47</v>
      </c>
      <c r="I76" s="17">
        <f t="shared" si="48"/>
        <v>564</v>
      </c>
      <c r="J76" s="24">
        <f t="shared" si="62"/>
        <v>445.42040871871461</v>
      </c>
      <c r="K76" s="59">
        <f>References!$C$17*J76</f>
        <v>1.0667818788813221</v>
      </c>
      <c r="L76" s="59">
        <f>K76/References!$F$19</f>
        <v>1.1018197468305331</v>
      </c>
      <c r="M76" s="66">
        <f t="shared" si="50"/>
        <v>9.1818312235877761E-2</v>
      </c>
      <c r="N76" s="59">
        <v>15.83</v>
      </c>
      <c r="O76" s="59">
        <f t="shared" si="51"/>
        <v>15.92</v>
      </c>
      <c r="P76" s="59">
        <f t="shared" si="76"/>
        <v>15.92</v>
      </c>
      <c r="Q76" s="149">
        <f t="shared" si="77"/>
        <v>0</v>
      </c>
      <c r="R76" s="149">
        <f t="shared" si="78"/>
        <v>0</v>
      </c>
      <c r="S76" s="149">
        <f t="shared" si="79"/>
        <v>0</v>
      </c>
      <c r="T76" s="25">
        <f t="shared" si="80"/>
        <v>0</v>
      </c>
    </row>
    <row r="77" spans="1:21" s="26" customFormat="1">
      <c r="A77" s="138"/>
      <c r="B77" s="113">
        <v>150</v>
      </c>
      <c r="C77" s="113">
        <v>31</v>
      </c>
      <c r="D77" s="10" t="s">
        <v>139</v>
      </c>
      <c r="E77" s="23">
        <v>0</v>
      </c>
      <c r="F77" s="18">
        <v>1</v>
      </c>
      <c r="G77" s="17">
        <f t="shared" si="61"/>
        <v>12</v>
      </c>
      <c r="H77" s="17">
        <v>47</v>
      </c>
      <c r="I77" s="17">
        <f t="shared" si="48"/>
        <v>564</v>
      </c>
      <c r="J77" s="24">
        <f t="shared" si="62"/>
        <v>445.42040871871461</v>
      </c>
      <c r="K77" s="59">
        <f>References!$C$17*J77</f>
        <v>1.0667818788813221</v>
      </c>
      <c r="L77" s="59">
        <f>K77/References!$F$19</f>
        <v>1.1018197468305331</v>
      </c>
      <c r="M77" s="66">
        <f t="shared" si="50"/>
        <v>9.1818312235877761E-2</v>
      </c>
      <c r="N77" s="59">
        <v>33.369999999999997</v>
      </c>
      <c r="O77" s="59">
        <f t="shared" si="51"/>
        <v>33.46</v>
      </c>
      <c r="P77" s="59">
        <f t="shared" si="76"/>
        <v>33.46</v>
      </c>
      <c r="Q77" s="149">
        <f t="shared" si="77"/>
        <v>0</v>
      </c>
      <c r="R77" s="149">
        <f t="shared" si="78"/>
        <v>0</v>
      </c>
      <c r="S77" s="149">
        <f t="shared" si="79"/>
        <v>0</v>
      </c>
      <c r="T77" s="25">
        <f t="shared" si="80"/>
        <v>0</v>
      </c>
    </row>
    <row r="78" spans="1:21" s="26" customFormat="1">
      <c r="A78" s="138"/>
      <c r="B78" s="113">
        <v>150</v>
      </c>
      <c r="C78" s="113">
        <v>31</v>
      </c>
      <c r="D78" s="10" t="s">
        <v>120</v>
      </c>
      <c r="E78" s="152">
        <v>0</v>
      </c>
      <c r="F78" s="18">
        <v>1</v>
      </c>
      <c r="G78" s="17">
        <f t="shared" si="61"/>
        <v>12</v>
      </c>
      <c r="H78" s="17">
        <v>47</v>
      </c>
      <c r="I78" s="17">
        <f t="shared" si="48"/>
        <v>564</v>
      </c>
      <c r="J78" s="24">
        <f t="shared" si="62"/>
        <v>445.42040871871461</v>
      </c>
      <c r="K78" s="59">
        <f>References!$C$17*J78</f>
        <v>1.0667818788813221</v>
      </c>
      <c r="L78" s="59">
        <f>K78/References!$F$19</f>
        <v>1.1018197468305331</v>
      </c>
      <c r="M78" s="66">
        <f t="shared" si="50"/>
        <v>9.1818312235877761E-2</v>
      </c>
      <c r="N78" s="59">
        <v>33.369999999999997</v>
      </c>
      <c r="O78" s="59">
        <f t="shared" si="51"/>
        <v>33.46</v>
      </c>
      <c r="P78" s="59">
        <f t="shared" si="76"/>
        <v>33.46</v>
      </c>
      <c r="Q78" s="149">
        <f t="shared" si="77"/>
        <v>0</v>
      </c>
      <c r="R78" s="149">
        <f t="shared" si="78"/>
        <v>0</v>
      </c>
      <c r="S78" s="149">
        <f t="shared" si="79"/>
        <v>0</v>
      </c>
      <c r="T78" s="25">
        <f t="shared" si="80"/>
        <v>0</v>
      </c>
    </row>
    <row r="79" spans="1:21" s="26" customFormat="1">
      <c r="A79" s="138"/>
      <c r="B79" s="113">
        <v>207</v>
      </c>
      <c r="C79" s="113">
        <v>35</v>
      </c>
      <c r="D79" s="21" t="s">
        <v>121</v>
      </c>
      <c r="E79" s="23">
        <v>0</v>
      </c>
      <c r="F79" s="18">
        <v>1</v>
      </c>
      <c r="G79" s="17">
        <f t="shared" si="61"/>
        <v>12</v>
      </c>
      <c r="H79" s="17">
        <v>175</v>
      </c>
      <c r="I79" s="17">
        <f t="shared" si="48"/>
        <v>2100</v>
      </c>
      <c r="J79" s="24">
        <f t="shared" si="62"/>
        <v>1658.4802452292565</v>
      </c>
      <c r="K79" s="59">
        <f>References!$C$17*J79</f>
        <v>3.9720601873240717</v>
      </c>
      <c r="L79" s="59">
        <f>K79/References!$F$19</f>
        <v>4.1025203339434748</v>
      </c>
      <c r="M79" s="66">
        <f t="shared" si="50"/>
        <v>0.34187669449528957</v>
      </c>
      <c r="N79" s="59">
        <v>18.190000000000001</v>
      </c>
      <c r="O79" s="59">
        <f>ROUND(M79+N79,2)</f>
        <v>18.53</v>
      </c>
      <c r="P79" s="59">
        <f t="shared" ref="P79:P88" si="81">O79</f>
        <v>18.53</v>
      </c>
      <c r="Q79" s="149">
        <f t="shared" ref="Q79:Q88" si="82">E79*N79*12</f>
        <v>0</v>
      </c>
      <c r="R79" s="149">
        <f t="shared" ref="R79:R88" si="83">E79*P79*12</f>
        <v>0</v>
      </c>
      <c r="S79" s="149">
        <f t="shared" ref="S79:S88" si="84">R79-Q79</f>
        <v>0</v>
      </c>
      <c r="T79" s="25">
        <f t="shared" ref="T79:T88" si="85">E79*O79*12</f>
        <v>0</v>
      </c>
    </row>
    <row r="80" spans="1:21" s="26" customFormat="1">
      <c r="A80" s="138"/>
      <c r="B80" s="113">
        <v>207</v>
      </c>
      <c r="C80" s="113">
        <v>35</v>
      </c>
      <c r="D80" s="21" t="s">
        <v>122</v>
      </c>
      <c r="E80" s="152">
        <v>0</v>
      </c>
      <c r="F80" s="18">
        <v>1</v>
      </c>
      <c r="G80" s="17">
        <f t="shared" si="61"/>
        <v>12</v>
      </c>
      <c r="H80" s="17">
        <v>250</v>
      </c>
      <c r="I80" s="17">
        <f t="shared" si="48"/>
        <v>3000</v>
      </c>
      <c r="J80" s="24">
        <f t="shared" si="62"/>
        <v>2369.2574931846525</v>
      </c>
      <c r="K80" s="59">
        <f>References!$C$17*J80</f>
        <v>5.6743716961772455</v>
      </c>
      <c r="L80" s="59">
        <f>K80/References!$F$19</f>
        <v>5.8607433342049635</v>
      </c>
      <c r="M80" s="66">
        <f t="shared" si="50"/>
        <v>0.48839527785041364</v>
      </c>
      <c r="N80" s="59">
        <v>17.59</v>
      </c>
      <c r="O80" s="59">
        <f t="shared" si="51"/>
        <v>18.079999999999998</v>
      </c>
      <c r="P80" s="59">
        <f t="shared" si="81"/>
        <v>18.079999999999998</v>
      </c>
      <c r="Q80" s="149">
        <f t="shared" si="82"/>
        <v>0</v>
      </c>
      <c r="R80" s="149">
        <f t="shared" si="83"/>
        <v>0</v>
      </c>
      <c r="S80" s="149">
        <f t="shared" si="84"/>
        <v>0</v>
      </c>
      <c r="T80" s="25">
        <f t="shared" si="85"/>
        <v>0</v>
      </c>
    </row>
    <row r="81" spans="1:20" s="26" customFormat="1">
      <c r="A81" s="138"/>
      <c r="B81" s="113">
        <v>207</v>
      </c>
      <c r="C81" s="113">
        <v>35</v>
      </c>
      <c r="D81" s="21" t="s">
        <v>123</v>
      </c>
      <c r="E81" s="23">
        <v>0</v>
      </c>
      <c r="F81" s="18">
        <v>1</v>
      </c>
      <c r="G81" s="17">
        <f t="shared" si="61"/>
        <v>12</v>
      </c>
      <c r="H81" s="17">
        <v>324</v>
      </c>
      <c r="I81" s="17">
        <f t="shared" si="48"/>
        <v>3888</v>
      </c>
      <c r="J81" s="24">
        <f t="shared" si="62"/>
        <v>3070.5577111673092</v>
      </c>
      <c r="K81" s="59">
        <f>References!$C$17*J81</f>
        <v>7.3539857182457098</v>
      </c>
      <c r="L81" s="59">
        <f>K81/References!$F$19</f>
        <v>7.5955233611296329</v>
      </c>
      <c r="M81" s="66">
        <f t="shared" si="50"/>
        <v>0.63296028009413607</v>
      </c>
      <c r="N81" s="59">
        <v>16.989999999999998</v>
      </c>
      <c r="O81" s="59">
        <f t="shared" si="51"/>
        <v>17.62</v>
      </c>
      <c r="P81" s="59">
        <f t="shared" si="81"/>
        <v>17.62</v>
      </c>
      <c r="Q81" s="149">
        <f t="shared" si="82"/>
        <v>0</v>
      </c>
      <c r="R81" s="149">
        <f t="shared" si="83"/>
        <v>0</v>
      </c>
      <c r="S81" s="149">
        <f t="shared" si="84"/>
        <v>0</v>
      </c>
      <c r="T81" s="25">
        <f t="shared" si="85"/>
        <v>0</v>
      </c>
    </row>
    <row r="82" spans="1:20" s="26" customFormat="1">
      <c r="A82" s="138"/>
      <c r="B82" s="113">
        <v>207</v>
      </c>
      <c r="C82" s="113">
        <v>35</v>
      </c>
      <c r="D82" s="21" t="s">
        <v>124</v>
      </c>
      <c r="E82" s="152">
        <v>0</v>
      </c>
      <c r="F82" s="18">
        <v>1</v>
      </c>
      <c r="G82" s="17">
        <f t="shared" si="61"/>
        <v>12</v>
      </c>
      <c r="H82" s="17">
        <v>473</v>
      </c>
      <c r="I82" s="17">
        <f t="shared" si="48"/>
        <v>5676</v>
      </c>
      <c r="J82" s="24">
        <f t="shared" si="62"/>
        <v>4482.6351771053623</v>
      </c>
      <c r="K82" s="59">
        <f>References!$C$17*J82</f>
        <v>10.735911249167348</v>
      </c>
      <c r="L82" s="59">
        <f>K82/References!$F$19</f>
        <v>11.08852638831579</v>
      </c>
      <c r="M82" s="66">
        <f t="shared" si="50"/>
        <v>0.92404386569298247</v>
      </c>
      <c r="N82" s="59">
        <v>16.399999999999999</v>
      </c>
      <c r="O82" s="59">
        <f t="shared" si="51"/>
        <v>17.32</v>
      </c>
      <c r="P82" s="59">
        <f t="shared" si="81"/>
        <v>17.32</v>
      </c>
      <c r="Q82" s="149">
        <f t="shared" si="82"/>
        <v>0</v>
      </c>
      <c r="R82" s="149">
        <f t="shared" si="83"/>
        <v>0</v>
      </c>
      <c r="S82" s="149">
        <f t="shared" si="84"/>
        <v>0</v>
      </c>
      <c r="T82" s="25">
        <f t="shared" si="85"/>
        <v>0</v>
      </c>
    </row>
    <row r="83" spans="1:20" s="26" customFormat="1">
      <c r="A83" s="138"/>
      <c r="B83" s="113">
        <v>207</v>
      </c>
      <c r="C83" s="113">
        <v>35</v>
      </c>
      <c r="D83" s="21" t="s">
        <v>125</v>
      </c>
      <c r="E83" s="23">
        <v>0</v>
      </c>
      <c r="F83" s="18">
        <v>1</v>
      </c>
      <c r="G83" s="17">
        <f t="shared" si="61"/>
        <v>12</v>
      </c>
      <c r="H83" s="17">
        <v>613</v>
      </c>
      <c r="I83" s="17">
        <f t="shared" si="48"/>
        <v>7356</v>
      </c>
      <c r="J83" s="24">
        <f t="shared" si="62"/>
        <v>5809.419373288767</v>
      </c>
      <c r="K83" s="59">
        <f>References!$C$17*J83</f>
        <v>13.913559399026605</v>
      </c>
      <c r="L83" s="59">
        <f>K83/References!$F$19</f>
        <v>14.370542655470569</v>
      </c>
      <c r="M83" s="66">
        <f t="shared" si="50"/>
        <v>1.1975452212892141</v>
      </c>
      <c r="N83" s="59">
        <v>15.78</v>
      </c>
      <c r="O83" s="59">
        <f t="shared" si="51"/>
        <v>16.98</v>
      </c>
      <c r="P83" s="59">
        <f t="shared" si="81"/>
        <v>16.98</v>
      </c>
      <c r="Q83" s="149">
        <f t="shared" si="82"/>
        <v>0</v>
      </c>
      <c r="R83" s="149">
        <f t="shared" si="83"/>
        <v>0</v>
      </c>
      <c r="S83" s="149">
        <f t="shared" si="84"/>
        <v>0</v>
      </c>
      <c r="T83" s="25">
        <f t="shared" si="85"/>
        <v>0</v>
      </c>
    </row>
    <row r="84" spans="1:20" s="26" customFormat="1">
      <c r="A84" s="138"/>
      <c r="B84" s="113">
        <v>207</v>
      </c>
      <c r="C84" s="113">
        <v>35</v>
      </c>
      <c r="D84" s="21" t="s">
        <v>126</v>
      </c>
      <c r="E84" s="152">
        <v>0</v>
      </c>
      <c r="F84" s="18">
        <v>1</v>
      </c>
      <c r="G84" s="17">
        <f t="shared" si="61"/>
        <v>12</v>
      </c>
      <c r="H84" s="17">
        <v>766</v>
      </c>
      <c r="I84" s="17">
        <f t="shared" si="48"/>
        <v>9192</v>
      </c>
      <c r="J84" s="24">
        <f t="shared" si="62"/>
        <v>7259.4049591177745</v>
      </c>
      <c r="K84" s="59">
        <f>References!$C$17*J84</f>
        <v>17.386274877087079</v>
      </c>
      <c r="L84" s="59">
        <f>K84/References!$F$19</f>
        <v>17.957317576004009</v>
      </c>
      <c r="M84" s="66">
        <f t="shared" si="50"/>
        <v>1.4964431313336675</v>
      </c>
      <c r="N84" s="59">
        <v>14.56</v>
      </c>
      <c r="O84" s="59">
        <f t="shared" si="51"/>
        <v>16.059999999999999</v>
      </c>
      <c r="P84" s="59">
        <f t="shared" si="81"/>
        <v>16.059999999999999</v>
      </c>
      <c r="Q84" s="149">
        <f t="shared" si="82"/>
        <v>0</v>
      </c>
      <c r="R84" s="149">
        <f t="shared" si="83"/>
        <v>0</v>
      </c>
      <c r="S84" s="149">
        <f t="shared" si="84"/>
        <v>0</v>
      </c>
      <c r="T84" s="25">
        <f t="shared" si="85"/>
        <v>0</v>
      </c>
    </row>
    <row r="85" spans="1:20" s="26" customFormat="1">
      <c r="A85" s="138"/>
      <c r="B85" s="113">
        <v>207</v>
      </c>
      <c r="C85" s="113">
        <v>35</v>
      </c>
      <c r="D85" s="21" t="s">
        <v>127</v>
      </c>
      <c r="E85" s="23">
        <v>0</v>
      </c>
      <c r="F85" s="18">
        <v>1</v>
      </c>
      <c r="G85" s="17">
        <f t="shared" si="61"/>
        <v>12</v>
      </c>
      <c r="H85" s="17">
        <v>840</v>
      </c>
      <c r="I85" s="17">
        <f t="shared" si="48"/>
        <v>10080</v>
      </c>
      <c r="J85" s="24">
        <f t="shared" si="62"/>
        <v>7960.7051771004317</v>
      </c>
      <c r="K85" s="59">
        <f>References!$C$17*J85</f>
        <v>19.065888899155546</v>
      </c>
      <c r="L85" s="59">
        <f>K85/References!$F$19</f>
        <v>19.69209760292868</v>
      </c>
      <c r="M85" s="66">
        <f t="shared" si="50"/>
        <v>1.6410081335773901</v>
      </c>
      <c r="N85" s="59">
        <v>13.35</v>
      </c>
      <c r="O85" s="59">
        <f t="shared" si="51"/>
        <v>14.99</v>
      </c>
      <c r="P85" s="59">
        <f t="shared" si="81"/>
        <v>14.99</v>
      </c>
      <c r="Q85" s="149">
        <f t="shared" si="82"/>
        <v>0</v>
      </c>
      <c r="R85" s="149">
        <f t="shared" si="83"/>
        <v>0</v>
      </c>
      <c r="S85" s="149">
        <f t="shared" si="84"/>
        <v>0</v>
      </c>
      <c r="T85" s="25">
        <f t="shared" si="85"/>
        <v>0</v>
      </c>
    </row>
    <row r="86" spans="1:20" s="26" customFormat="1">
      <c r="A86" s="138"/>
      <c r="B86" s="113">
        <v>207</v>
      </c>
      <c r="C86" s="113">
        <v>35</v>
      </c>
      <c r="D86" s="21" t="s">
        <v>128</v>
      </c>
      <c r="E86" s="152">
        <v>0</v>
      </c>
      <c r="F86" s="18">
        <v>1</v>
      </c>
      <c r="G86" s="17">
        <f t="shared" si="61"/>
        <v>12</v>
      </c>
      <c r="H86" s="17">
        <v>34</v>
      </c>
      <c r="I86" s="17">
        <f t="shared" si="48"/>
        <v>408</v>
      </c>
      <c r="J86" s="24">
        <f t="shared" si="62"/>
        <v>322.21901907311269</v>
      </c>
      <c r="K86" s="59">
        <f>References!$C$17*J86</f>
        <v>0.7717145506801053</v>
      </c>
      <c r="L86" s="59">
        <f>K86/References!$F$19</f>
        <v>0.79706109345187492</v>
      </c>
      <c r="M86" s="66">
        <f t="shared" si="50"/>
        <v>6.6421757787656244E-2</v>
      </c>
      <c r="N86" s="59">
        <v>3.64</v>
      </c>
      <c r="O86" s="59">
        <f t="shared" si="51"/>
        <v>3.71</v>
      </c>
      <c r="P86" s="59">
        <f t="shared" si="81"/>
        <v>3.71</v>
      </c>
      <c r="Q86" s="149">
        <f t="shared" si="82"/>
        <v>0</v>
      </c>
      <c r="R86" s="149">
        <f t="shared" si="83"/>
        <v>0</v>
      </c>
      <c r="S86" s="149">
        <f t="shared" si="84"/>
        <v>0</v>
      </c>
      <c r="T86" s="25">
        <f t="shared" si="85"/>
        <v>0</v>
      </c>
    </row>
    <row r="87" spans="1:20" s="26" customFormat="1">
      <c r="A87" s="138"/>
      <c r="B87" s="113">
        <v>207</v>
      </c>
      <c r="C87" s="113">
        <v>35</v>
      </c>
      <c r="D87" s="21" t="s">
        <v>129</v>
      </c>
      <c r="E87" s="23">
        <v>0</v>
      </c>
      <c r="F87" s="18">
        <v>1</v>
      </c>
      <c r="G87" s="17">
        <f t="shared" si="61"/>
        <v>12</v>
      </c>
      <c r="H87" s="17">
        <v>47</v>
      </c>
      <c r="I87" s="17">
        <f t="shared" si="48"/>
        <v>564</v>
      </c>
      <c r="J87" s="24">
        <f t="shared" si="62"/>
        <v>445.42040871871461</v>
      </c>
      <c r="K87" s="59">
        <f>References!$C$17*J87</f>
        <v>1.0667818788813221</v>
      </c>
      <c r="L87" s="59">
        <f>K87/References!$F$19</f>
        <v>1.1018197468305331</v>
      </c>
      <c r="M87" s="66">
        <f t="shared" si="50"/>
        <v>9.1818312235877761E-2</v>
      </c>
      <c r="N87" s="59">
        <v>3.64</v>
      </c>
      <c r="O87" s="59">
        <f t="shared" si="51"/>
        <v>3.73</v>
      </c>
      <c r="P87" s="59">
        <f t="shared" si="81"/>
        <v>3.73</v>
      </c>
      <c r="Q87" s="149">
        <f t="shared" si="82"/>
        <v>0</v>
      </c>
      <c r="R87" s="149">
        <f t="shared" si="83"/>
        <v>0</v>
      </c>
      <c r="S87" s="149">
        <f t="shared" si="84"/>
        <v>0</v>
      </c>
      <c r="T87" s="25">
        <f t="shared" si="85"/>
        <v>0</v>
      </c>
    </row>
    <row r="88" spans="1:20" s="26" customFormat="1">
      <c r="A88" s="138"/>
      <c r="B88" s="113">
        <v>207</v>
      </c>
      <c r="C88" s="113">
        <v>35</v>
      </c>
      <c r="D88" s="21" t="s">
        <v>130</v>
      </c>
      <c r="E88" s="152">
        <v>0</v>
      </c>
      <c r="F88" s="18">
        <v>1</v>
      </c>
      <c r="G88" s="17">
        <f t="shared" si="61"/>
        <v>12</v>
      </c>
      <c r="H88" s="17">
        <v>68</v>
      </c>
      <c r="I88" s="17">
        <f t="shared" si="48"/>
        <v>816</v>
      </c>
      <c r="J88" s="24">
        <f t="shared" si="62"/>
        <v>644.43803814622538</v>
      </c>
      <c r="K88" s="59">
        <f>References!$C$17*J88</f>
        <v>1.5434291013602106</v>
      </c>
      <c r="L88" s="59">
        <f>K88/References!$F$19</f>
        <v>1.5941221869037498</v>
      </c>
      <c r="M88" s="66">
        <f t="shared" si="50"/>
        <v>0.13284351557531249</v>
      </c>
      <c r="N88" s="59">
        <v>3.64</v>
      </c>
      <c r="O88" s="59">
        <f t="shared" si="51"/>
        <v>3.77</v>
      </c>
      <c r="P88" s="59">
        <f t="shared" si="81"/>
        <v>3.77</v>
      </c>
      <c r="Q88" s="149">
        <f t="shared" si="82"/>
        <v>0</v>
      </c>
      <c r="R88" s="149">
        <f t="shared" si="83"/>
        <v>0</v>
      </c>
      <c r="S88" s="149">
        <f t="shared" si="84"/>
        <v>0</v>
      </c>
      <c r="T88" s="25">
        <f t="shared" si="85"/>
        <v>0</v>
      </c>
    </row>
    <row r="89" spans="1:20" s="26" customFormat="1">
      <c r="A89" s="165" t="s">
        <v>13</v>
      </c>
      <c r="B89" s="113">
        <v>240</v>
      </c>
      <c r="C89" s="113">
        <v>38</v>
      </c>
      <c r="D89" s="21" t="s">
        <v>86</v>
      </c>
      <c r="E89" s="23">
        <v>0</v>
      </c>
      <c r="F89" s="18">
        <v>1</v>
      </c>
      <c r="G89" s="17">
        <f t="shared" si="61"/>
        <v>12</v>
      </c>
      <c r="H89" s="17">
        <v>175</v>
      </c>
      <c r="I89" s="17">
        <f t="shared" ref="I89:I95" si="86">G89*H89</f>
        <v>2100</v>
      </c>
      <c r="J89" s="24">
        <f t="shared" ref="J89:J95" si="87">$E$165*I89</f>
        <v>1658.4802452292565</v>
      </c>
      <c r="K89" s="59">
        <f>References!$C$17*J89</f>
        <v>3.9720601873240717</v>
      </c>
      <c r="L89" s="59">
        <f>K89/References!$F$19</f>
        <v>4.1025203339434748</v>
      </c>
      <c r="M89" s="66">
        <f t="shared" ref="M89:M95" si="88">L89/G89*F89</f>
        <v>0.34187669449528957</v>
      </c>
      <c r="N89" s="59">
        <v>19.57</v>
      </c>
      <c r="O89" s="59">
        <f t="shared" si="51"/>
        <v>19.91</v>
      </c>
      <c r="P89" s="59">
        <f t="shared" ref="P89:P95" si="89">O89</f>
        <v>19.91</v>
      </c>
      <c r="Q89" s="149">
        <f t="shared" ref="Q89:Q95" si="90">E89*N89*12</f>
        <v>0</v>
      </c>
      <c r="R89" s="149">
        <f t="shared" ref="R89:R95" si="91">E89*P89*12</f>
        <v>0</v>
      </c>
      <c r="S89" s="149">
        <f t="shared" ref="S89:S95" si="92">R89-Q89</f>
        <v>0</v>
      </c>
      <c r="T89" s="25">
        <f t="shared" ref="T89:T95" si="93">E89*O89*12</f>
        <v>0</v>
      </c>
    </row>
    <row r="90" spans="1:20" s="26" customFormat="1">
      <c r="A90" s="165"/>
      <c r="B90" s="113">
        <v>240</v>
      </c>
      <c r="C90" s="113">
        <v>38</v>
      </c>
      <c r="D90" s="21" t="s">
        <v>183</v>
      </c>
      <c r="E90" s="152">
        <v>0</v>
      </c>
      <c r="F90" s="18">
        <v>1</v>
      </c>
      <c r="G90" s="17">
        <f t="shared" si="61"/>
        <v>12</v>
      </c>
      <c r="H90" s="17">
        <v>250</v>
      </c>
      <c r="I90" s="17">
        <f t="shared" si="86"/>
        <v>3000</v>
      </c>
      <c r="J90" s="24">
        <f t="shared" si="87"/>
        <v>2369.2574931846525</v>
      </c>
      <c r="K90" s="59">
        <f>References!$C$17*J90</f>
        <v>5.6743716961772455</v>
      </c>
      <c r="L90" s="59">
        <f>K90/References!$F$19</f>
        <v>5.8607433342049635</v>
      </c>
      <c r="M90" s="66">
        <f t="shared" si="88"/>
        <v>0.48839527785041364</v>
      </c>
      <c r="N90" s="59">
        <v>25.45</v>
      </c>
      <c r="O90" s="59">
        <f t="shared" si="51"/>
        <v>25.94</v>
      </c>
      <c r="P90" s="59">
        <f t="shared" si="89"/>
        <v>25.94</v>
      </c>
      <c r="Q90" s="149">
        <f t="shared" si="90"/>
        <v>0</v>
      </c>
      <c r="R90" s="149">
        <f t="shared" si="91"/>
        <v>0</v>
      </c>
      <c r="S90" s="149">
        <f t="shared" si="92"/>
        <v>0</v>
      </c>
      <c r="T90" s="25">
        <f t="shared" si="93"/>
        <v>0</v>
      </c>
    </row>
    <row r="91" spans="1:20" s="26" customFormat="1">
      <c r="A91" s="165"/>
      <c r="B91" s="113">
        <v>240</v>
      </c>
      <c r="C91" s="113">
        <v>38</v>
      </c>
      <c r="D91" s="21" t="s">
        <v>184</v>
      </c>
      <c r="E91" s="23">
        <v>0</v>
      </c>
      <c r="F91" s="18">
        <v>1</v>
      </c>
      <c r="G91" s="17">
        <f t="shared" si="61"/>
        <v>12</v>
      </c>
      <c r="H91" s="17">
        <v>324</v>
      </c>
      <c r="I91" s="17">
        <f t="shared" si="86"/>
        <v>3888</v>
      </c>
      <c r="J91" s="24">
        <f t="shared" si="87"/>
        <v>3070.5577111673092</v>
      </c>
      <c r="K91" s="59">
        <f>References!$C$17*J91</f>
        <v>7.3539857182457098</v>
      </c>
      <c r="L91" s="59">
        <f>K91/References!$F$19</f>
        <v>7.5955233611296329</v>
      </c>
      <c r="M91" s="66">
        <f t="shared" si="88"/>
        <v>0.63296028009413607</v>
      </c>
      <c r="N91" s="59">
        <v>32.49</v>
      </c>
      <c r="O91" s="59">
        <f t="shared" si="51"/>
        <v>33.119999999999997</v>
      </c>
      <c r="P91" s="59">
        <f t="shared" si="89"/>
        <v>33.119999999999997</v>
      </c>
      <c r="Q91" s="149">
        <f t="shared" si="90"/>
        <v>0</v>
      </c>
      <c r="R91" s="149">
        <f t="shared" si="91"/>
        <v>0</v>
      </c>
      <c r="S91" s="149">
        <f t="shared" si="92"/>
        <v>0</v>
      </c>
      <c r="T91" s="25">
        <f t="shared" si="93"/>
        <v>0</v>
      </c>
    </row>
    <row r="92" spans="1:20" s="26" customFormat="1">
      <c r="A92" s="165"/>
      <c r="B92" s="113">
        <v>240</v>
      </c>
      <c r="C92" s="113">
        <v>38</v>
      </c>
      <c r="D92" s="21" t="s">
        <v>185</v>
      </c>
      <c r="E92" s="152">
        <v>0</v>
      </c>
      <c r="F92" s="18">
        <v>1</v>
      </c>
      <c r="G92" s="17">
        <f t="shared" si="61"/>
        <v>12</v>
      </c>
      <c r="H92" s="17">
        <v>473</v>
      </c>
      <c r="I92" s="17">
        <f t="shared" si="86"/>
        <v>5676</v>
      </c>
      <c r="J92" s="24">
        <f t="shared" si="87"/>
        <v>4482.6351771053623</v>
      </c>
      <c r="K92" s="59">
        <f>References!$C$17*J92</f>
        <v>10.735911249167348</v>
      </c>
      <c r="L92" s="59">
        <f>K92/References!$F$19</f>
        <v>11.08852638831579</v>
      </c>
      <c r="M92" s="66">
        <f t="shared" si="88"/>
        <v>0.92404386569298247</v>
      </c>
      <c r="N92" s="59">
        <v>43.97</v>
      </c>
      <c r="O92" s="59">
        <f t="shared" si="51"/>
        <v>44.89</v>
      </c>
      <c r="P92" s="59">
        <f t="shared" si="89"/>
        <v>44.89</v>
      </c>
      <c r="Q92" s="149">
        <f t="shared" si="90"/>
        <v>0</v>
      </c>
      <c r="R92" s="149">
        <f t="shared" si="91"/>
        <v>0</v>
      </c>
      <c r="S92" s="149">
        <f t="shared" si="92"/>
        <v>0</v>
      </c>
      <c r="T92" s="25">
        <f t="shared" si="93"/>
        <v>0</v>
      </c>
    </row>
    <row r="93" spans="1:20" s="26" customFormat="1">
      <c r="A93" s="165"/>
      <c r="B93" s="113">
        <v>240</v>
      </c>
      <c r="C93" s="113">
        <v>38</v>
      </c>
      <c r="D93" s="21" t="s">
        <v>186</v>
      </c>
      <c r="E93" s="23">
        <v>0</v>
      </c>
      <c r="F93" s="18">
        <v>1</v>
      </c>
      <c r="G93" s="17">
        <f t="shared" si="61"/>
        <v>12</v>
      </c>
      <c r="H93" s="17">
        <v>613</v>
      </c>
      <c r="I93" s="17">
        <f t="shared" si="86"/>
        <v>7356</v>
      </c>
      <c r="J93" s="24">
        <f t="shared" si="87"/>
        <v>5809.419373288767</v>
      </c>
      <c r="K93" s="59">
        <f>References!$C$17*J93</f>
        <v>13.913559399026605</v>
      </c>
      <c r="L93" s="59">
        <f>K93/References!$F$19</f>
        <v>14.370542655470569</v>
      </c>
      <c r="M93" s="66">
        <f t="shared" si="88"/>
        <v>1.1975452212892141</v>
      </c>
      <c r="N93" s="59">
        <v>55.17</v>
      </c>
      <c r="O93" s="59">
        <f t="shared" si="51"/>
        <v>56.37</v>
      </c>
      <c r="P93" s="59">
        <f t="shared" si="89"/>
        <v>56.37</v>
      </c>
      <c r="Q93" s="149">
        <f t="shared" si="90"/>
        <v>0</v>
      </c>
      <c r="R93" s="149">
        <f t="shared" si="91"/>
        <v>0</v>
      </c>
      <c r="S93" s="149">
        <f t="shared" si="92"/>
        <v>0</v>
      </c>
      <c r="T93" s="25">
        <f t="shared" si="93"/>
        <v>0</v>
      </c>
    </row>
    <row r="94" spans="1:20" s="26" customFormat="1">
      <c r="A94" s="165"/>
      <c r="B94" s="113">
        <v>240</v>
      </c>
      <c r="C94" s="113">
        <v>38</v>
      </c>
      <c r="D94" s="21" t="s">
        <v>187</v>
      </c>
      <c r="E94" s="152">
        <v>0</v>
      </c>
      <c r="F94" s="18">
        <v>1</v>
      </c>
      <c r="G94" s="17">
        <f t="shared" si="61"/>
        <v>12</v>
      </c>
      <c r="H94" s="17">
        <v>766</v>
      </c>
      <c r="I94" s="17">
        <f t="shared" si="86"/>
        <v>9192</v>
      </c>
      <c r="J94" s="24">
        <f t="shared" si="87"/>
        <v>7259.4049591177745</v>
      </c>
      <c r="K94" s="59">
        <f>References!$C$17*J94</f>
        <v>17.386274877087079</v>
      </c>
      <c r="L94" s="59">
        <f>K94/References!$F$19</f>
        <v>17.957317576004009</v>
      </c>
      <c r="M94" s="66">
        <f t="shared" si="88"/>
        <v>1.4964431313336675</v>
      </c>
      <c r="N94" s="59">
        <v>65.42</v>
      </c>
      <c r="O94" s="59">
        <f t="shared" si="51"/>
        <v>66.92</v>
      </c>
      <c r="P94" s="59">
        <f t="shared" si="89"/>
        <v>66.92</v>
      </c>
      <c r="Q94" s="149">
        <f t="shared" si="90"/>
        <v>0</v>
      </c>
      <c r="R94" s="149">
        <f t="shared" si="91"/>
        <v>0</v>
      </c>
      <c r="S94" s="149">
        <f t="shared" si="92"/>
        <v>0</v>
      </c>
      <c r="T94" s="25">
        <f t="shared" si="93"/>
        <v>0</v>
      </c>
    </row>
    <row r="95" spans="1:20" s="26" customFormat="1">
      <c r="A95" s="165"/>
      <c r="B95" s="113">
        <v>240</v>
      </c>
      <c r="C95" s="113">
        <v>38</v>
      </c>
      <c r="D95" s="21" t="s">
        <v>188</v>
      </c>
      <c r="E95" s="23">
        <v>0</v>
      </c>
      <c r="F95" s="18">
        <v>1</v>
      </c>
      <c r="G95" s="17">
        <f t="shared" si="61"/>
        <v>12</v>
      </c>
      <c r="H95" s="17">
        <v>840</v>
      </c>
      <c r="I95" s="17">
        <f t="shared" si="86"/>
        <v>10080</v>
      </c>
      <c r="J95" s="24">
        <f t="shared" si="87"/>
        <v>7960.7051771004317</v>
      </c>
      <c r="K95" s="59">
        <f>References!$C$17*J95</f>
        <v>19.065888899155546</v>
      </c>
      <c r="L95" s="59">
        <f>K95/References!$F$19</f>
        <v>19.69209760292868</v>
      </c>
      <c r="M95" s="66">
        <f t="shared" si="88"/>
        <v>1.6410081335773901</v>
      </c>
      <c r="N95" s="59">
        <v>73.930000000000007</v>
      </c>
      <c r="O95" s="59">
        <f t="shared" si="51"/>
        <v>75.569999999999993</v>
      </c>
      <c r="P95" s="59">
        <f t="shared" si="89"/>
        <v>75.569999999999993</v>
      </c>
      <c r="Q95" s="149">
        <f t="shared" si="90"/>
        <v>0</v>
      </c>
      <c r="R95" s="149">
        <f t="shared" si="91"/>
        <v>0</v>
      </c>
      <c r="S95" s="149">
        <f t="shared" si="92"/>
        <v>0</v>
      </c>
      <c r="T95" s="25">
        <f t="shared" si="93"/>
        <v>0</v>
      </c>
    </row>
    <row r="96" spans="1:20" s="26" customFormat="1" ht="15" customHeight="1">
      <c r="A96" s="165"/>
      <c r="B96" s="113">
        <v>240</v>
      </c>
      <c r="C96" s="113">
        <v>38</v>
      </c>
      <c r="D96" s="21" t="s">
        <v>131</v>
      </c>
      <c r="E96" s="23">
        <v>0</v>
      </c>
      <c r="F96" s="18">
        <v>1</v>
      </c>
      <c r="G96" s="17">
        <f t="shared" ref="G96:G108" si="94">F96*12</f>
        <v>12</v>
      </c>
      <c r="H96" s="17">
        <v>175</v>
      </c>
      <c r="I96" s="17">
        <f t="shared" si="48"/>
        <v>2100</v>
      </c>
      <c r="J96" s="24">
        <f t="shared" ref="J96:J113" si="95">$E$165*I96</f>
        <v>1658.4802452292565</v>
      </c>
      <c r="K96" s="59">
        <f>References!$C$17*J96</f>
        <v>3.9720601873240717</v>
      </c>
      <c r="L96" s="59">
        <f>K96/References!$F$19</f>
        <v>4.1025203339434748</v>
      </c>
      <c r="M96" s="66">
        <f t="shared" si="50"/>
        <v>0.34187669449528957</v>
      </c>
      <c r="N96" s="59">
        <v>29.69</v>
      </c>
      <c r="O96" s="59">
        <f t="shared" si="51"/>
        <v>30.03</v>
      </c>
      <c r="P96" s="59">
        <f t="shared" ref="P96:P102" si="96">O96</f>
        <v>30.03</v>
      </c>
      <c r="Q96" s="149">
        <f t="shared" ref="Q96:Q102" si="97">E96*N96*12</f>
        <v>0</v>
      </c>
      <c r="R96" s="149">
        <f t="shared" ref="R96:R102" si="98">E96*P96*12</f>
        <v>0</v>
      </c>
      <c r="S96" s="149">
        <f t="shared" ref="S96:S102" si="99">R96-Q96</f>
        <v>0</v>
      </c>
      <c r="T96" s="25">
        <f t="shared" ref="T96:T102" si="100">E96*O96*12</f>
        <v>0</v>
      </c>
    </row>
    <row r="97" spans="1:20" s="26" customFormat="1">
      <c r="A97" s="165"/>
      <c r="B97" s="113">
        <v>240</v>
      </c>
      <c r="C97" s="113">
        <v>38</v>
      </c>
      <c r="D97" s="21" t="s">
        <v>132</v>
      </c>
      <c r="E97" s="152">
        <v>0</v>
      </c>
      <c r="F97" s="18">
        <v>1</v>
      </c>
      <c r="G97" s="17">
        <f t="shared" si="94"/>
        <v>12</v>
      </c>
      <c r="H97" s="17">
        <v>250</v>
      </c>
      <c r="I97" s="17">
        <f t="shared" si="48"/>
        <v>3000</v>
      </c>
      <c r="J97" s="24">
        <f t="shared" si="95"/>
        <v>2369.2574931846525</v>
      </c>
      <c r="K97" s="59">
        <f>References!$C$17*J97</f>
        <v>5.6743716961772455</v>
      </c>
      <c r="L97" s="59">
        <f>K97/References!$F$19</f>
        <v>5.8607433342049635</v>
      </c>
      <c r="M97" s="66">
        <f t="shared" si="50"/>
        <v>0.48839527785041364</v>
      </c>
      <c r="N97" s="59">
        <v>38.28</v>
      </c>
      <c r="O97" s="59">
        <f t="shared" si="51"/>
        <v>38.770000000000003</v>
      </c>
      <c r="P97" s="59">
        <f t="shared" si="96"/>
        <v>38.770000000000003</v>
      </c>
      <c r="Q97" s="149">
        <f t="shared" si="97"/>
        <v>0</v>
      </c>
      <c r="R97" s="149">
        <f t="shared" si="98"/>
        <v>0</v>
      </c>
      <c r="S97" s="149">
        <f t="shared" si="99"/>
        <v>0</v>
      </c>
      <c r="T97" s="25">
        <f t="shared" si="100"/>
        <v>0</v>
      </c>
    </row>
    <row r="98" spans="1:20" s="26" customFormat="1">
      <c r="A98" s="165"/>
      <c r="B98" s="113">
        <v>240</v>
      </c>
      <c r="C98" s="113">
        <v>38</v>
      </c>
      <c r="D98" s="21" t="s">
        <v>133</v>
      </c>
      <c r="E98" s="23">
        <v>0</v>
      </c>
      <c r="F98" s="18">
        <v>1</v>
      </c>
      <c r="G98" s="17">
        <f t="shared" si="94"/>
        <v>12</v>
      </c>
      <c r="H98" s="17">
        <v>324</v>
      </c>
      <c r="I98" s="17">
        <f t="shared" si="48"/>
        <v>3888</v>
      </c>
      <c r="J98" s="24">
        <f t="shared" si="95"/>
        <v>3070.5577111673092</v>
      </c>
      <c r="K98" s="59">
        <f>References!$C$17*J98</f>
        <v>7.3539857182457098</v>
      </c>
      <c r="L98" s="59">
        <f>K98/References!$F$19</f>
        <v>7.5955233611296329</v>
      </c>
      <c r="M98" s="66">
        <f t="shared" si="50"/>
        <v>0.63296028009413607</v>
      </c>
      <c r="N98" s="59">
        <v>42.74</v>
      </c>
      <c r="O98" s="59">
        <f t="shared" si="51"/>
        <v>43.37</v>
      </c>
      <c r="P98" s="59">
        <f t="shared" si="96"/>
        <v>43.37</v>
      </c>
      <c r="Q98" s="149">
        <f t="shared" si="97"/>
        <v>0</v>
      </c>
      <c r="R98" s="149">
        <f t="shared" si="98"/>
        <v>0</v>
      </c>
      <c r="S98" s="149">
        <f t="shared" si="99"/>
        <v>0</v>
      </c>
      <c r="T98" s="25">
        <f t="shared" si="100"/>
        <v>0</v>
      </c>
    </row>
    <row r="99" spans="1:20" s="26" customFormat="1">
      <c r="A99" s="165"/>
      <c r="B99" s="113">
        <v>240</v>
      </c>
      <c r="C99" s="113">
        <v>38</v>
      </c>
      <c r="D99" s="21" t="s">
        <v>134</v>
      </c>
      <c r="E99" s="152">
        <v>0</v>
      </c>
      <c r="F99" s="18">
        <v>1</v>
      </c>
      <c r="G99" s="17">
        <f t="shared" si="94"/>
        <v>12</v>
      </c>
      <c r="H99" s="17">
        <v>473</v>
      </c>
      <c r="I99" s="17">
        <f t="shared" si="48"/>
        <v>5676</v>
      </c>
      <c r="J99" s="24">
        <f t="shared" si="95"/>
        <v>4482.6351771053623</v>
      </c>
      <c r="K99" s="59">
        <f>References!$C$17*J99</f>
        <v>10.735911249167348</v>
      </c>
      <c r="L99" s="59">
        <f>K99/References!$F$19</f>
        <v>11.08852638831579</v>
      </c>
      <c r="M99" s="66">
        <f t="shared" si="50"/>
        <v>0.92404386569298247</v>
      </c>
      <c r="N99" s="59">
        <v>54.1</v>
      </c>
      <c r="O99" s="59">
        <f t="shared" si="51"/>
        <v>55.02</v>
      </c>
      <c r="P99" s="59">
        <f t="shared" si="96"/>
        <v>55.02</v>
      </c>
      <c r="Q99" s="149">
        <f t="shared" si="97"/>
        <v>0</v>
      </c>
      <c r="R99" s="149">
        <f t="shared" si="98"/>
        <v>0</v>
      </c>
      <c r="S99" s="149">
        <f t="shared" si="99"/>
        <v>0</v>
      </c>
      <c r="T99" s="25">
        <f t="shared" si="100"/>
        <v>0</v>
      </c>
    </row>
    <row r="100" spans="1:20" s="26" customFormat="1">
      <c r="A100" s="165"/>
      <c r="B100" s="113">
        <v>240</v>
      </c>
      <c r="C100" s="113">
        <v>38</v>
      </c>
      <c r="D100" s="21" t="s">
        <v>135</v>
      </c>
      <c r="E100" s="23">
        <v>0</v>
      </c>
      <c r="F100" s="18">
        <v>1</v>
      </c>
      <c r="G100" s="17">
        <f t="shared" si="94"/>
        <v>12</v>
      </c>
      <c r="H100" s="17">
        <v>613</v>
      </c>
      <c r="I100" s="17">
        <f t="shared" si="48"/>
        <v>7356</v>
      </c>
      <c r="J100" s="24">
        <f t="shared" si="95"/>
        <v>5809.419373288767</v>
      </c>
      <c r="K100" s="59">
        <f>References!$C$17*J100</f>
        <v>13.913559399026605</v>
      </c>
      <c r="L100" s="59">
        <f>K100/References!$F$19</f>
        <v>14.370542655470569</v>
      </c>
      <c r="M100" s="66">
        <f t="shared" si="50"/>
        <v>1.1975452212892141</v>
      </c>
      <c r="N100" s="59">
        <v>67.14</v>
      </c>
      <c r="O100" s="59">
        <f t="shared" si="51"/>
        <v>68.34</v>
      </c>
      <c r="P100" s="59">
        <f t="shared" si="96"/>
        <v>68.34</v>
      </c>
      <c r="Q100" s="149">
        <f t="shared" si="97"/>
        <v>0</v>
      </c>
      <c r="R100" s="149">
        <f t="shared" si="98"/>
        <v>0</v>
      </c>
      <c r="S100" s="149">
        <f t="shared" si="99"/>
        <v>0</v>
      </c>
      <c r="T100" s="25">
        <f t="shared" si="100"/>
        <v>0</v>
      </c>
    </row>
    <row r="101" spans="1:20" s="26" customFormat="1">
      <c r="A101" s="165"/>
      <c r="B101" s="113">
        <v>240</v>
      </c>
      <c r="C101" s="113">
        <v>38</v>
      </c>
      <c r="D101" s="21" t="s">
        <v>136</v>
      </c>
      <c r="E101" s="152">
        <v>0</v>
      </c>
      <c r="F101" s="18">
        <v>1</v>
      </c>
      <c r="G101" s="17">
        <f t="shared" si="94"/>
        <v>12</v>
      </c>
      <c r="H101" s="17">
        <v>766</v>
      </c>
      <c r="I101" s="17">
        <f t="shared" si="48"/>
        <v>9192</v>
      </c>
      <c r="J101" s="24">
        <f t="shared" si="95"/>
        <v>7259.4049591177745</v>
      </c>
      <c r="K101" s="59">
        <f>References!$C$17*J101</f>
        <v>17.386274877087079</v>
      </c>
      <c r="L101" s="59">
        <f>K101/References!$F$19</f>
        <v>17.957317576004009</v>
      </c>
      <c r="M101" s="66">
        <f t="shared" si="50"/>
        <v>1.4964431313336675</v>
      </c>
      <c r="N101" s="59">
        <v>79.790000000000006</v>
      </c>
      <c r="O101" s="59">
        <f t="shared" si="51"/>
        <v>81.290000000000006</v>
      </c>
      <c r="P101" s="59">
        <f t="shared" si="96"/>
        <v>81.290000000000006</v>
      </c>
      <c r="Q101" s="149">
        <f t="shared" si="97"/>
        <v>0</v>
      </c>
      <c r="R101" s="149">
        <f t="shared" si="98"/>
        <v>0</v>
      </c>
      <c r="S101" s="149">
        <f t="shared" si="99"/>
        <v>0</v>
      </c>
      <c r="T101" s="25">
        <f t="shared" si="100"/>
        <v>0</v>
      </c>
    </row>
    <row r="102" spans="1:20" s="26" customFormat="1">
      <c r="A102" s="165"/>
      <c r="B102" s="113">
        <v>240</v>
      </c>
      <c r="C102" s="113">
        <v>38</v>
      </c>
      <c r="D102" s="21" t="s">
        <v>137</v>
      </c>
      <c r="E102" s="23">
        <v>0</v>
      </c>
      <c r="F102" s="18">
        <v>1</v>
      </c>
      <c r="G102" s="17">
        <f t="shared" si="94"/>
        <v>12</v>
      </c>
      <c r="H102" s="17">
        <v>840</v>
      </c>
      <c r="I102" s="17">
        <f t="shared" si="48"/>
        <v>10080</v>
      </c>
      <c r="J102" s="24">
        <f t="shared" si="95"/>
        <v>7960.7051771004317</v>
      </c>
      <c r="K102" s="59">
        <f>References!$C$17*J102</f>
        <v>19.065888899155546</v>
      </c>
      <c r="L102" s="59">
        <f>K102/References!$F$19</f>
        <v>19.69209760292868</v>
      </c>
      <c r="M102" s="66">
        <f t="shared" si="50"/>
        <v>1.6410081335773901</v>
      </c>
      <c r="N102" s="59">
        <v>88.67</v>
      </c>
      <c r="O102" s="59">
        <f t="shared" si="51"/>
        <v>90.31</v>
      </c>
      <c r="P102" s="59">
        <f t="shared" si="96"/>
        <v>90.31</v>
      </c>
      <c r="Q102" s="149">
        <f t="shared" si="97"/>
        <v>0</v>
      </c>
      <c r="R102" s="149">
        <f t="shared" si="98"/>
        <v>0</v>
      </c>
      <c r="S102" s="149">
        <f t="shared" si="99"/>
        <v>0</v>
      </c>
      <c r="T102" s="25">
        <f t="shared" si="100"/>
        <v>0</v>
      </c>
    </row>
    <row r="103" spans="1:20" s="26" customFormat="1">
      <c r="A103" s="165"/>
      <c r="B103" s="113">
        <v>240</v>
      </c>
      <c r="C103" s="113">
        <v>39</v>
      </c>
      <c r="D103" s="21" t="s">
        <v>82</v>
      </c>
      <c r="E103" s="23">
        <v>0</v>
      </c>
      <c r="F103" s="18">
        <v>1</v>
      </c>
      <c r="G103" s="17">
        <f t="shared" ref="G103:G105" si="101">F103*12</f>
        <v>12</v>
      </c>
      <c r="H103" s="17">
        <v>34</v>
      </c>
      <c r="I103" s="17">
        <f t="shared" ref="I103:I105" si="102">G103*H103</f>
        <v>408</v>
      </c>
      <c r="J103" s="24">
        <f t="shared" ref="J103:J105" si="103">$E$165*I103</f>
        <v>322.21901907311269</v>
      </c>
      <c r="K103" s="59">
        <f>References!$C$17*J103</f>
        <v>0.7717145506801053</v>
      </c>
      <c r="L103" s="59">
        <f>K103/References!$F$19</f>
        <v>0.79706109345187492</v>
      </c>
      <c r="M103" s="66">
        <f t="shared" ref="M103:M105" si="104">L103/G103*F103</f>
        <v>6.6421757787656244E-2</v>
      </c>
      <c r="N103" s="59">
        <v>5.05</v>
      </c>
      <c r="O103" s="59">
        <f t="shared" si="51"/>
        <v>5.12</v>
      </c>
      <c r="P103" s="59">
        <f t="shared" ref="P103:P105" si="105">O103</f>
        <v>5.12</v>
      </c>
      <c r="Q103" s="149">
        <f t="shared" ref="Q103:Q105" si="106">E103*N103*12</f>
        <v>0</v>
      </c>
      <c r="R103" s="149">
        <f t="shared" ref="R103:R105" si="107">E103*P103*12</f>
        <v>0</v>
      </c>
      <c r="S103" s="149">
        <f t="shared" ref="S103:S105" si="108">R103-Q103</f>
        <v>0</v>
      </c>
      <c r="T103" s="25">
        <f t="shared" ref="T103:T105" si="109">E103*O103*12</f>
        <v>0</v>
      </c>
    </row>
    <row r="104" spans="1:20" s="26" customFormat="1">
      <c r="A104" s="165"/>
      <c r="B104" s="113">
        <v>240</v>
      </c>
      <c r="C104" s="113">
        <v>39</v>
      </c>
      <c r="D104" s="21" t="s">
        <v>81</v>
      </c>
      <c r="E104" s="23">
        <v>0</v>
      </c>
      <c r="F104" s="18">
        <v>1</v>
      </c>
      <c r="G104" s="17">
        <f t="shared" si="101"/>
        <v>12</v>
      </c>
      <c r="H104" s="17">
        <v>47</v>
      </c>
      <c r="I104" s="17">
        <f t="shared" si="102"/>
        <v>564</v>
      </c>
      <c r="J104" s="24">
        <f t="shared" si="103"/>
        <v>445.42040871871461</v>
      </c>
      <c r="K104" s="59">
        <f>References!$C$17*J104</f>
        <v>1.0667818788813221</v>
      </c>
      <c r="L104" s="59">
        <f>K104/References!$F$19</f>
        <v>1.1018197468305331</v>
      </c>
      <c r="M104" s="66">
        <f t="shared" si="104"/>
        <v>9.1818312235877761E-2</v>
      </c>
      <c r="N104" s="59">
        <v>6.53</v>
      </c>
      <c r="O104" s="59">
        <f t="shared" si="51"/>
        <v>6.62</v>
      </c>
      <c r="P104" s="59">
        <f t="shared" si="105"/>
        <v>6.62</v>
      </c>
      <c r="Q104" s="149">
        <f t="shared" si="106"/>
        <v>0</v>
      </c>
      <c r="R104" s="149">
        <f t="shared" si="107"/>
        <v>0</v>
      </c>
      <c r="S104" s="149">
        <f t="shared" si="108"/>
        <v>0</v>
      </c>
      <c r="T104" s="25">
        <f t="shared" si="109"/>
        <v>0</v>
      </c>
    </row>
    <row r="105" spans="1:20" s="26" customFormat="1">
      <c r="A105" s="165"/>
      <c r="B105" s="113">
        <v>240</v>
      </c>
      <c r="C105" s="113">
        <v>39</v>
      </c>
      <c r="D105" s="21" t="s">
        <v>80</v>
      </c>
      <c r="E105" s="23">
        <v>0</v>
      </c>
      <c r="F105" s="18">
        <v>1</v>
      </c>
      <c r="G105" s="17">
        <f t="shared" si="101"/>
        <v>12</v>
      </c>
      <c r="H105" s="17">
        <v>68</v>
      </c>
      <c r="I105" s="17">
        <f t="shared" si="102"/>
        <v>816</v>
      </c>
      <c r="J105" s="24">
        <f t="shared" si="103"/>
        <v>644.43803814622538</v>
      </c>
      <c r="K105" s="59">
        <f>References!$C$17*J105</f>
        <v>1.5434291013602106</v>
      </c>
      <c r="L105" s="59">
        <f>K105/References!$F$19</f>
        <v>1.5941221869037498</v>
      </c>
      <c r="M105" s="66">
        <f t="shared" si="104"/>
        <v>0.13284351557531249</v>
      </c>
      <c r="N105" s="59">
        <v>8.6</v>
      </c>
      <c r="O105" s="59">
        <f t="shared" si="51"/>
        <v>8.73</v>
      </c>
      <c r="P105" s="59">
        <f t="shared" si="105"/>
        <v>8.73</v>
      </c>
      <c r="Q105" s="149">
        <f t="shared" si="106"/>
        <v>0</v>
      </c>
      <c r="R105" s="149">
        <f t="shared" si="107"/>
        <v>0</v>
      </c>
      <c r="S105" s="149">
        <f t="shared" si="108"/>
        <v>0</v>
      </c>
      <c r="T105" s="25">
        <f t="shared" si="109"/>
        <v>0</v>
      </c>
    </row>
    <row r="106" spans="1:20" s="26" customFormat="1">
      <c r="A106" s="165"/>
      <c r="B106" s="113">
        <v>240</v>
      </c>
      <c r="C106" s="113">
        <v>39</v>
      </c>
      <c r="D106" s="21" t="s">
        <v>140</v>
      </c>
      <c r="E106" s="152">
        <v>0</v>
      </c>
      <c r="F106" s="18">
        <v>1</v>
      </c>
      <c r="G106" s="17">
        <f t="shared" si="94"/>
        <v>12</v>
      </c>
      <c r="H106" s="17">
        <v>34</v>
      </c>
      <c r="I106" s="17">
        <f t="shared" si="48"/>
        <v>408</v>
      </c>
      <c r="J106" s="24">
        <f t="shared" si="95"/>
        <v>322.21901907311269</v>
      </c>
      <c r="K106" s="59">
        <f>References!$C$17*J106</f>
        <v>0.7717145506801053</v>
      </c>
      <c r="L106" s="59">
        <f>K106/References!$F$19</f>
        <v>0.79706109345187492</v>
      </c>
      <c r="M106" s="66">
        <f t="shared" si="50"/>
        <v>6.6421757787656244E-2</v>
      </c>
      <c r="N106" s="59">
        <v>8.2100000000000009</v>
      </c>
      <c r="O106" s="59">
        <f t="shared" si="51"/>
        <v>8.2799999999999994</v>
      </c>
      <c r="P106" s="59">
        <f t="shared" ref="P106:P108" si="110">O106</f>
        <v>8.2799999999999994</v>
      </c>
      <c r="Q106" s="149">
        <f t="shared" ref="Q106:Q108" si="111">E106*N106*12</f>
        <v>0</v>
      </c>
      <c r="R106" s="149">
        <f t="shared" ref="R106:R108" si="112">E106*P106*12</f>
        <v>0</v>
      </c>
      <c r="S106" s="149">
        <f t="shared" ref="S106:S108" si="113">R106-Q106</f>
        <v>0</v>
      </c>
      <c r="T106" s="25">
        <f t="shared" ref="T106:T108" si="114">E106*O106*12</f>
        <v>0</v>
      </c>
    </row>
    <row r="107" spans="1:20" s="26" customFormat="1">
      <c r="A107" s="165"/>
      <c r="B107" s="113">
        <v>240</v>
      </c>
      <c r="C107" s="113">
        <v>39</v>
      </c>
      <c r="D107" s="21" t="s">
        <v>141</v>
      </c>
      <c r="E107" s="23">
        <v>0</v>
      </c>
      <c r="F107" s="18">
        <v>1</v>
      </c>
      <c r="G107" s="17">
        <f t="shared" si="94"/>
        <v>12</v>
      </c>
      <c r="H107" s="17">
        <v>47</v>
      </c>
      <c r="I107" s="17">
        <f t="shared" si="48"/>
        <v>564</v>
      </c>
      <c r="J107" s="24">
        <f t="shared" si="95"/>
        <v>445.42040871871461</v>
      </c>
      <c r="K107" s="59">
        <f>References!$C$17*J107</f>
        <v>1.0667818788813221</v>
      </c>
      <c r="L107" s="59">
        <f>K107/References!$F$19</f>
        <v>1.1018197468305331</v>
      </c>
      <c r="M107" s="66">
        <f t="shared" si="50"/>
        <v>9.1818312235877761E-2</v>
      </c>
      <c r="N107" s="59">
        <v>9.1199999999999992</v>
      </c>
      <c r="O107" s="59">
        <f t="shared" si="51"/>
        <v>9.2100000000000009</v>
      </c>
      <c r="P107" s="59">
        <f t="shared" si="110"/>
        <v>9.2100000000000009</v>
      </c>
      <c r="Q107" s="149">
        <f t="shared" si="111"/>
        <v>0</v>
      </c>
      <c r="R107" s="149">
        <f t="shared" si="112"/>
        <v>0</v>
      </c>
      <c r="S107" s="149">
        <f t="shared" si="113"/>
        <v>0</v>
      </c>
      <c r="T107" s="25">
        <f t="shared" si="114"/>
        <v>0</v>
      </c>
    </row>
    <row r="108" spans="1:20" s="26" customFormat="1">
      <c r="A108" s="165"/>
      <c r="B108" s="113">
        <v>240</v>
      </c>
      <c r="C108" s="113">
        <v>39</v>
      </c>
      <c r="D108" s="21" t="s">
        <v>142</v>
      </c>
      <c r="E108" s="152">
        <v>0</v>
      </c>
      <c r="F108" s="18">
        <v>1</v>
      </c>
      <c r="G108" s="17">
        <f t="shared" si="94"/>
        <v>12</v>
      </c>
      <c r="H108" s="17">
        <v>68</v>
      </c>
      <c r="I108" s="17">
        <f t="shared" si="48"/>
        <v>816</v>
      </c>
      <c r="J108" s="24">
        <f t="shared" si="95"/>
        <v>644.43803814622538</v>
      </c>
      <c r="K108" s="59">
        <f>References!$C$17*J108</f>
        <v>1.5434291013602106</v>
      </c>
      <c r="L108" s="59">
        <f>K108/References!$F$19</f>
        <v>1.5941221869037498</v>
      </c>
      <c r="M108" s="66">
        <f t="shared" si="50"/>
        <v>0.13284351557531249</v>
      </c>
      <c r="N108" s="59">
        <v>10.95</v>
      </c>
      <c r="O108" s="59">
        <f t="shared" si="51"/>
        <v>11.08</v>
      </c>
      <c r="P108" s="59">
        <f t="shared" si="110"/>
        <v>11.08</v>
      </c>
      <c r="Q108" s="149">
        <f t="shared" si="111"/>
        <v>0</v>
      </c>
      <c r="R108" s="149">
        <f t="shared" si="112"/>
        <v>0</v>
      </c>
      <c r="S108" s="149">
        <f t="shared" si="113"/>
        <v>0</v>
      </c>
      <c r="T108" s="25">
        <f t="shared" si="114"/>
        <v>0</v>
      </c>
    </row>
    <row r="109" spans="1:20" s="26" customFormat="1">
      <c r="A109" s="165"/>
      <c r="B109" s="113">
        <v>240</v>
      </c>
      <c r="C109" s="113">
        <v>39</v>
      </c>
      <c r="D109" s="21" t="s">
        <v>114</v>
      </c>
      <c r="E109" s="152">
        <v>0</v>
      </c>
      <c r="F109" s="18">
        <v>1</v>
      </c>
      <c r="G109" s="17">
        <f t="shared" ref="G109:G113" si="115">F109*12</f>
        <v>12</v>
      </c>
      <c r="H109" s="17">
        <v>34</v>
      </c>
      <c r="I109" s="17">
        <f t="shared" si="48"/>
        <v>408</v>
      </c>
      <c r="J109" s="24">
        <f t="shared" si="95"/>
        <v>322.21901907311269</v>
      </c>
      <c r="K109" s="59">
        <f>References!$C$17*J109</f>
        <v>0.7717145506801053</v>
      </c>
      <c r="L109" s="59">
        <f>K109/References!$F$19</f>
        <v>0.79706109345187492</v>
      </c>
      <c r="M109" s="66">
        <f t="shared" si="50"/>
        <v>6.6421757787656244E-2</v>
      </c>
      <c r="N109" s="59">
        <v>7</v>
      </c>
      <c r="O109" s="59">
        <f t="shared" si="51"/>
        <v>7.07</v>
      </c>
      <c r="P109" s="59">
        <f t="shared" ref="P109:P113" si="116">O109</f>
        <v>7.07</v>
      </c>
      <c r="Q109" s="149">
        <f t="shared" ref="Q109:Q111" si="117">E109*N109*12</f>
        <v>0</v>
      </c>
      <c r="R109" s="149">
        <f t="shared" ref="R109:R111" si="118">E109*P109*12</f>
        <v>0</v>
      </c>
      <c r="S109" s="149">
        <f t="shared" ref="S109:S111" si="119">R109-Q109</f>
        <v>0</v>
      </c>
      <c r="T109" s="25">
        <f t="shared" ref="T109:T111" si="120">E109*O109*12</f>
        <v>0</v>
      </c>
    </row>
    <row r="110" spans="1:20" s="26" customFormat="1">
      <c r="A110" s="165"/>
      <c r="B110" s="113">
        <v>240</v>
      </c>
      <c r="C110" s="113">
        <v>39</v>
      </c>
      <c r="D110" s="21" t="s">
        <v>115</v>
      </c>
      <c r="E110" s="23">
        <v>0</v>
      </c>
      <c r="F110" s="18">
        <v>1</v>
      </c>
      <c r="G110" s="17">
        <f t="shared" si="115"/>
        <v>12</v>
      </c>
      <c r="H110" s="17">
        <v>47</v>
      </c>
      <c r="I110" s="17">
        <f t="shared" si="48"/>
        <v>564</v>
      </c>
      <c r="J110" s="24">
        <f t="shared" si="95"/>
        <v>445.42040871871461</v>
      </c>
      <c r="K110" s="59">
        <f>References!$C$17*J110</f>
        <v>1.0667818788813221</v>
      </c>
      <c r="L110" s="59">
        <f>K110/References!$F$19</f>
        <v>1.1018197468305331</v>
      </c>
      <c r="M110" s="66">
        <f t="shared" si="50"/>
        <v>9.1818312235877761E-2</v>
      </c>
      <c r="N110" s="59">
        <v>7.91</v>
      </c>
      <c r="O110" s="59">
        <f t="shared" si="51"/>
        <v>8</v>
      </c>
      <c r="P110" s="59">
        <f t="shared" si="116"/>
        <v>8</v>
      </c>
      <c r="Q110" s="149">
        <f t="shared" si="117"/>
        <v>0</v>
      </c>
      <c r="R110" s="149">
        <f t="shared" si="118"/>
        <v>0</v>
      </c>
      <c r="S110" s="149">
        <f t="shared" si="119"/>
        <v>0</v>
      </c>
      <c r="T110" s="25">
        <f t="shared" si="120"/>
        <v>0</v>
      </c>
    </row>
    <row r="111" spans="1:20" s="26" customFormat="1">
      <c r="A111" s="165"/>
      <c r="B111" s="113">
        <v>240</v>
      </c>
      <c r="C111" s="113">
        <v>39</v>
      </c>
      <c r="D111" s="21" t="s">
        <v>116</v>
      </c>
      <c r="E111" s="152">
        <v>0</v>
      </c>
      <c r="F111" s="18">
        <v>1</v>
      </c>
      <c r="G111" s="17">
        <f t="shared" si="115"/>
        <v>12</v>
      </c>
      <c r="H111" s="17">
        <v>68</v>
      </c>
      <c r="I111" s="17">
        <f t="shared" si="48"/>
        <v>816</v>
      </c>
      <c r="J111" s="24">
        <f t="shared" si="95"/>
        <v>644.43803814622538</v>
      </c>
      <c r="K111" s="59">
        <f>References!$C$17*J111</f>
        <v>1.5434291013602106</v>
      </c>
      <c r="L111" s="59">
        <f>K111/References!$F$19</f>
        <v>1.5941221869037498</v>
      </c>
      <c r="M111" s="66">
        <f t="shared" si="50"/>
        <v>0.13284351557531249</v>
      </c>
      <c r="N111" s="59">
        <v>9.73</v>
      </c>
      <c r="O111" s="59">
        <f t="shared" si="51"/>
        <v>9.86</v>
      </c>
      <c r="P111" s="59">
        <f t="shared" si="116"/>
        <v>9.86</v>
      </c>
      <c r="Q111" s="149">
        <f t="shared" si="117"/>
        <v>0</v>
      </c>
      <c r="R111" s="149">
        <f t="shared" si="118"/>
        <v>0</v>
      </c>
      <c r="S111" s="149">
        <f t="shared" si="119"/>
        <v>0</v>
      </c>
      <c r="T111" s="25">
        <f t="shared" si="120"/>
        <v>0</v>
      </c>
    </row>
    <row r="112" spans="1:20" s="26" customFormat="1">
      <c r="A112" s="165"/>
      <c r="B112" s="113">
        <v>240</v>
      </c>
      <c r="C112" s="113">
        <v>39</v>
      </c>
      <c r="D112" s="21" t="s">
        <v>117</v>
      </c>
      <c r="E112" s="23">
        <v>0</v>
      </c>
      <c r="F112" s="18">
        <v>1</v>
      </c>
      <c r="G112" s="17">
        <f t="shared" si="115"/>
        <v>12</v>
      </c>
      <c r="H112" s="17">
        <v>34</v>
      </c>
      <c r="I112" s="17">
        <f t="shared" si="48"/>
        <v>408</v>
      </c>
      <c r="J112" s="24">
        <f t="shared" si="95"/>
        <v>322.21901907311269</v>
      </c>
      <c r="K112" s="59">
        <f>References!$C$17*J112</f>
        <v>0.7717145506801053</v>
      </c>
      <c r="L112" s="59">
        <f>K112/References!$F$19</f>
        <v>0.79706109345187492</v>
      </c>
      <c r="M112" s="66">
        <f t="shared" si="50"/>
        <v>6.6421757787656244E-2</v>
      </c>
      <c r="N112" s="59">
        <v>6.99</v>
      </c>
      <c r="O112" s="59">
        <f t="shared" si="51"/>
        <v>7.06</v>
      </c>
      <c r="P112" s="59">
        <f t="shared" si="116"/>
        <v>7.06</v>
      </c>
      <c r="Q112" s="149">
        <f t="shared" ref="Q112:Q113" si="121">E112*N112*12</f>
        <v>0</v>
      </c>
      <c r="R112" s="149">
        <f t="shared" ref="R112:R113" si="122">E112*P112*12</f>
        <v>0</v>
      </c>
      <c r="S112" s="149">
        <f t="shared" ref="S112:S113" si="123">R112-Q112</f>
        <v>0</v>
      </c>
      <c r="T112" s="25">
        <f t="shared" ref="T112:T113" si="124">E112*O112*12</f>
        <v>0</v>
      </c>
    </row>
    <row r="113" spans="1:20" s="26" customFormat="1">
      <c r="A113" s="165"/>
      <c r="B113" s="113">
        <v>240</v>
      </c>
      <c r="C113" s="113">
        <v>39</v>
      </c>
      <c r="D113" s="21" t="s">
        <v>110</v>
      </c>
      <c r="E113" s="152">
        <v>0</v>
      </c>
      <c r="F113" s="18">
        <v>1</v>
      </c>
      <c r="G113" s="17">
        <f t="shared" si="115"/>
        <v>12</v>
      </c>
      <c r="H113" s="17">
        <v>68</v>
      </c>
      <c r="I113" s="17">
        <f t="shared" si="48"/>
        <v>816</v>
      </c>
      <c r="J113" s="24">
        <f t="shared" si="95"/>
        <v>644.43803814622538</v>
      </c>
      <c r="K113" s="59">
        <f>References!$C$17*J113</f>
        <v>1.5434291013602106</v>
      </c>
      <c r="L113" s="59">
        <f>K113/References!$F$19</f>
        <v>1.5941221869037498</v>
      </c>
      <c r="M113" s="66">
        <f t="shared" si="50"/>
        <v>0.13284351557531249</v>
      </c>
      <c r="N113" s="59">
        <v>9.7100000000000009</v>
      </c>
      <c r="O113" s="59">
        <f t="shared" si="51"/>
        <v>9.84</v>
      </c>
      <c r="P113" s="59">
        <f t="shared" si="116"/>
        <v>9.84</v>
      </c>
      <c r="Q113" s="149">
        <f t="shared" si="121"/>
        <v>0</v>
      </c>
      <c r="R113" s="149">
        <f t="shared" si="122"/>
        <v>0</v>
      </c>
      <c r="S113" s="149">
        <f t="shared" si="123"/>
        <v>0</v>
      </c>
      <c r="T113" s="25">
        <f t="shared" si="124"/>
        <v>0</v>
      </c>
    </row>
    <row r="114" spans="1:20" s="26" customFormat="1">
      <c r="A114" s="138"/>
      <c r="B114" s="113">
        <v>245</v>
      </c>
      <c r="C114" s="113">
        <v>40</v>
      </c>
      <c r="D114" s="21" t="s">
        <v>143</v>
      </c>
      <c r="E114" s="23">
        <v>0</v>
      </c>
      <c r="F114" s="18">
        <v>1</v>
      </c>
      <c r="G114" s="17">
        <f t="shared" ref="G114:G127" si="125">F114*12</f>
        <v>12</v>
      </c>
      <c r="H114" s="17">
        <v>175</v>
      </c>
      <c r="I114" s="17">
        <f t="shared" si="48"/>
        <v>2100</v>
      </c>
      <c r="J114" s="24">
        <f t="shared" ref="J114:J158" si="126">$E$165*I114</f>
        <v>1658.4802452292565</v>
      </c>
      <c r="K114" s="59">
        <f>References!$C$17*J114</f>
        <v>3.9720601873240717</v>
      </c>
      <c r="L114" s="59">
        <f>K114/References!$F$19</f>
        <v>4.1025203339434748</v>
      </c>
      <c r="M114" s="66">
        <f t="shared" si="50"/>
        <v>0.34187669449528957</v>
      </c>
      <c r="N114" s="59">
        <v>19.649999999999999</v>
      </c>
      <c r="O114" s="59">
        <f t="shared" si="51"/>
        <v>19.989999999999998</v>
      </c>
      <c r="P114" s="59">
        <f t="shared" ref="P114:P127" si="127">O114</f>
        <v>19.989999999999998</v>
      </c>
      <c r="Q114" s="149">
        <f t="shared" ref="Q114:Q127" si="128">E114*N114*12</f>
        <v>0</v>
      </c>
      <c r="R114" s="149">
        <f t="shared" ref="R114:R127" si="129">E114*P114*12</f>
        <v>0</v>
      </c>
      <c r="S114" s="149">
        <f t="shared" ref="S114:S127" si="130">R114-Q114</f>
        <v>0</v>
      </c>
      <c r="T114" s="25">
        <f t="shared" ref="T114:T127" si="131">E114*O114*12</f>
        <v>0</v>
      </c>
    </row>
    <row r="115" spans="1:20" s="26" customFormat="1">
      <c r="A115" s="138"/>
      <c r="B115" s="113">
        <v>245</v>
      </c>
      <c r="C115" s="113">
        <v>40</v>
      </c>
      <c r="D115" s="21" t="s">
        <v>144</v>
      </c>
      <c r="E115" s="152">
        <v>0</v>
      </c>
      <c r="F115" s="18">
        <v>1</v>
      </c>
      <c r="G115" s="17">
        <f t="shared" si="125"/>
        <v>12</v>
      </c>
      <c r="H115" s="17">
        <v>250</v>
      </c>
      <c r="I115" s="17">
        <f t="shared" si="48"/>
        <v>3000</v>
      </c>
      <c r="J115" s="24">
        <f t="shared" si="126"/>
        <v>2369.2574931846525</v>
      </c>
      <c r="K115" s="59">
        <f>References!$C$17*J115</f>
        <v>5.6743716961772455</v>
      </c>
      <c r="L115" s="59">
        <f>K115/References!$F$19</f>
        <v>5.8607433342049635</v>
      </c>
      <c r="M115" s="66">
        <f t="shared" si="50"/>
        <v>0.48839527785041364</v>
      </c>
      <c r="N115" s="59">
        <v>25.57</v>
      </c>
      <c r="O115" s="59">
        <f t="shared" si="51"/>
        <v>26.06</v>
      </c>
      <c r="P115" s="59">
        <f t="shared" si="127"/>
        <v>26.06</v>
      </c>
      <c r="Q115" s="149">
        <f t="shared" si="128"/>
        <v>0</v>
      </c>
      <c r="R115" s="149">
        <f t="shared" si="129"/>
        <v>0</v>
      </c>
      <c r="S115" s="149">
        <f t="shared" si="130"/>
        <v>0</v>
      </c>
      <c r="T115" s="25">
        <f t="shared" si="131"/>
        <v>0</v>
      </c>
    </row>
    <row r="116" spans="1:20" s="26" customFormat="1">
      <c r="A116" s="138"/>
      <c r="B116" s="113">
        <v>245</v>
      </c>
      <c r="C116" s="113">
        <v>40</v>
      </c>
      <c r="D116" s="21" t="s">
        <v>145</v>
      </c>
      <c r="E116" s="23">
        <v>0</v>
      </c>
      <c r="F116" s="18">
        <v>1</v>
      </c>
      <c r="G116" s="17">
        <f t="shared" si="125"/>
        <v>12</v>
      </c>
      <c r="H116" s="17">
        <v>324</v>
      </c>
      <c r="I116" s="17">
        <f t="shared" si="48"/>
        <v>3888</v>
      </c>
      <c r="J116" s="24">
        <f t="shared" si="126"/>
        <v>3070.5577111673092</v>
      </c>
      <c r="K116" s="59">
        <f>References!$C$17*J116</f>
        <v>7.3539857182457098</v>
      </c>
      <c r="L116" s="59">
        <f>K116/References!$F$19</f>
        <v>7.5955233611296329</v>
      </c>
      <c r="M116" s="66">
        <f t="shared" si="50"/>
        <v>0.63296028009413607</v>
      </c>
      <c r="N116" s="59">
        <v>33.1</v>
      </c>
      <c r="O116" s="59">
        <f t="shared" si="51"/>
        <v>33.729999999999997</v>
      </c>
      <c r="P116" s="59">
        <f t="shared" si="127"/>
        <v>33.729999999999997</v>
      </c>
      <c r="Q116" s="149">
        <f t="shared" si="128"/>
        <v>0</v>
      </c>
      <c r="R116" s="149">
        <f t="shared" si="129"/>
        <v>0</v>
      </c>
      <c r="S116" s="149">
        <f t="shared" si="130"/>
        <v>0</v>
      </c>
      <c r="T116" s="25">
        <f t="shared" si="131"/>
        <v>0</v>
      </c>
    </row>
    <row r="117" spans="1:20" s="26" customFormat="1">
      <c r="A117" s="138"/>
      <c r="B117" s="113">
        <v>245</v>
      </c>
      <c r="C117" s="113">
        <v>40</v>
      </c>
      <c r="D117" s="21" t="s">
        <v>146</v>
      </c>
      <c r="E117" s="152">
        <v>0</v>
      </c>
      <c r="F117" s="18">
        <v>1</v>
      </c>
      <c r="G117" s="17">
        <f t="shared" si="125"/>
        <v>12</v>
      </c>
      <c r="H117" s="17">
        <v>473</v>
      </c>
      <c r="I117" s="17">
        <f t="shared" si="48"/>
        <v>5676</v>
      </c>
      <c r="J117" s="24">
        <f t="shared" si="126"/>
        <v>4482.6351771053623</v>
      </c>
      <c r="K117" s="59">
        <f>References!$C$17*J117</f>
        <v>10.735911249167348</v>
      </c>
      <c r="L117" s="59">
        <f>K117/References!$F$19</f>
        <v>11.08852638831579</v>
      </c>
      <c r="M117" s="66">
        <f t="shared" si="50"/>
        <v>0.92404386569298247</v>
      </c>
      <c r="N117" s="59">
        <v>45.41</v>
      </c>
      <c r="O117" s="59">
        <f t="shared" si="51"/>
        <v>46.33</v>
      </c>
      <c r="P117" s="59">
        <f t="shared" si="127"/>
        <v>46.33</v>
      </c>
      <c r="Q117" s="149">
        <f t="shared" si="128"/>
        <v>0</v>
      </c>
      <c r="R117" s="149">
        <f t="shared" si="129"/>
        <v>0</v>
      </c>
      <c r="S117" s="149">
        <f t="shared" si="130"/>
        <v>0</v>
      </c>
      <c r="T117" s="25">
        <f t="shared" si="131"/>
        <v>0</v>
      </c>
    </row>
    <row r="118" spans="1:20" s="26" customFormat="1">
      <c r="A118" s="138"/>
      <c r="B118" s="113">
        <v>245</v>
      </c>
      <c r="C118" s="113">
        <v>40</v>
      </c>
      <c r="D118" s="21" t="s">
        <v>147</v>
      </c>
      <c r="E118" s="23">
        <v>0</v>
      </c>
      <c r="F118" s="18">
        <v>1</v>
      </c>
      <c r="G118" s="17">
        <f t="shared" si="125"/>
        <v>12</v>
      </c>
      <c r="H118" s="17">
        <v>613</v>
      </c>
      <c r="I118" s="17">
        <f t="shared" si="48"/>
        <v>7356</v>
      </c>
      <c r="J118" s="24">
        <f t="shared" si="126"/>
        <v>5809.419373288767</v>
      </c>
      <c r="K118" s="59">
        <f>References!$C$17*J118</f>
        <v>13.913559399026605</v>
      </c>
      <c r="L118" s="59">
        <f>K118/References!$F$19</f>
        <v>14.370542655470569</v>
      </c>
      <c r="M118" s="66">
        <f t="shared" si="50"/>
        <v>1.1975452212892141</v>
      </c>
      <c r="N118" s="59">
        <v>58.52</v>
      </c>
      <c r="O118" s="59">
        <f t="shared" si="51"/>
        <v>59.72</v>
      </c>
      <c r="P118" s="59">
        <f t="shared" si="127"/>
        <v>59.72</v>
      </c>
      <c r="Q118" s="149">
        <f t="shared" si="128"/>
        <v>0</v>
      </c>
      <c r="R118" s="149">
        <f t="shared" si="129"/>
        <v>0</v>
      </c>
      <c r="S118" s="149">
        <f t="shared" si="130"/>
        <v>0</v>
      </c>
      <c r="T118" s="25">
        <f t="shared" si="131"/>
        <v>0</v>
      </c>
    </row>
    <row r="119" spans="1:20" s="26" customFormat="1">
      <c r="A119" s="138"/>
      <c r="B119" s="113">
        <v>245</v>
      </c>
      <c r="C119" s="113">
        <v>40</v>
      </c>
      <c r="D119" s="21" t="s">
        <v>148</v>
      </c>
      <c r="E119" s="152">
        <v>0</v>
      </c>
      <c r="F119" s="18">
        <v>1</v>
      </c>
      <c r="G119" s="17">
        <f t="shared" si="125"/>
        <v>12</v>
      </c>
      <c r="H119" s="17">
        <v>766</v>
      </c>
      <c r="I119" s="17">
        <f t="shared" si="48"/>
        <v>9192</v>
      </c>
      <c r="J119" s="24">
        <f t="shared" si="126"/>
        <v>7259.4049591177745</v>
      </c>
      <c r="K119" s="59">
        <f>References!$C$17*J119</f>
        <v>17.386274877087079</v>
      </c>
      <c r="L119" s="59">
        <f>K119/References!$F$19</f>
        <v>17.957317576004009</v>
      </c>
      <c r="M119" s="66">
        <f t="shared" si="50"/>
        <v>1.4964431313336675</v>
      </c>
      <c r="N119" s="59">
        <v>69.650000000000006</v>
      </c>
      <c r="O119" s="59">
        <f t="shared" ref="O119:O158" si="132">ROUND(M119+N119,2)</f>
        <v>71.150000000000006</v>
      </c>
      <c r="P119" s="59">
        <f t="shared" si="127"/>
        <v>71.150000000000006</v>
      </c>
      <c r="Q119" s="149">
        <f t="shared" si="128"/>
        <v>0</v>
      </c>
      <c r="R119" s="149">
        <f t="shared" si="129"/>
        <v>0</v>
      </c>
      <c r="S119" s="149">
        <f t="shared" si="130"/>
        <v>0</v>
      </c>
      <c r="T119" s="25">
        <f t="shared" si="131"/>
        <v>0</v>
      </c>
    </row>
    <row r="120" spans="1:20" s="26" customFormat="1">
      <c r="A120" s="138"/>
      <c r="B120" s="113">
        <v>245</v>
      </c>
      <c r="C120" s="113">
        <v>40</v>
      </c>
      <c r="D120" s="21" t="s">
        <v>149</v>
      </c>
      <c r="E120" s="23">
        <v>0</v>
      </c>
      <c r="F120" s="18">
        <v>1</v>
      </c>
      <c r="G120" s="17">
        <f t="shared" si="125"/>
        <v>12</v>
      </c>
      <c r="H120" s="17">
        <v>840</v>
      </c>
      <c r="I120" s="17">
        <f t="shared" si="48"/>
        <v>10080</v>
      </c>
      <c r="J120" s="24">
        <f t="shared" si="126"/>
        <v>7960.7051771004317</v>
      </c>
      <c r="K120" s="59">
        <f>References!$C$17*J120</f>
        <v>19.065888899155546</v>
      </c>
      <c r="L120" s="59">
        <f>K120/References!$F$19</f>
        <v>19.69209760292868</v>
      </c>
      <c r="M120" s="66">
        <f t="shared" si="50"/>
        <v>1.6410081335773901</v>
      </c>
      <c r="N120" s="59">
        <v>78</v>
      </c>
      <c r="O120" s="59">
        <f t="shared" si="132"/>
        <v>79.64</v>
      </c>
      <c r="P120" s="59">
        <f t="shared" si="127"/>
        <v>79.64</v>
      </c>
      <c r="Q120" s="149">
        <f t="shared" si="128"/>
        <v>0</v>
      </c>
      <c r="R120" s="149">
        <f t="shared" si="129"/>
        <v>0</v>
      </c>
      <c r="S120" s="149">
        <f t="shared" si="130"/>
        <v>0</v>
      </c>
      <c r="T120" s="25">
        <f t="shared" si="131"/>
        <v>0</v>
      </c>
    </row>
    <row r="121" spans="1:20" s="26" customFormat="1">
      <c r="A121" s="138"/>
      <c r="B121" s="113">
        <v>245</v>
      </c>
      <c r="C121" s="113">
        <v>40</v>
      </c>
      <c r="D121" s="10" t="s">
        <v>173</v>
      </c>
      <c r="E121" s="23">
        <v>0</v>
      </c>
      <c r="F121" s="18">
        <v>1</v>
      </c>
      <c r="G121" s="17">
        <f t="shared" si="125"/>
        <v>12</v>
      </c>
      <c r="H121" s="17">
        <v>175</v>
      </c>
      <c r="I121" s="17">
        <f t="shared" si="48"/>
        <v>2100</v>
      </c>
      <c r="J121" s="24">
        <f t="shared" si="126"/>
        <v>1658.4802452292565</v>
      </c>
      <c r="K121" s="59">
        <f>References!$C$17*J121</f>
        <v>3.9720601873240717</v>
      </c>
      <c r="L121" s="59">
        <f>K121/References!$F$19</f>
        <v>4.1025203339434748</v>
      </c>
      <c r="M121" s="66">
        <f t="shared" si="50"/>
        <v>0.34187669449528957</v>
      </c>
      <c r="N121" s="59">
        <v>22.11</v>
      </c>
      <c r="O121" s="59">
        <f t="shared" si="132"/>
        <v>22.45</v>
      </c>
      <c r="P121" s="59">
        <f t="shared" si="127"/>
        <v>22.45</v>
      </c>
      <c r="Q121" s="149">
        <f t="shared" si="128"/>
        <v>0</v>
      </c>
      <c r="R121" s="149">
        <f t="shared" si="129"/>
        <v>0</v>
      </c>
      <c r="S121" s="149">
        <f t="shared" si="130"/>
        <v>0</v>
      </c>
      <c r="T121" s="25">
        <f t="shared" si="131"/>
        <v>0</v>
      </c>
    </row>
    <row r="122" spans="1:20" s="26" customFormat="1">
      <c r="A122" s="138"/>
      <c r="B122" s="113">
        <v>245</v>
      </c>
      <c r="C122" s="113">
        <v>40</v>
      </c>
      <c r="D122" s="10" t="s">
        <v>175</v>
      </c>
      <c r="E122" s="23">
        <v>0</v>
      </c>
      <c r="F122" s="18">
        <v>1</v>
      </c>
      <c r="G122" s="17">
        <f t="shared" si="125"/>
        <v>12</v>
      </c>
      <c r="H122" s="17">
        <v>250</v>
      </c>
      <c r="I122" s="17">
        <f t="shared" si="48"/>
        <v>3000</v>
      </c>
      <c r="J122" s="24">
        <f t="shared" si="126"/>
        <v>2369.2574931846525</v>
      </c>
      <c r="K122" s="59">
        <f>References!$C$17*J122</f>
        <v>5.6743716961772455</v>
      </c>
      <c r="L122" s="59">
        <f>K122/References!$F$19</f>
        <v>5.8607433342049635</v>
      </c>
      <c r="M122" s="66">
        <f t="shared" si="50"/>
        <v>0.48839527785041364</v>
      </c>
      <c r="N122" s="59">
        <v>28.03</v>
      </c>
      <c r="O122" s="59">
        <f t="shared" si="132"/>
        <v>28.52</v>
      </c>
      <c r="P122" s="59">
        <f t="shared" si="127"/>
        <v>28.52</v>
      </c>
      <c r="Q122" s="149">
        <f t="shared" si="128"/>
        <v>0</v>
      </c>
      <c r="R122" s="149">
        <f t="shared" si="129"/>
        <v>0</v>
      </c>
      <c r="S122" s="149">
        <f t="shared" si="130"/>
        <v>0</v>
      </c>
      <c r="T122" s="25">
        <f t="shared" si="131"/>
        <v>0</v>
      </c>
    </row>
    <row r="123" spans="1:20" s="26" customFormat="1">
      <c r="A123" s="138"/>
      <c r="B123" s="113">
        <v>245</v>
      </c>
      <c r="C123" s="113">
        <v>40</v>
      </c>
      <c r="D123" s="10" t="s">
        <v>174</v>
      </c>
      <c r="E123" s="23">
        <v>0</v>
      </c>
      <c r="F123" s="18">
        <v>1</v>
      </c>
      <c r="G123" s="17">
        <f t="shared" si="125"/>
        <v>12</v>
      </c>
      <c r="H123" s="17">
        <v>324</v>
      </c>
      <c r="I123" s="17">
        <f t="shared" si="48"/>
        <v>3888</v>
      </c>
      <c r="J123" s="24">
        <f t="shared" si="126"/>
        <v>3070.5577111673092</v>
      </c>
      <c r="K123" s="59">
        <f>References!$C$17*J123</f>
        <v>7.3539857182457098</v>
      </c>
      <c r="L123" s="59">
        <f>K123/References!$F$19</f>
        <v>7.5955233611296329</v>
      </c>
      <c r="M123" s="66">
        <f t="shared" si="50"/>
        <v>0.63296028009413607</v>
      </c>
      <c r="N123" s="59">
        <v>35.520000000000003</v>
      </c>
      <c r="O123" s="59">
        <f t="shared" si="132"/>
        <v>36.15</v>
      </c>
      <c r="P123" s="59">
        <f t="shared" si="127"/>
        <v>36.15</v>
      </c>
      <c r="Q123" s="149">
        <f t="shared" si="128"/>
        <v>0</v>
      </c>
      <c r="R123" s="149">
        <f t="shared" si="129"/>
        <v>0</v>
      </c>
      <c r="S123" s="149">
        <f t="shared" si="130"/>
        <v>0</v>
      </c>
      <c r="T123" s="25">
        <f t="shared" si="131"/>
        <v>0</v>
      </c>
    </row>
    <row r="124" spans="1:20" s="26" customFormat="1">
      <c r="A124" s="138"/>
      <c r="B124" s="113">
        <v>245</v>
      </c>
      <c r="C124" s="113">
        <v>40</v>
      </c>
      <c r="D124" s="10" t="s">
        <v>176</v>
      </c>
      <c r="E124" s="23">
        <v>0</v>
      </c>
      <c r="F124" s="18">
        <v>1</v>
      </c>
      <c r="G124" s="17">
        <f t="shared" si="125"/>
        <v>12</v>
      </c>
      <c r="H124" s="17">
        <v>473</v>
      </c>
      <c r="I124" s="17">
        <f t="shared" si="48"/>
        <v>5676</v>
      </c>
      <c r="J124" s="24">
        <f t="shared" si="126"/>
        <v>4482.6351771053623</v>
      </c>
      <c r="K124" s="59">
        <f>References!$C$17*J124</f>
        <v>10.735911249167348</v>
      </c>
      <c r="L124" s="59">
        <f>K124/References!$F$19</f>
        <v>11.08852638831579</v>
      </c>
      <c r="M124" s="66">
        <f t="shared" si="50"/>
        <v>0.92404386569298247</v>
      </c>
      <c r="N124" s="59">
        <v>47.85</v>
      </c>
      <c r="O124" s="59">
        <f t="shared" si="132"/>
        <v>48.77</v>
      </c>
      <c r="P124" s="59">
        <f t="shared" si="127"/>
        <v>48.77</v>
      </c>
      <c r="Q124" s="149">
        <f t="shared" si="128"/>
        <v>0</v>
      </c>
      <c r="R124" s="149">
        <f t="shared" si="129"/>
        <v>0</v>
      </c>
      <c r="S124" s="149">
        <f t="shared" si="130"/>
        <v>0</v>
      </c>
      <c r="T124" s="25">
        <f t="shared" si="131"/>
        <v>0</v>
      </c>
    </row>
    <row r="125" spans="1:20" s="26" customFormat="1">
      <c r="A125" s="138"/>
      <c r="B125" s="113">
        <v>245</v>
      </c>
      <c r="C125" s="113">
        <v>40</v>
      </c>
      <c r="D125" s="10" t="s">
        <v>177</v>
      </c>
      <c r="E125" s="23">
        <v>0</v>
      </c>
      <c r="F125" s="18">
        <v>1</v>
      </c>
      <c r="G125" s="17">
        <f t="shared" si="125"/>
        <v>12</v>
      </c>
      <c r="H125" s="17">
        <v>613</v>
      </c>
      <c r="I125" s="17">
        <f t="shared" si="48"/>
        <v>7356</v>
      </c>
      <c r="J125" s="24">
        <f t="shared" si="126"/>
        <v>5809.419373288767</v>
      </c>
      <c r="K125" s="59">
        <f>References!$C$17*J125</f>
        <v>13.913559399026605</v>
      </c>
      <c r="L125" s="59">
        <f>K125/References!$F$19</f>
        <v>14.370542655470569</v>
      </c>
      <c r="M125" s="66">
        <f t="shared" si="50"/>
        <v>1.1975452212892141</v>
      </c>
      <c r="N125" s="59">
        <v>60.96</v>
      </c>
      <c r="O125" s="59">
        <f t="shared" si="132"/>
        <v>62.16</v>
      </c>
      <c r="P125" s="59">
        <f t="shared" si="127"/>
        <v>62.16</v>
      </c>
      <c r="Q125" s="149">
        <f t="shared" si="128"/>
        <v>0</v>
      </c>
      <c r="R125" s="149">
        <f t="shared" si="129"/>
        <v>0</v>
      </c>
      <c r="S125" s="149">
        <f t="shared" si="130"/>
        <v>0</v>
      </c>
      <c r="T125" s="25">
        <f t="shared" si="131"/>
        <v>0</v>
      </c>
    </row>
    <row r="126" spans="1:20" s="26" customFormat="1">
      <c r="A126" s="138"/>
      <c r="B126" s="113">
        <v>245</v>
      </c>
      <c r="C126" s="113">
        <v>40</v>
      </c>
      <c r="D126" s="10" t="s">
        <v>178</v>
      </c>
      <c r="E126" s="23">
        <v>0</v>
      </c>
      <c r="F126" s="18">
        <v>1</v>
      </c>
      <c r="G126" s="17">
        <f t="shared" si="125"/>
        <v>12</v>
      </c>
      <c r="H126" s="17">
        <v>766</v>
      </c>
      <c r="I126" s="17">
        <f t="shared" si="48"/>
        <v>9192</v>
      </c>
      <c r="J126" s="24">
        <f t="shared" si="126"/>
        <v>7259.4049591177745</v>
      </c>
      <c r="K126" s="59">
        <f>References!$C$17*J126</f>
        <v>17.386274877087079</v>
      </c>
      <c r="L126" s="59">
        <f>K126/References!$F$19</f>
        <v>17.957317576004009</v>
      </c>
      <c r="M126" s="66">
        <f t="shared" si="50"/>
        <v>1.4964431313336675</v>
      </c>
      <c r="N126" s="59">
        <v>72.09</v>
      </c>
      <c r="O126" s="59">
        <f t="shared" si="132"/>
        <v>73.59</v>
      </c>
      <c r="P126" s="59">
        <f t="shared" si="127"/>
        <v>73.59</v>
      </c>
      <c r="Q126" s="149">
        <f t="shared" si="128"/>
        <v>0</v>
      </c>
      <c r="R126" s="149">
        <f t="shared" si="129"/>
        <v>0</v>
      </c>
      <c r="S126" s="149">
        <f t="shared" si="130"/>
        <v>0</v>
      </c>
      <c r="T126" s="25">
        <f t="shared" si="131"/>
        <v>0</v>
      </c>
    </row>
    <row r="127" spans="1:20" s="26" customFormat="1">
      <c r="A127" s="138"/>
      <c r="B127" s="113">
        <v>245</v>
      </c>
      <c r="C127" s="113">
        <v>40</v>
      </c>
      <c r="D127" s="10" t="s">
        <v>179</v>
      </c>
      <c r="E127" s="23">
        <v>0</v>
      </c>
      <c r="F127" s="18">
        <v>1</v>
      </c>
      <c r="G127" s="17">
        <f t="shared" si="125"/>
        <v>12</v>
      </c>
      <c r="H127" s="17">
        <v>840</v>
      </c>
      <c r="I127" s="17">
        <f t="shared" si="48"/>
        <v>10080</v>
      </c>
      <c r="J127" s="24">
        <f t="shared" si="126"/>
        <v>7960.7051771004317</v>
      </c>
      <c r="K127" s="59">
        <f>References!$C$17*J127</f>
        <v>19.065888899155546</v>
      </c>
      <c r="L127" s="59">
        <f>K127/References!$F$19</f>
        <v>19.69209760292868</v>
      </c>
      <c r="M127" s="66">
        <f t="shared" si="50"/>
        <v>1.6410081335773901</v>
      </c>
      <c r="N127" s="59">
        <v>80.42</v>
      </c>
      <c r="O127" s="59">
        <f t="shared" si="132"/>
        <v>82.06</v>
      </c>
      <c r="P127" s="59">
        <f t="shared" si="127"/>
        <v>82.06</v>
      </c>
      <c r="Q127" s="149">
        <f t="shared" si="128"/>
        <v>0</v>
      </c>
      <c r="R127" s="149">
        <f t="shared" si="129"/>
        <v>0</v>
      </c>
      <c r="S127" s="149">
        <f t="shared" si="130"/>
        <v>0</v>
      </c>
      <c r="T127" s="25">
        <f t="shared" si="131"/>
        <v>0</v>
      </c>
    </row>
    <row r="128" spans="1:20" s="26" customFormat="1">
      <c r="A128" s="138"/>
      <c r="B128" s="113">
        <v>245</v>
      </c>
      <c r="C128" s="113">
        <v>40</v>
      </c>
      <c r="D128" s="21" t="s">
        <v>150</v>
      </c>
      <c r="E128" s="23">
        <v>0</v>
      </c>
      <c r="F128" s="18">
        <v>1</v>
      </c>
      <c r="G128" s="17">
        <f t="shared" ref="G128:G134" si="133">F128*12</f>
        <v>12</v>
      </c>
      <c r="H128" s="17">
        <v>175</v>
      </c>
      <c r="I128" s="17">
        <f t="shared" ref="I128:I134" si="134">G128*H128</f>
        <v>2100</v>
      </c>
      <c r="J128" s="24">
        <f t="shared" si="126"/>
        <v>1658.4802452292565</v>
      </c>
      <c r="K128" s="59">
        <f>References!$C$17*J128</f>
        <v>3.9720601873240717</v>
      </c>
      <c r="L128" s="59">
        <f>K128/References!$F$19</f>
        <v>4.1025203339434748</v>
      </c>
      <c r="M128" s="66">
        <f t="shared" si="50"/>
        <v>0.34187669449528957</v>
      </c>
      <c r="N128" s="59">
        <v>31.15</v>
      </c>
      <c r="O128" s="59">
        <f t="shared" si="132"/>
        <v>31.49</v>
      </c>
      <c r="P128" s="59">
        <f t="shared" ref="P128:P134" si="135">O128</f>
        <v>31.49</v>
      </c>
      <c r="Q128" s="149">
        <f t="shared" ref="Q128:Q134" si="136">E128*N128*12</f>
        <v>0</v>
      </c>
      <c r="R128" s="149">
        <f t="shared" ref="R128:R134" si="137">E128*P128*12</f>
        <v>0</v>
      </c>
      <c r="S128" s="149">
        <f t="shared" ref="S128:S134" si="138">R128-Q128</f>
        <v>0</v>
      </c>
      <c r="T128" s="25">
        <f t="shared" ref="T128:T134" si="139">E128*O128*12</f>
        <v>0</v>
      </c>
    </row>
    <row r="129" spans="1:20" s="26" customFormat="1">
      <c r="A129" s="138"/>
      <c r="B129" s="113">
        <v>245</v>
      </c>
      <c r="C129" s="113">
        <v>40</v>
      </c>
      <c r="D129" s="21" t="s">
        <v>151</v>
      </c>
      <c r="E129" s="23">
        <v>0</v>
      </c>
      <c r="F129" s="18">
        <v>1</v>
      </c>
      <c r="G129" s="17">
        <f t="shared" si="133"/>
        <v>12</v>
      </c>
      <c r="H129" s="17">
        <v>250</v>
      </c>
      <c r="I129" s="17">
        <f t="shared" si="134"/>
        <v>3000</v>
      </c>
      <c r="J129" s="24">
        <f t="shared" si="126"/>
        <v>2369.2574931846525</v>
      </c>
      <c r="K129" s="59">
        <f>References!$C$17*J129</f>
        <v>5.6743716961772455</v>
      </c>
      <c r="L129" s="59">
        <f>K129/References!$F$19</f>
        <v>5.8607433342049635</v>
      </c>
      <c r="M129" s="66">
        <f t="shared" si="50"/>
        <v>0.48839527785041364</v>
      </c>
      <c r="N129" s="59">
        <v>39.97</v>
      </c>
      <c r="O129" s="59">
        <f t="shared" si="132"/>
        <v>40.46</v>
      </c>
      <c r="P129" s="59">
        <f t="shared" si="135"/>
        <v>40.46</v>
      </c>
      <c r="Q129" s="149">
        <f t="shared" si="136"/>
        <v>0</v>
      </c>
      <c r="R129" s="149">
        <f t="shared" si="137"/>
        <v>0</v>
      </c>
      <c r="S129" s="149">
        <f t="shared" si="138"/>
        <v>0</v>
      </c>
      <c r="T129" s="25">
        <f t="shared" si="139"/>
        <v>0</v>
      </c>
    </row>
    <row r="130" spans="1:20" s="26" customFormat="1">
      <c r="A130" s="138"/>
      <c r="B130" s="113">
        <v>245</v>
      </c>
      <c r="C130" s="113">
        <v>40</v>
      </c>
      <c r="D130" s="21" t="s">
        <v>152</v>
      </c>
      <c r="E130" s="23">
        <v>0</v>
      </c>
      <c r="F130" s="18">
        <v>1</v>
      </c>
      <c r="G130" s="17">
        <f t="shared" si="133"/>
        <v>12</v>
      </c>
      <c r="H130" s="17">
        <v>324</v>
      </c>
      <c r="I130" s="17">
        <f t="shared" si="134"/>
        <v>3888</v>
      </c>
      <c r="J130" s="24">
        <f t="shared" si="126"/>
        <v>3070.5577111673092</v>
      </c>
      <c r="K130" s="59">
        <f>References!$C$17*J130</f>
        <v>7.3539857182457098</v>
      </c>
      <c r="L130" s="59">
        <f>K130/References!$F$19</f>
        <v>7.5955233611296329</v>
      </c>
      <c r="M130" s="66">
        <f t="shared" si="50"/>
        <v>0.63296028009413607</v>
      </c>
      <c r="N130" s="59">
        <v>44.43</v>
      </c>
      <c r="O130" s="59">
        <f t="shared" si="132"/>
        <v>45.06</v>
      </c>
      <c r="P130" s="59">
        <f t="shared" si="135"/>
        <v>45.06</v>
      </c>
      <c r="Q130" s="149">
        <f t="shared" si="136"/>
        <v>0</v>
      </c>
      <c r="R130" s="149">
        <f t="shared" si="137"/>
        <v>0</v>
      </c>
      <c r="S130" s="149">
        <f t="shared" si="138"/>
        <v>0</v>
      </c>
      <c r="T130" s="25">
        <f t="shared" si="139"/>
        <v>0</v>
      </c>
    </row>
    <row r="131" spans="1:20" s="26" customFormat="1">
      <c r="A131" s="138"/>
      <c r="B131" s="113">
        <v>245</v>
      </c>
      <c r="C131" s="113">
        <v>40</v>
      </c>
      <c r="D131" s="21" t="s">
        <v>153</v>
      </c>
      <c r="E131" s="23">
        <v>0</v>
      </c>
      <c r="F131" s="18">
        <v>1</v>
      </c>
      <c r="G131" s="17">
        <f t="shared" si="133"/>
        <v>12</v>
      </c>
      <c r="H131" s="17">
        <v>473</v>
      </c>
      <c r="I131" s="17">
        <f t="shared" si="134"/>
        <v>5676</v>
      </c>
      <c r="J131" s="24">
        <f t="shared" si="126"/>
        <v>4482.6351771053623</v>
      </c>
      <c r="K131" s="59">
        <f>References!$C$17*J131</f>
        <v>10.735911249167348</v>
      </c>
      <c r="L131" s="59">
        <f>K131/References!$F$19</f>
        <v>11.08852638831579</v>
      </c>
      <c r="M131" s="66">
        <f t="shared" si="50"/>
        <v>0.92404386569298247</v>
      </c>
      <c r="N131" s="59">
        <v>55.74</v>
      </c>
      <c r="O131" s="59">
        <f t="shared" si="132"/>
        <v>56.66</v>
      </c>
      <c r="P131" s="59">
        <f t="shared" si="135"/>
        <v>56.66</v>
      </c>
      <c r="Q131" s="149">
        <f t="shared" si="136"/>
        <v>0</v>
      </c>
      <c r="R131" s="149">
        <f t="shared" si="137"/>
        <v>0</v>
      </c>
      <c r="S131" s="149">
        <f t="shared" si="138"/>
        <v>0</v>
      </c>
      <c r="T131" s="25">
        <f t="shared" si="139"/>
        <v>0</v>
      </c>
    </row>
    <row r="132" spans="1:20" s="26" customFormat="1">
      <c r="A132" s="138"/>
      <c r="B132" s="113">
        <v>245</v>
      </c>
      <c r="C132" s="113">
        <v>40</v>
      </c>
      <c r="D132" s="21" t="s">
        <v>154</v>
      </c>
      <c r="E132" s="23">
        <v>0</v>
      </c>
      <c r="F132" s="18">
        <v>1</v>
      </c>
      <c r="G132" s="17">
        <f t="shared" si="133"/>
        <v>12</v>
      </c>
      <c r="H132" s="17">
        <v>613</v>
      </c>
      <c r="I132" s="17">
        <f t="shared" si="134"/>
        <v>7356</v>
      </c>
      <c r="J132" s="24">
        <f t="shared" si="126"/>
        <v>5809.419373288767</v>
      </c>
      <c r="K132" s="59">
        <f>References!$C$17*J132</f>
        <v>13.913559399026605</v>
      </c>
      <c r="L132" s="59">
        <f>K132/References!$F$19</f>
        <v>14.370542655470569</v>
      </c>
      <c r="M132" s="66">
        <f t="shared" si="50"/>
        <v>1.1975452212892141</v>
      </c>
      <c r="N132" s="59">
        <v>69.09</v>
      </c>
      <c r="O132" s="59">
        <f t="shared" si="132"/>
        <v>70.290000000000006</v>
      </c>
      <c r="P132" s="59">
        <f t="shared" si="135"/>
        <v>70.290000000000006</v>
      </c>
      <c r="Q132" s="149">
        <f t="shared" si="136"/>
        <v>0</v>
      </c>
      <c r="R132" s="149">
        <f t="shared" si="137"/>
        <v>0</v>
      </c>
      <c r="S132" s="149">
        <f t="shared" si="138"/>
        <v>0</v>
      </c>
      <c r="T132" s="25">
        <f t="shared" si="139"/>
        <v>0</v>
      </c>
    </row>
    <row r="133" spans="1:20" s="26" customFormat="1">
      <c r="A133" s="138"/>
      <c r="B133" s="113">
        <v>245</v>
      </c>
      <c r="C133" s="113">
        <v>40</v>
      </c>
      <c r="D133" s="21" t="s">
        <v>155</v>
      </c>
      <c r="E133" s="23">
        <v>0</v>
      </c>
      <c r="F133" s="18">
        <v>1</v>
      </c>
      <c r="G133" s="17">
        <f t="shared" si="133"/>
        <v>12</v>
      </c>
      <c r="H133" s="17">
        <v>766</v>
      </c>
      <c r="I133" s="17">
        <f t="shared" si="134"/>
        <v>9192</v>
      </c>
      <c r="J133" s="24">
        <f t="shared" si="126"/>
        <v>7259.4049591177745</v>
      </c>
      <c r="K133" s="59">
        <f>References!$C$17*J133</f>
        <v>17.386274877087079</v>
      </c>
      <c r="L133" s="59">
        <f>K133/References!$F$19</f>
        <v>17.957317576004009</v>
      </c>
      <c r="M133" s="66">
        <f t="shared" si="50"/>
        <v>1.4964431313336675</v>
      </c>
      <c r="N133" s="59">
        <v>81.849999999999994</v>
      </c>
      <c r="O133" s="59">
        <f t="shared" si="132"/>
        <v>83.35</v>
      </c>
      <c r="P133" s="59">
        <f t="shared" si="135"/>
        <v>83.35</v>
      </c>
      <c r="Q133" s="149">
        <f t="shared" si="136"/>
        <v>0</v>
      </c>
      <c r="R133" s="149">
        <f t="shared" si="137"/>
        <v>0</v>
      </c>
      <c r="S133" s="149">
        <f t="shared" si="138"/>
        <v>0</v>
      </c>
      <c r="T133" s="25">
        <f t="shared" si="139"/>
        <v>0</v>
      </c>
    </row>
    <row r="134" spans="1:20" s="26" customFormat="1">
      <c r="A134" s="138"/>
      <c r="B134" s="113">
        <v>245</v>
      </c>
      <c r="C134" s="113">
        <v>40</v>
      </c>
      <c r="D134" s="21" t="s">
        <v>156</v>
      </c>
      <c r="E134" s="23">
        <v>0</v>
      </c>
      <c r="F134" s="18">
        <v>1</v>
      </c>
      <c r="G134" s="17">
        <f t="shared" si="133"/>
        <v>12</v>
      </c>
      <c r="H134" s="17">
        <v>840</v>
      </c>
      <c r="I134" s="17">
        <f t="shared" si="134"/>
        <v>10080</v>
      </c>
      <c r="J134" s="24">
        <f t="shared" si="126"/>
        <v>7960.7051771004317</v>
      </c>
      <c r="K134" s="59">
        <f>References!$C$17*J134</f>
        <v>19.065888899155546</v>
      </c>
      <c r="L134" s="59">
        <f>K134/References!$F$19</f>
        <v>19.69209760292868</v>
      </c>
      <c r="M134" s="66">
        <f t="shared" si="50"/>
        <v>1.6410081335773901</v>
      </c>
      <c r="N134" s="59">
        <v>91.46</v>
      </c>
      <c r="O134" s="59">
        <f t="shared" si="132"/>
        <v>93.1</v>
      </c>
      <c r="P134" s="59">
        <f t="shared" si="135"/>
        <v>93.1</v>
      </c>
      <c r="Q134" s="149">
        <f t="shared" si="136"/>
        <v>0</v>
      </c>
      <c r="R134" s="149">
        <f t="shared" si="137"/>
        <v>0</v>
      </c>
      <c r="S134" s="149">
        <f t="shared" si="138"/>
        <v>0</v>
      </c>
      <c r="T134" s="25">
        <f t="shared" si="139"/>
        <v>0</v>
      </c>
    </row>
    <row r="135" spans="1:20" s="26" customFormat="1">
      <c r="A135" s="138"/>
      <c r="B135" s="113">
        <v>250</v>
      </c>
      <c r="C135" s="113">
        <v>41</v>
      </c>
      <c r="D135" s="21" t="s">
        <v>157</v>
      </c>
      <c r="E135" s="23">
        <v>0</v>
      </c>
      <c r="F135" s="18">
        <v>1</v>
      </c>
      <c r="G135" s="17">
        <f t="shared" ref="G135:G158" si="140">F135*12</f>
        <v>12</v>
      </c>
      <c r="H135" s="17">
        <v>892</v>
      </c>
      <c r="I135" s="17">
        <f t="shared" ref="I135:I138" si="141">G135*H135</f>
        <v>10704</v>
      </c>
      <c r="J135" s="24">
        <f t="shared" si="126"/>
        <v>8453.5107356828394</v>
      </c>
      <c r="K135" s="59">
        <f>References!$C$17*J135</f>
        <v>20.24615821196041</v>
      </c>
      <c r="L135" s="59">
        <f>K135/References!$F$19</f>
        <v>20.911132216443306</v>
      </c>
      <c r="M135" s="66">
        <f t="shared" ref="M135:M158" si="142">L135/G135*F135</f>
        <v>1.7425943513702755</v>
      </c>
      <c r="N135" s="59">
        <v>65.930000000000007</v>
      </c>
      <c r="O135" s="59">
        <f t="shared" si="132"/>
        <v>67.67</v>
      </c>
      <c r="P135" s="59">
        <f t="shared" ref="P135:P138" si="143">O135</f>
        <v>67.67</v>
      </c>
      <c r="Q135" s="149">
        <f t="shared" ref="Q135:Q138" si="144">E135*N135*12</f>
        <v>0</v>
      </c>
      <c r="R135" s="149">
        <f t="shared" ref="R135:R138" si="145">E135*P135*12</f>
        <v>0</v>
      </c>
      <c r="S135" s="149">
        <f t="shared" ref="S135:S138" si="146">R135-Q135</f>
        <v>0</v>
      </c>
      <c r="T135" s="25">
        <f t="shared" ref="T135:T138" si="147">E135*O135*12</f>
        <v>0</v>
      </c>
    </row>
    <row r="136" spans="1:20" s="26" customFormat="1">
      <c r="A136" s="138"/>
      <c r="B136" s="113">
        <v>250</v>
      </c>
      <c r="C136" s="113">
        <v>41</v>
      </c>
      <c r="D136" s="21" t="s">
        <v>158</v>
      </c>
      <c r="E136" s="23">
        <v>0</v>
      </c>
      <c r="F136" s="18">
        <v>1</v>
      </c>
      <c r="G136" s="17">
        <f t="shared" si="140"/>
        <v>12</v>
      </c>
      <c r="H136" s="17">
        <v>1301</v>
      </c>
      <c r="I136" s="17">
        <f t="shared" si="141"/>
        <v>15612</v>
      </c>
      <c r="J136" s="24">
        <f t="shared" si="126"/>
        <v>12329.615994532931</v>
      </c>
      <c r="K136" s="59">
        <f>References!$C$17*J136</f>
        <v>29.529430306906384</v>
      </c>
      <c r="L136" s="59">
        <f>K136/References!$F$19</f>
        <v>30.499308311202629</v>
      </c>
      <c r="M136" s="66">
        <f t="shared" si="142"/>
        <v>2.5416090259335524</v>
      </c>
      <c r="N136" s="59">
        <v>86.29</v>
      </c>
      <c r="O136" s="59">
        <f t="shared" si="132"/>
        <v>88.83</v>
      </c>
      <c r="P136" s="59">
        <f t="shared" si="143"/>
        <v>88.83</v>
      </c>
      <c r="Q136" s="149">
        <f t="shared" si="144"/>
        <v>0</v>
      </c>
      <c r="R136" s="149">
        <f t="shared" si="145"/>
        <v>0</v>
      </c>
      <c r="S136" s="149">
        <f t="shared" si="146"/>
        <v>0</v>
      </c>
      <c r="T136" s="25">
        <f t="shared" si="147"/>
        <v>0</v>
      </c>
    </row>
    <row r="137" spans="1:20" s="26" customFormat="1">
      <c r="A137" s="138"/>
      <c r="B137" s="113">
        <v>250</v>
      </c>
      <c r="C137" s="113">
        <v>41</v>
      </c>
      <c r="D137" s="21" t="s">
        <v>159</v>
      </c>
      <c r="E137" s="23">
        <v>0</v>
      </c>
      <c r="F137" s="18">
        <v>1</v>
      </c>
      <c r="G137" s="17">
        <f t="shared" si="140"/>
        <v>12</v>
      </c>
      <c r="H137" s="17">
        <v>1686</v>
      </c>
      <c r="I137" s="17">
        <f t="shared" si="141"/>
        <v>20232</v>
      </c>
      <c r="J137" s="24">
        <f t="shared" si="126"/>
        <v>15978.272534037294</v>
      </c>
      <c r="K137" s="59">
        <f>References!$C$17*J137</f>
        <v>38.267962719019344</v>
      </c>
      <c r="L137" s="59">
        <f>K137/References!$F$19</f>
        <v>39.524853045878274</v>
      </c>
      <c r="M137" s="66">
        <f t="shared" si="142"/>
        <v>3.2937377538231893</v>
      </c>
      <c r="N137" s="59">
        <v>111.23</v>
      </c>
      <c r="O137" s="59">
        <f t="shared" si="132"/>
        <v>114.52</v>
      </c>
      <c r="P137" s="59">
        <f t="shared" si="143"/>
        <v>114.52</v>
      </c>
      <c r="Q137" s="149">
        <f t="shared" si="144"/>
        <v>0</v>
      </c>
      <c r="R137" s="149">
        <f t="shared" si="145"/>
        <v>0</v>
      </c>
      <c r="S137" s="149">
        <f t="shared" si="146"/>
        <v>0</v>
      </c>
      <c r="T137" s="25">
        <f t="shared" si="147"/>
        <v>0</v>
      </c>
    </row>
    <row r="138" spans="1:20" s="26" customFormat="1">
      <c r="A138" s="138"/>
      <c r="B138" s="113">
        <v>250</v>
      </c>
      <c r="C138" s="113">
        <v>41</v>
      </c>
      <c r="D138" s="21" t="s">
        <v>160</v>
      </c>
      <c r="E138" s="23">
        <v>0</v>
      </c>
      <c r="F138" s="18">
        <v>1</v>
      </c>
      <c r="G138" s="17">
        <f t="shared" si="140"/>
        <v>12</v>
      </c>
      <c r="H138" s="17">
        <v>2046</v>
      </c>
      <c r="I138" s="17">
        <f t="shared" si="141"/>
        <v>24552</v>
      </c>
      <c r="J138" s="24">
        <f t="shared" si="126"/>
        <v>19390.003324223195</v>
      </c>
      <c r="K138" s="59">
        <f>References!$C$17*J138</f>
        <v>46.439057961514578</v>
      </c>
      <c r="L138" s="59">
        <f>K138/References!$F$19</f>
        <v>47.964323447133424</v>
      </c>
      <c r="M138" s="66">
        <f t="shared" si="142"/>
        <v>3.9970269539277852</v>
      </c>
      <c r="N138" s="59">
        <v>129.13</v>
      </c>
      <c r="O138" s="59">
        <f t="shared" si="132"/>
        <v>133.13</v>
      </c>
      <c r="P138" s="59">
        <f t="shared" si="143"/>
        <v>133.13</v>
      </c>
      <c r="Q138" s="149">
        <f t="shared" si="144"/>
        <v>0</v>
      </c>
      <c r="R138" s="149">
        <f t="shared" si="145"/>
        <v>0</v>
      </c>
      <c r="S138" s="149">
        <f t="shared" si="146"/>
        <v>0</v>
      </c>
      <c r="T138" s="25">
        <f t="shared" si="147"/>
        <v>0</v>
      </c>
    </row>
    <row r="139" spans="1:20" s="26" customFormat="1">
      <c r="A139" s="138"/>
      <c r="B139" s="113">
        <v>250</v>
      </c>
      <c r="C139" s="113">
        <v>41</v>
      </c>
      <c r="D139" s="21" t="s">
        <v>190</v>
      </c>
      <c r="E139" s="23">
        <v>0</v>
      </c>
      <c r="F139" s="18">
        <v>1</v>
      </c>
      <c r="G139" s="17">
        <f t="shared" ref="G139:G142" si="148">F139*12</f>
        <v>12</v>
      </c>
      <c r="H139" s="17">
        <v>892</v>
      </c>
      <c r="I139" s="17">
        <f t="shared" ref="I139:I142" si="149">G139*H139</f>
        <v>10704</v>
      </c>
      <c r="J139" s="24">
        <f t="shared" ref="J139:J142" si="150">$E$165*I139</f>
        <v>8453.5107356828394</v>
      </c>
      <c r="K139" s="59">
        <f>References!$C$17*J139</f>
        <v>20.24615821196041</v>
      </c>
      <c r="L139" s="59">
        <f>K139/References!$F$19</f>
        <v>20.911132216443306</v>
      </c>
      <c r="M139" s="66">
        <f t="shared" ref="M139:M142" si="151">L139/G139*F139</f>
        <v>1.7425943513702755</v>
      </c>
      <c r="N139" s="59">
        <v>50.15</v>
      </c>
      <c r="O139" s="59">
        <f t="shared" si="132"/>
        <v>51.89</v>
      </c>
      <c r="P139" s="59">
        <f t="shared" ref="P139:P142" si="152">O139</f>
        <v>51.89</v>
      </c>
      <c r="Q139" s="149">
        <f t="shared" ref="Q139:Q142" si="153">E139*N139*12</f>
        <v>0</v>
      </c>
      <c r="R139" s="149">
        <f t="shared" ref="R139:R142" si="154">E139*P139*12</f>
        <v>0</v>
      </c>
      <c r="S139" s="149">
        <f t="shared" ref="S139:S142" si="155">R139-Q139</f>
        <v>0</v>
      </c>
      <c r="T139" s="25">
        <f t="shared" ref="T139:T142" si="156">E139*O139*12</f>
        <v>0</v>
      </c>
    </row>
    <row r="140" spans="1:20" s="26" customFormat="1">
      <c r="A140" s="138"/>
      <c r="B140" s="113">
        <v>250</v>
      </c>
      <c r="C140" s="113">
        <v>41</v>
      </c>
      <c r="D140" s="21" t="s">
        <v>191</v>
      </c>
      <c r="E140" s="23">
        <v>0</v>
      </c>
      <c r="F140" s="18">
        <v>1</v>
      </c>
      <c r="G140" s="17">
        <f t="shared" si="148"/>
        <v>12</v>
      </c>
      <c r="H140" s="17">
        <v>1301</v>
      </c>
      <c r="I140" s="17">
        <f t="shared" si="149"/>
        <v>15612</v>
      </c>
      <c r="J140" s="24">
        <f t="shared" si="150"/>
        <v>12329.615994532931</v>
      </c>
      <c r="K140" s="59">
        <f>References!$C$17*J140</f>
        <v>29.529430306906384</v>
      </c>
      <c r="L140" s="59">
        <f>K140/References!$F$19</f>
        <v>30.499308311202629</v>
      </c>
      <c r="M140" s="66">
        <f t="shared" si="151"/>
        <v>2.5416090259335524</v>
      </c>
      <c r="N140" s="59">
        <v>70.53</v>
      </c>
      <c r="O140" s="59">
        <f t="shared" si="132"/>
        <v>73.069999999999993</v>
      </c>
      <c r="P140" s="59">
        <f t="shared" si="152"/>
        <v>73.069999999999993</v>
      </c>
      <c r="Q140" s="149">
        <f t="shared" si="153"/>
        <v>0</v>
      </c>
      <c r="R140" s="149">
        <f t="shared" si="154"/>
        <v>0</v>
      </c>
      <c r="S140" s="149">
        <f t="shared" si="155"/>
        <v>0</v>
      </c>
      <c r="T140" s="25">
        <f t="shared" si="156"/>
        <v>0</v>
      </c>
    </row>
    <row r="141" spans="1:20" s="26" customFormat="1">
      <c r="A141" s="138"/>
      <c r="B141" s="113">
        <v>250</v>
      </c>
      <c r="C141" s="113">
        <v>41</v>
      </c>
      <c r="D141" s="21" t="s">
        <v>192</v>
      </c>
      <c r="E141" s="23">
        <v>0</v>
      </c>
      <c r="F141" s="18">
        <v>1</v>
      </c>
      <c r="G141" s="17">
        <f t="shared" si="148"/>
        <v>12</v>
      </c>
      <c r="H141" s="17">
        <v>1686</v>
      </c>
      <c r="I141" s="17">
        <f t="shared" si="149"/>
        <v>20232</v>
      </c>
      <c r="J141" s="24">
        <f t="shared" si="150"/>
        <v>15978.272534037294</v>
      </c>
      <c r="K141" s="59">
        <f>References!$C$17*J141</f>
        <v>38.267962719019344</v>
      </c>
      <c r="L141" s="59">
        <f>K141/References!$F$19</f>
        <v>39.524853045878274</v>
      </c>
      <c r="M141" s="66">
        <f t="shared" si="151"/>
        <v>3.2937377538231893</v>
      </c>
      <c r="N141" s="59">
        <v>95.45</v>
      </c>
      <c r="O141" s="59">
        <f t="shared" si="132"/>
        <v>98.74</v>
      </c>
      <c r="P141" s="59">
        <f t="shared" si="152"/>
        <v>98.74</v>
      </c>
      <c r="Q141" s="149">
        <f t="shared" si="153"/>
        <v>0</v>
      </c>
      <c r="R141" s="149">
        <f t="shared" si="154"/>
        <v>0</v>
      </c>
      <c r="S141" s="149">
        <f t="shared" si="155"/>
        <v>0</v>
      </c>
      <c r="T141" s="25">
        <f t="shared" si="156"/>
        <v>0</v>
      </c>
    </row>
    <row r="142" spans="1:20" s="26" customFormat="1">
      <c r="A142" s="138"/>
      <c r="B142" s="113">
        <v>250</v>
      </c>
      <c r="C142" s="113">
        <v>41</v>
      </c>
      <c r="D142" s="21" t="s">
        <v>193</v>
      </c>
      <c r="E142" s="23">
        <v>0</v>
      </c>
      <c r="F142" s="18">
        <v>1</v>
      </c>
      <c r="G142" s="17">
        <f t="shared" si="148"/>
        <v>12</v>
      </c>
      <c r="H142" s="17">
        <v>2046</v>
      </c>
      <c r="I142" s="17">
        <f t="shared" si="149"/>
        <v>24552</v>
      </c>
      <c r="J142" s="24">
        <f t="shared" si="150"/>
        <v>19390.003324223195</v>
      </c>
      <c r="K142" s="59">
        <f>References!$C$17*J142</f>
        <v>46.439057961514578</v>
      </c>
      <c r="L142" s="59">
        <f>K142/References!$F$19</f>
        <v>47.964323447133424</v>
      </c>
      <c r="M142" s="66">
        <f t="shared" si="151"/>
        <v>3.9970269539277852</v>
      </c>
      <c r="N142" s="59">
        <v>113.39</v>
      </c>
      <c r="O142" s="59">
        <f t="shared" si="132"/>
        <v>117.39</v>
      </c>
      <c r="P142" s="59">
        <f t="shared" si="152"/>
        <v>117.39</v>
      </c>
      <c r="Q142" s="149">
        <f t="shared" si="153"/>
        <v>0</v>
      </c>
      <c r="R142" s="149">
        <f t="shared" si="154"/>
        <v>0</v>
      </c>
      <c r="S142" s="149">
        <f t="shared" si="155"/>
        <v>0</v>
      </c>
      <c r="T142" s="25">
        <f t="shared" si="156"/>
        <v>0</v>
      </c>
    </row>
    <row r="143" spans="1:20" s="26" customFormat="1">
      <c r="A143" s="138"/>
      <c r="B143" s="113">
        <v>250</v>
      </c>
      <c r="C143" s="113">
        <v>41</v>
      </c>
      <c r="D143" s="21" t="s">
        <v>166</v>
      </c>
      <c r="E143" s="23">
        <v>0</v>
      </c>
      <c r="F143" s="18">
        <v>1</v>
      </c>
      <c r="G143" s="17">
        <f t="shared" si="140"/>
        <v>12</v>
      </c>
      <c r="H143" s="17">
        <v>892</v>
      </c>
      <c r="I143" s="17">
        <f t="shared" ref="I143:I146" si="157">G143*H143</f>
        <v>10704</v>
      </c>
      <c r="J143" s="24">
        <f t="shared" si="126"/>
        <v>8453.5107356828394</v>
      </c>
      <c r="K143" s="59">
        <f>References!$C$17*J143</f>
        <v>20.24615821196041</v>
      </c>
      <c r="L143" s="59">
        <f>K143/References!$F$19</f>
        <v>20.911132216443306</v>
      </c>
      <c r="M143" s="66">
        <f t="shared" si="142"/>
        <v>1.7425943513702755</v>
      </c>
      <c r="N143" s="59">
        <v>58.66</v>
      </c>
      <c r="O143" s="59">
        <f t="shared" si="132"/>
        <v>60.4</v>
      </c>
      <c r="P143" s="59">
        <f t="shared" ref="P143:P146" si="158">O143</f>
        <v>60.4</v>
      </c>
      <c r="Q143" s="149">
        <f t="shared" ref="Q143:Q146" si="159">E143*N143*12</f>
        <v>0</v>
      </c>
      <c r="R143" s="149">
        <f t="shared" ref="R143:R146" si="160">E143*P143*12</f>
        <v>0</v>
      </c>
      <c r="S143" s="149">
        <f t="shared" ref="S143:S146" si="161">R143-Q143</f>
        <v>0</v>
      </c>
      <c r="T143" s="25">
        <f t="shared" ref="T143:T146" si="162">E143*O143*12</f>
        <v>0</v>
      </c>
    </row>
    <row r="144" spans="1:20" s="26" customFormat="1">
      <c r="A144" s="138"/>
      <c r="B144" s="113">
        <v>250</v>
      </c>
      <c r="C144" s="113">
        <v>41</v>
      </c>
      <c r="D144" s="21" t="s">
        <v>165</v>
      </c>
      <c r="E144" s="23">
        <v>0</v>
      </c>
      <c r="F144" s="18">
        <v>1</v>
      </c>
      <c r="G144" s="17">
        <f t="shared" si="140"/>
        <v>12</v>
      </c>
      <c r="H144" s="17">
        <v>1301</v>
      </c>
      <c r="I144" s="17">
        <f t="shared" si="157"/>
        <v>15612</v>
      </c>
      <c r="J144" s="24">
        <f t="shared" si="126"/>
        <v>12329.615994532931</v>
      </c>
      <c r="K144" s="59">
        <f>References!$C$17*J144</f>
        <v>29.529430306906384</v>
      </c>
      <c r="L144" s="59">
        <f>K144/References!$F$19</f>
        <v>30.499308311202629</v>
      </c>
      <c r="M144" s="66">
        <f t="shared" si="142"/>
        <v>2.5416090259335524</v>
      </c>
      <c r="N144" s="59">
        <v>79</v>
      </c>
      <c r="O144" s="59">
        <f t="shared" si="132"/>
        <v>81.540000000000006</v>
      </c>
      <c r="P144" s="59">
        <f t="shared" si="158"/>
        <v>81.540000000000006</v>
      </c>
      <c r="Q144" s="149">
        <f t="shared" si="159"/>
        <v>0</v>
      </c>
      <c r="R144" s="149">
        <f t="shared" si="160"/>
        <v>0</v>
      </c>
      <c r="S144" s="149">
        <f t="shared" si="161"/>
        <v>0</v>
      </c>
      <c r="T144" s="25">
        <f t="shared" si="162"/>
        <v>0</v>
      </c>
    </row>
    <row r="145" spans="1:20" s="26" customFormat="1">
      <c r="A145" s="138"/>
      <c r="B145" s="113">
        <v>250</v>
      </c>
      <c r="C145" s="113">
        <v>41</v>
      </c>
      <c r="D145" s="21" t="s">
        <v>167</v>
      </c>
      <c r="E145" s="23">
        <v>0</v>
      </c>
      <c r="F145" s="18">
        <v>1</v>
      </c>
      <c r="G145" s="17">
        <f t="shared" si="140"/>
        <v>12</v>
      </c>
      <c r="H145" s="17">
        <v>1686</v>
      </c>
      <c r="I145" s="17">
        <f t="shared" si="157"/>
        <v>20232</v>
      </c>
      <c r="J145" s="24">
        <f t="shared" si="126"/>
        <v>15978.272534037294</v>
      </c>
      <c r="K145" s="59">
        <f>References!$C$17*J145</f>
        <v>38.267962719019344</v>
      </c>
      <c r="L145" s="59">
        <f>K145/References!$F$19</f>
        <v>39.524853045878274</v>
      </c>
      <c r="M145" s="66">
        <f t="shared" si="142"/>
        <v>3.2937377538231893</v>
      </c>
      <c r="N145" s="59">
        <v>103.94</v>
      </c>
      <c r="O145" s="59">
        <f t="shared" si="132"/>
        <v>107.23</v>
      </c>
      <c r="P145" s="59">
        <f t="shared" si="158"/>
        <v>107.23</v>
      </c>
      <c r="Q145" s="149">
        <f t="shared" si="159"/>
        <v>0</v>
      </c>
      <c r="R145" s="149">
        <f t="shared" si="160"/>
        <v>0</v>
      </c>
      <c r="S145" s="149">
        <f t="shared" si="161"/>
        <v>0</v>
      </c>
      <c r="T145" s="25">
        <f t="shared" si="162"/>
        <v>0</v>
      </c>
    </row>
    <row r="146" spans="1:20" s="26" customFormat="1">
      <c r="A146" s="138"/>
      <c r="B146" s="113">
        <v>250</v>
      </c>
      <c r="C146" s="113">
        <v>41</v>
      </c>
      <c r="D146" s="21" t="s">
        <v>168</v>
      </c>
      <c r="E146" s="23">
        <v>0</v>
      </c>
      <c r="F146" s="18">
        <v>1</v>
      </c>
      <c r="G146" s="17">
        <f t="shared" si="140"/>
        <v>12</v>
      </c>
      <c r="H146" s="17">
        <v>2046</v>
      </c>
      <c r="I146" s="17">
        <f t="shared" si="157"/>
        <v>24552</v>
      </c>
      <c r="J146" s="24">
        <f t="shared" si="126"/>
        <v>19390.003324223195</v>
      </c>
      <c r="K146" s="59">
        <f>References!$C$17*J146</f>
        <v>46.439057961514578</v>
      </c>
      <c r="L146" s="59">
        <f>K146/References!$F$19</f>
        <v>47.964323447133424</v>
      </c>
      <c r="M146" s="66">
        <f t="shared" si="142"/>
        <v>3.9970269539277852</v>
      </c>
      <c r="N146" s="59">
        <v>121.88</v>
      </c>
      <c r="O146" s="59">
        <f t="shared" si="132"/>
        <v>125.88</v>
      </c>
      <c r="P146" s="59">
        <f t="shared" si="158"/>
        <v>125.88</v>
      </c>
      <c r="Q146" s="149">
        <f t="shared" si="159"/>
        <v>0</v>
      </c>
      <c r="R146" s="149">
        <f t="shared" si="160"/>
        <v>0</v>
      </c>
      <c r="S146" s="149">
        <f t="shared" si="161"/>
        <v>0</v>
      </c>
      <c r="T146" s="25">
        <f t="shared" si="162"/>
        <v>0</v>
      </c>
    </row>
    <row r="147" spans="1:20" s="26" customFormat="1">
      <c r="A147" s="138"/>
      <c r="B147" s="113">
        <v>255</v>
      </c>
      <c r="C147" s="113">
        <v>42</v>
      </c>
      <c r="D147" s="21" t="s">
        <v>161</v>
      </c>
      <c r="E147" s="23">
        <v>0</v>
      </c>
      <c r="F147" s="18">
        <v>1</v>
      </c>
      <c r="G147" s="17">
        <f t="shared" si="140"/>
        <v>12</v>
      </c>
      <c r="H147" s="17">
        <v>892</v>
      </c>
      <c r="I147" s="17">
        <f t="shared" ref="I147:I150" si="163">G147*H147</f>
        <v>10704</v>
      </c>
      <c r="J147" s="24">
        <f t="shared" si="126"/>
        <v>8453.5107356828394</v>
      </c>
      <c r="K147" s="59">
        <f>References!$C$17*J147</f>
        <v>20.24615821196041</v>
      </c>
      <c r="L147" s="59">
        <f>K147/References!$F$19</f>
        <v>20.911132216443306</v>
      </c>
      <c r="M147" s="66">
        <f t="shared" si="142"/>
        <v>1.7425943513702755</v>
      </c>
      <c r="N147" s="59">
        <v>50.15</v>
      </c>
      <c r="O147" s="59">
        <f t="shared" si="132"/>
        <v>51.89</v>
      </c>
      <c r="P147" s="59">
        <f t="shared" ref="P147:P150" si="164">O147</f>
        <v>51.89</v>
      </c>
      <c r="Q147" s="149">
        <f t="shared" ref="Q147:Q150" si="165">E147*N147*12</f>
        <v>0</v>
      </c>
      <c r="R147" s="149">
        <f t="shared" ref="R147:R150" si="166">E147*P147*12</f>
        <v>0</v>
      </c>
      <c r="S147" s="149">
        <f t="shared" ref="S147:S150" si="167">R147-Q147</f>
        <v>0</v>
      </c>
      <c r="T147" s="25">
        <f t="shared" ref="T147:T150" si="168">E147*O147*12</f>
        <v>0</v>
      </c>
    </row>
    <row r="148" spans="1:20" s="26" customFormat="1">
      <c r="A148" s="138"/>
      <c r="B148" s="113">
        <v>255</v>
      </c>
      <c r="C148" s="113">
        <v>42</v>
      </c>
      <c r="D148" s="21" t="s">
        <v>162</v>
      </c>
      <c r="E148" s="23">
        <v>0</v>
      </c>
      <c r="F148" s="18">
        <v>1</v>
      </c>
      <c r="G148" s="17">
        <f t="shared" si="140"/>
        <v>12</v>
      </c>
      <c r="H148" s="17">
        <v>1301</v>
      </c>
      <c r="I148" s="17">
        <f t="shared" si="163"/>
        <v>15612</v>
      </c>
      <c r="J148" s="24">
        <f t="shared" si="126"/>
        <v>12329.615994532931</v>
      </c>
      <c r="K148" s="59">
        <f>References!$C$17*J148</f>
        <v>29.529430306906384</v>
      </c>
      <c r="L148" s="59">
        <f>K148/References!$F$19</f>
        <v>30.499308311202629</v>
      </c>
      <c r="M148" s="66">
        <f t="shared" si="142"/>
        <v>2.5416090259335524</v>
      </c>
      <c r="N148" s="59">
        <v>70.53</v>
      </c>
      <c r="O148" s="59">
        <f t="shared" si="132"/>
        <v>73.069999999999993</v>
      </c>
      <c r="P148" s="59">
        <f t="shared" si="164"/>
        <v>73.069999999999993</v>
      </c>
      <c r="Q148" s="149">
        <f t="shared" si="165"/>
        <v>0</v>
      </c>
      <c r="R148" s="149">
        <f t="shared" si="166"/>
        <v>0</v>
      </c>
      <c r="S148" s="149">
        <f t="shared" si="167"/>
        <v>0</v>
      </c>
      <c r="T148" s="25">
        <f t="shared" si="168"/>
        <v>0</v>
      </c>
    </row>
    <row r="149" spans="1:20" s="26" customFormat="1">
      <c r="A149" s="138"/>
      <c r="B149" s="113">
        <v>255</v>
      </c>
      <c r="C149" s="113">
        <v>42</v>
      </c>
      <c r="D149" s="21" t="s">
        <v>163</v>
      </c>
      <c r="E149" s="23">
        <v>0</v>
      </c>
      <c r="F149" s="18">
        <v>1</v>
      </c>
      <c r="G149" s="17">
        <f t="shared" si="140"/>
        <v>12</v>
      </c>
      <c r="H149" s="17">
        <v>1686</v>
      </c>
      <c r="I149" s="17">
        <f t="shared" si="163"/>
        <v>20232</v>
      </c>
      <c r="J149" s="24">
        <f t="shared" si="126"/>
        <v>15978.272534037294</v>
      </c>
      <c r="K149" s="59">
        <f>References!$C$17*J149</f>
        <v>38.267962719019344</v>
      </c>
      <c r="L149" s="59">
        <f>K149/References!$F$19</f>
        <v>39.524853045878274</v>
      </c>
      <c r="M149" s="66">
        <f t="shared" si="142"/>
        <v>3.2937377538231893</v>
      </c>
      <c r="N149" s="59">
        <v>95.45</v>
      </c>
      <c r="O149" s="59">
        <f t="shared" si="132"/>
        <v>98.74</v>
      </c>
      <c r="P149" s="59">
        <f t="shared" si="164"/>
        <v>98.74</v>
      </c>
      <c r="Q149" s="149">
        <f t="shared" si="165"/>
        <v>0</v>
      </c>
      <c r="R149" s="149">
        <f t="shared" si="166"/>
        <v>0</v>
      </c>
      <c r="S149" s="149">
        <f t="shared" si="167"/>
        <v>0</v>
      </c>
      <c r="T149" s="25">
        <f t="shared" si="168"/>
        <v>0</v>
      </c>
    </row>
    <row r="150" spans="1:20" s="26" customFormat="1">
      <c r="A150" s="138"/>
      <c r="B150" s="113">
        <v>255</v>
      </c>
      <c r="C150" s="113">
        <v>42</v>
      </c>
      <c r="D150" s="21" t="s">
        <v>164</v>
      </c>
      <c r="E150" s="23">
        <v>0</v>
      </c>
      <c r="F150" s="18">
        <v>1</v>
      </c>
      <c r="G150" s="17">
        <f t="shared" si="140"/>
        <v>12</v>
      </c>
      <c r="H150" s="17">
        <v>2046</v>
      </c>
      <c r="I150" s="17">
        <f t="shared" si="163"/>
        <v>24552</v>
      </c>
      <c r="J150" s="24">
        <f t="shared" si="126"/>
        <v>19390.003324223195</v>
      </c>
      <c r="K150" s="59">
        <f>References!$C$17*J150</f>
        <v>46.439057961514578</v>
      </c>
      <c r="L150" s="59">
        <f>K150/References!$F$19</f>
        <v>47.964323447133424</v>
      </c>
      <c r="M150" s="66">
        <f t="shared" si="142"/>
        <v>3.9970269539277852</v>
      </c>
      <c r="N150" s="59">
        <v>113.39</v>
      </c>
      <c r="O150" s="59">
        <f t="shared" si="132"/>
        <v>117.39</v>
      </c>
      <c r="P150" s="59">
        <f t="shared" si="164"/>
        <v>117.39</v>
      </c>
      <c r="Q150" s="149">
        <f t="shared" si="165"/>
        <v>0</v>
      </c>
      <c r="R150" s="149">
        <f t="shared" si="166"/>
        <v>0</v>
      </c>
      <c r="S150" s="149">
        <f t="shared" si="167"/>
        <v>0</v>
      </c>
      <c r="T150" s="25">
        <f t="shared" si="168"/>
        <v>0</v>
      </c>
    </row>
    <row r="151" spans="1:20" s="26" customFormat="1">
      <c r="A151" s="138"/>
      <c r="B151" s="113">
        <v>255</v>
      </c>
      <c r="C151" s="113">
        <v>42</v>
      </c>
      <c r="D151" s="21" t="s">
        <v>166</v>
      </c>
      <c r="E151" s="23">
        <v>0</v>
      </c>
      <c r="F151" s="18">
        <v>1</v>
      </c>
      <c r="G151" s="17">
        <f t="shared" si="140"/>
        <v>12</v>
      </c>
      <c r="H151" s="17">
        <v>892</v>
      </c>
      <c r="I151" s="17">
        <f t="shared" ref="I151:I154" si="169">G151*H151</f>
        <v>10704</v>
      </c>
      <c r="J151" s="24">
        <f t="shared" si="126"/>
        <v>8453.5107356828394</v>
      </c>
      <c r="K151" s="59">
        <f>References!$C$17*J151</f>
        <v>20.24615821196041</v>
      </c>
      <c r="L151" s="59">
        <f>K151/References!$F$19</f>
        <v>20.911132216443306</v>
      </c>
      <c r="M151" s="66">
        <f t="shared" si="142"/>
        <v>1.7425943513702755</v>
      </c>
      <c r="N151" s="59">
        <v>58.66</v>
      </c>
      <c r="O151" s="59">
        <f t="shared" si="132"/>
        <v>60.4</v>
      </c>
      <c r="P151" s="59">
        <f t="shared" ref="P151:P154" si="170">O151</f>
        <v>60.4</v>
      </c>
      <c r="Q151" s="149">
        <f t="shared" ref="Q151:Q154" si="171">E151*N151*12</f>
        <v>0</v>
      </c>
      <c r="R151" s="149">
        <f t="shared" ref="R151:R154" si="172">E151*P151*12</f>
        <v>0</v>
      </c>
      <c r="S151" s="149">
        <f t="shared" ref="S151:S154" si="173">R151-Q151</f>
        <v>0</v>
      </c>
      <c r="T151" s="25">
        <f t="shared" ref="T151:T154" si="174">E151*O151*12</f>
        <v>0</v>
      </c>
    </row>
    <row r="152" spans="1:20" s="26" customFormat="1">
      <c r="A152" s="138"/>
      <c r="B152" s="113">
        <v>255</v>
      </c>
      <c r="C152" s="113">
        <v>42</v>
      </c>
      <c r="D152" s="21" t="s">
        <v>165</v>
      </c>
      <c r="E152" s="23">
        <v>0</v>
      </c>
      <c r="F152" s="18">
        <v>1</v>
      </c>
      <c r="G152" s="17">
        <f t="shared" si="140"/>
        <v>12</v>
      </c>
      <c r="H152" s="17">
        <v>1301</v>
      </c>
      <c r="I152" s="17">
        <f t="shared" si="169"/>
        <v>15612</v>
      </c>
      <c r="J152" s="24">
        <f t="shared" si="126"/>
        <v>12329.615994532931</v>
      </c>
      <c r="K152" s="59">
        <f>References!$C$17*J152</f>
        <v>29.529430306906384</v>
      </c>
      <c r="L152" s="59">
        <f>K152/References!$F$19</f>
        <v>30.499308311202629</v>
      </c>
      <c r="M152" s="66">
        <f t="shared" si="142"/>
        <v>2.5416090259335524</v>
      </c>
      <c r="N152" s="59">
        <v>79</v>
      </c>
      <c r="O152" s="59">
        <f t="shared" si="132"/>
        <v>81.540000000000006</v>
      </c>
      <c r="P152" s="59">
        <f t="shared" si="170"/>
        <v>81.540000000000006</v>
      </c>
      <c r="Q152" s="149">
        <f t="shared" si="171"/>
        <v>0</v>
      </c>
      <c r="R152" s="149">
        <f t="shared" si="172"/>
        <v>0</v>
      </c>
      <c r="S152" s="149">
        <f t="shared" si="173"/>
        <v>0</v>
      </c>
      <c r="T152" s="25">
        <f t="shared" si="174"/>
        <v>0</v>
      </c>
    </row>
    <row r="153" spans="1:20" s="26" customFormat="1">
      <c r="A153" s="138"/>
      <c r="B153" s="113">
        <v>255</v>
      </c>
      <c r="C153" s="113">
        <v>42</v>
      </c>
      <c r="D153" s="21" t="s">
        <v>167</v>
      </c>
      <c r="E153" s="23">
        <v>0</v>
      </c>
      <c r="F153" s="18">
        <v>1</v>
      </c>
      <c r="G153" s="17">
        <f t="shared" si="140"/>
        <v>12</v>
      </c>
      <c r="H153" s="17">
        <v>1686</v>
      </c>
      <c r="I153" s="17">
        <f t="shared" si="169"/>
        <v>20232</v>
      </c>
      <c r="J153" s="24">
        <f t="shared" si="126"/>
        <v>15978.272534037294</v>
      </c>
      <c r="K153" s="59">
        <f>References!$C$17*J153</f>
        <v>38.267962719019344</v>
      </c>
      <c r="L153" s="59">
        <f>K153/References!$F$19</f>
        <v>39.524853045878274</v>
      </c>
      <c r="M153" s="66">
        <f t="shared" si="142"/>
        <v>3.2937377538231893</v>
      </c>
      <c r="N153" s="59">
        <v>103.94</v>
      </c>
      <c r="O153" s="59">
        <f t="shared" si="132"/>
        <v>107.23</v>
      </c>
      <c r="P153" s="59">
        <f t="shared" si="170"/>
        <v>107.23</v>
      </c>
      <c r="Q153" s="149">
        <f t="shared" si="171"/>
        <v>0</v>
      </c>
      <c r="R153" s="149">
        <f t="shared" si="172"/>
        <v>0</v>
      </c>
      <c r="S153" s="149">
        <f t="shared" si="173"/>
        <v>0</v>
      </c>
      <c r="T153" s="25">
        <f t="shared" si="174"/>
        <v>0</v>
      </c>
    </row>
    <row r="154" spans="1:20" s="26" customFormat="1">
      <c r="A154" s="138"/>
      <c r="B154" s="113">
        <v>255</v>
      </c>
      <c r="C154" s="113">
        <v>42</v>
      </c>
      <c r="D154" s="21" t="s">
        <v>168</v>
      </c>
      <c r="E154" s="23">
        <v>0</v>
      </c>
      <c r="F154" s="18">
        <v>1</v>
      </c>
      <c r="G154" s="17">
        <f t="shared" si="140"/>
        <v>12</v>
      </c>
      <c r="H154" s="17">
        <v>2046</v>
      </c>
      <c r="I154" s="17">
        <f t="shared" si="169"/>
        <v>24552</v>
      </c>
      <c r="J154" s="24">
        <f t="shared" si="126"/>
        <v>19390.003324223195</v>
      </c>
      <c r="K154" s="59">
        <f>References!$C$17*J154</f>
        <v>46.439057961514578</v>
      </c>
      <c r="L154" s="59">
        <f>K154/References!$F$19</f>
        <v>47.964323447133424</v>
      </c>
      <c r="M154" s="66">
        <f t="shared" si="142"/>
        <v>3.9970269539277852</v>
      </c>
      <c r="N154" s="59">
        <v>121.88</v>
      </c>
      <c r="O154" s="59">
        <f t="shared" si="132"/>
        <v>125.88</v>
      </c>
      <c r="P154" s="59">
        <f t="shared" si="170"/>
        <v>125.88</v>
      </c>
      <c r="Q154" s="149">
        <f t="shared" si="171"/>
        <v>0</v>
      </c>
      <c r="R154" s="149">
        <f t="shared" si="172"/>
        <v>0</v>
      </c>
      <c r="S154" s="149">
        <f t="shared" si="173"/>
        <v>0</v>
      </c>
      <c r="T154" s="25">
        <f t="shared" si="174"/>
        <v>0</v>
      </c>
    </row>
    <row r="155" spans="1:20" s="26" customFormat="1">
      <c r="A155" s="138"/>
      <c r="B155" s="113">
        <v>255</v>
      </c>
      <c r="C155" s="113">
        <v>42</v>
      </c>
      <c r="D155" s="21" t="s">
        <v>169</v>
      </c>
      <c r="E155" s="23">
        <v>0</v>
      </c>
      <c r="F155" s="18">
        <v>1</v>
      </c>
      <c r="G155" s="17">
        <f t="shared" si="140"/>
        <v>12</v>
      </c>
      <c r="H155" s="17">
        <v>892</v>
      </c>
      <c r="I155" s="17">
        <f t="shared" ref="I155:I158" si="175">G155*H155</f>
        <v>10704</v>
      </c>
      <c r="J155" s="24">
        <f t="shared" si="126"/>
        <v>8453.5107356828394</v>
      </c>
      <c r="K155" s="59">
        <f>References!$C$17*J155</f>
        <v>20.24615821196041</v>
      </c>
      <c r="L155" s="59">
        <f>K155/References!$F$19</f>
        <v>20.911132216443306</v>
      </c>
      <c r="M155" s="66">
        <f t="shared" si="142"/>
        <v>1.7425943513702755</v>
      </c>
      <c r="N155" s="59">
        <v>62.73</v>
      </c>
      <c r="O155" s="59">
        <f t="shared" si="132"/>
        <v>64.47</v>
      </c>
      <c r="P155" s="59">
        <f t="shared" ref="P155:P158" si="176">O155</f>
        <v>64.47</v>
      </c>
      <c r="Q155" s="149">
        <f t="shared" ref="Q155:Q158" si="177">E155*N155*12</f>
        <v>0</v>
      </c>
      <c r="R155" s="149">
        <f t="shared" ref="R155:R158" si="178">E155*P155*12</f>
        <v>0</v>
      </c>
      <c r="S155" s="149">
        <f t="shared" ref="S155:S158" si="179">R155-Q155</f>
        <v>0</v>
      </c>
      <c r="T155" s="25">
        <f t="shared" ref="T155:T158" si="180">E155*O155*12</f>
        <v>0</v>
      </c>
    </row>
    <row r="156" spans="1:20" s="26" customFormat="1">
      <c r="A156" s="138"/>
      <c r="B156" s="113">
        <v>255</v>
      </c>
      <c r="C156" s="113">
        <v>42</v>
      </c>
      <c r="D156" s="21" t="s">
        <v>170</v>
      </c>
      <c r="E156" s="23">
        <v>0</v>
      </c>
      <c r="F156" s="18">
        <v>1</v>
      </c>
      <c r="G156" s="17">
        <f t="shared" si="140"/>
        <v>12</v>
      </c>
      <c r="H156" s="17">
        <v>1301</v>
      </c>
      <c r="I156" s="17">
        <f t="shared" si="175"/>
        <v>15612</v>
      </c>
      <c r="J156" s="24">
        <f t="shared" si="126"/>
        <v>12329.615994532931</v>
      </c>
      <c r="K156" s="59">
        <f>References!$C$17*J156</f>
        <v>29.529430306906384</v>
      </c>
      <c r="L156" s="59">
        <f>K156/References!$F$19</f>
        <v>30.499308311202629</v>
      </c>
      <c r="M156" s="66">
        <f t="shared" si="142"/>
        <v>2.5416090259335524</v>
      </c>
      <c r="N156" s="59">
        <v>82.66</v>
      </c>
      <c r="O156" s="59">
        <f t="shared" si="132"/>
        <v>85.2</v>
      </c>
      <c r="P156" s="59">
        <f t="shared" si="176"/>
        <v>85.2</v>
      </c>
      <c r="Q156" s="149">
        <f t="shared" si="177"/>
        <v>0</v>
      </c>
      <c r="R156" s="149">
        <f t="shared" si="178"/>
        <v>0</v>
      </c>
      <c r="S156" s="149">
        <f t="shared" si="179"/>
        <v>0</v>
      </c>
      <c r="T156" s="25">
        <f t="shared" si="180"/>
        <v>0</v>
      </c>
    </row>
    <row r="157" spans="1:20" s="26" customFormat="1">
      <c r="A157" s="138"/>
      <c r="B157" s="113">
        <v>255</v>
      </c>
      <c r="C157" s="113">
        <v>42</v>
      </c>
      <c r="D157" s="21" t="s">
        <v>171</v>
      </c>
      <c r="E157" s="23">
        <v>0</v>
      </c>
      <c r="F157" s="18">
        <v>1</v>
      </c>
      <c r="G157" s="17">
        <f t="shared" si="140"/>
        <v>12</v>
      </c>
      <c r="H157" s="17">
        <v>1686</v>
      </c>
      <c r="I157" s="17">
        <f t="shared" si="175"/>
        <v>20232</v>
      </c>
      <c r="J157" s="24">
        <f t="shared" si="126"/>
        <v>15978.272534037294</v>
      </c>
      <c r="K157" s="59">
        <f>References!$C$17*J157</f>
        <v>38.267962719019344</v>
      </c>
      <c r="L157" s="59">
        <f>K157/References!$F$19</f>
        <v>39.524853045878274</v>
      </c>
      <c r="M157" s="66">
        <f t="shared" si="142"/>
        <v>3.2937377538231893</v>
      </c>
      <c r="N157" s="59">
        <v>107.58</v>
      </c>
      <c r="O157" s="59">
        <f t="shared" si="132"/>
        <v>110.87</v>
      </c>
      <c r="P157" s="59">
        <f t="shared" si="176"/>
        <v>110.87</v>
      </c>
      <c r="Q157" s="149">
        <f t="shared" si="177"/>
        <v>0</v>
      </c>
      <c r="R157" s="149">
        <f t="shared" si="178"/>
        <v>0</v>
      </c>
      <c r="S157" s="149">
        <f t="shared" si="179"/>
        <v>0</v>
      </c>
      <c r="T157" s="25">
        <f t="shared" si="180"/>
        <v>0</v>
      </c>
    </row>
    <row r="158" spans="1:20" s="26" customFormat="1">
      <c r="A158" s="138"/>
      <c r="B158" s="113">
        <v>255</v>
      </c>
      <c r="C158" s="113">
        <v>42</v>
      </c>
      <c r="D158" s="21" t="s">
        <v>172</v>
      </c>
      <c r="E158" s="23">
        <v>0</v>
      </c>
      <c r="F158" s="18">
        <v>1</v>
      </c>
      <c r="G158" s="17">
        <f t="shared" si="140"/>
        <v>12</v>
      </c>
      <c r="H158" s="17">
        <v>2046</v>
      </c>
      <c r="I158" s="17">
        <f t="shared" si="175"/>
        <v>24552</v>
      </c>
      <c r="J158" s="24">
        <f t="shared" si="126"/>
        <v>19390.003324223195</v>
      </c>
      <c r="K158" s="59">
        <f>References!$C$17*J158</f>
        <v>46.439057961514578</v>
      </c>
      <c r="L158" s="59">
        <f>K158/References!$F$19</f>
        <v>47.964323447133424</v>
      </c>
      <c r="M158" s="66">
        <f t="shared" si="142"/>
        <v>3.9970269539277852</v>
      </c>
      <c r="N158" s="59">
        <v>125.52</v>
      </c>
      <c r="O158" s="59">
        <f t="shared" si="132"/>
        <v>129.52000000000001</v>
      </c>
      <c r="P158" s="59">
        <f t="shared" si="176"/>
        <v>129.52000000000001</v>
      </c>
      <c r="Q158" s="149">
        <f t="shared" si="177"/>
        <v>0</v>
      </c>
      <c r="R158" s="149">
        <f t="shared" si="178"/>
        <v>0</v>
      </c>
      <c r="S158" s="149">
        <f t="shared" si="179"/>
        <v>0</v>
      </c>
      <c r="T158" s="25">
        <f t="shared" si="180"/>
        <v>0</v>
      </c>
    </row>
    <row r="159" spans="1:20">
      <c r="A159" s="137"/>
      <c r="B159" s="132"/>
      <c r="C159" s="114"/>
      <c r="D159" s="40"/>
      <c r="E159" s="135"/>
      <c r="F159" s="136"/>
      <c r="G159" s="29"/>
      <c r="H159" s="30"/>
      <c r="I159" s="30"/>
      <c r="J159" s="30"/>
      <c r="K159" s="60"/>
      <c r="L159" s="60"/>
      <c r="M159" s="60"/>
      <c r="N159" s="90"/>
      <c r="O159" s="60"/>
      <c r="P159" s="90"/>
      <c r="Q159" s="41"/>
      <c r="R159" s="41"/>
      <c r="S159" s="41"/>
      <c r="T159" s="41"/>
    </row>
    <row r="160" spans="1:20">
      <c r="D160" s="131"/>
      <c r="H160" s="7"/>
      <c r="I160" s="15"/>
      <c r="J160" s="5"/>
    </row>
    <row r="161" spans="4:19">
      <c r="E161" s="45"/>
      <c r="H161" s="21"/>
      <c r="I161" s="43"/>
      <c r="J161" s="43"/>
      <c r="K161" s="44"/>
      <c r="Q161" s="16"/>
      <c r="R161" s="44"/>
      <c r="S161" s="20"/>
    </row>
    <row r="162" spans="4:19">
      <c r="D162" s="19" t="s">
        <v>31</v>
      </c>
      <c r="E162" s="25">
        <v>16017.31</v>
      </c>
      <c r="H162" s="21"/>
      <c r="I162" s="43"/>
      <c r="J162" s="43"/>
      <c r="K162" s="44"/>
      <c r="Q162" s="16"/>
      <c r="R162" s="51"/>
      <c r="S162" s="20"/>
    </row>
    <row r="163" spans="4:19">
      <c r="D163" s="19" t="s">
        <v>32</v>
      </c>
      <c r="E163" s="128">
        <f>E162*2000</f>
        <v>32034620</v>
      </c>
      <c r="H163" s="21"/>
      <c r="I163" s="43"/>
      <c r="J163" s="43"/>
      <c r="K163" s="44"/>
      <c r="Q163" s="20"/>
      <c r="R163" s="51"/>
      <c r="S163" s="20"/>
    </row>
    <row r="164" spans="4:19">
      <c r="D164" s="19" t="s">
        <v>5</v>
      </c>
      <c r="E164" s="155">
        <f>G50+G45+G38+G16</f>
        <v>585416</v>
      </c>
      <c r="F164" s="117"/>
      <c r="H164" s="21"/>
      <c r="I164" s="43"/>
      <c r="J164" s="43"/>
      <c r="K164" s="44"/>
      <c r="Q164" s="16"/>
      <c r="R164" s="51"/>
      <c r="S164" s="20"/>
    </row>
    <row r="165" spans="4:19">
      <c r="D165" s="50" t="s">
        <v>10</v>
      </c>
      <c r="E165" s="156">
        <f>E163/I51</f>
        <v>0.78975249772821743</v>
      </c>
      <c r="F165" s="117"/>
      <c r="H165" s="21"/>
      <c r="I165" s="43"/>
      <c r="J165" s="18"/>
      <c r="K165" s="44"/>
      <c r="L165" s="20"/>
      <c r="M165" s="20"/>
      <c r="N165" s="8"/>
      <c r="O165" s="159"/>
      <c r="P165" s="8"/>
      <c r="Q165" s="9"/>
      <c r="R165" s="9"/>
      <c r="S165" s="20"/>
    </row>
    <row r="166" spans="4:19">
      <c r="D166" s="20"/>
      <c r="E166" s="20"/>
      <c r="F166" s="20"/>
      <c r="H166" s="21"/>
      <c r="I166" s="43"/>
      <c r="J166" s="43"/>
      <c r="K166" s="44"/>
      <c r="L166" s="20"/>
      <c r="M166" s="20"/>
      <c r="N166" s="11"/>
      <c r="O166" s="150"/>
      <c r="P166" s="12"/>
      <c r="Q166" s="13"/>
      <c r="R166" s="14"/>
    </row>
    <row r="167" spans="4:19">
      <c r="D167" s="20"/>
      <c r="E167" s="51"/>
      <c r="F167" s="52"/>
      <c r="G167" s="20"/>
      <c r="H167" s="21"/>
      <c r="I167" s="43"/>
      <c r="J167" s="43"/>
      <c r="K167" s="44"/>
      <c r="L167" s="20"/>
      <c r="M167" s="20"/>
      <c r="N167" s="11"/>
      <c r="O167" s="150"/>
      <c r="P167" s="12"/>
      <c r="Q167" s="13"/>
      <c r="R167" s="14"/>
    </row>
    <row r="168" spans="4:19">
      <c r="D168" s="20"/>
      <c r="E168" s="51"/>
      <c r="F168" s="52"/>
      <c r="H168" s="21"/>
      <c r="I168" s="43"/>
      <c r="J168" s="43"/>
      <c r="K168" s="44"/>
      <c r="L168" s="20"/>
      <c r="M168" s="20"/>
      <c r="N168" s="11"/>
      <c r="O168" s="150"/>
      <c r="P168" s="12"/>
      <c r="Q168" s="13"/>
      <c r="R168" s="14"/>
    </row>
    <row r="169" spans="4:19">
      <c r="D169" s="20"/>
      <c r="E169" s="51"/>
      <c r="F169" s="52"/>
      <c r="H169" s="42"/>
      <c r="I169" s="20"/>
      <c r="J169" s="10"/>
      <c r="K169" s="44"/>
      <c r="L169" s="20"/>
      <c r="M169" s="20"/>
      <c r="N169" s="11"/>
      <c r="O169" s="150"/>
      <c r="P169" s="12"/>
      <c r="Q169" s="14"/>
      <c r="R169" s="14"/>
    </row>
    <row r="170" spans="4:19">
      <c r="D170" s="20"/>
      <c r="E170" s="53"/>
      <c r="F170" s="20"/>
      <c r="H170" s="20"/>
      <c r="I170" s="20"/>
      <c r="J170" s="10"/>
      <c r="K170" s="20"/>
      <c r="L170" s="20"/>
      <c r="M170" s="20"/>
      <c r="N170" s="20"/>
      <c r="O170" s="100"/>
      <c r="P170" s="13"/>
      <c r="Q170" s="13"/>
      <c r="R170" s="14"/>
    </row>
    <row r="171" spans="4:19">
      <c r="D171" s="20"/>
      <c r="E171" s="20"/>
      <c r="F171" s="20"/>
      <c r="H171" s="20"/>
      <c r="I171" s="20"/>
      <c r="J171" s="20"/>
      <c r="K171" s="20"/>
      <c r="L171" s="20"/>
      <c r="M171" s="20"/>
      <c r="N171" s="20"/>
      <c r="O171" s="121"/>
      <c r="P171" s="20"/>
      <c r="Q171" s="20"/>
      <c r="R171" s="20"/>
    </row>
    <row r="172" spans="4:19">
      <c r="D172" s="20"/>
      <c r="E172" s="20"/>
      <c r="F172" s="20"/>
    </row>
    <row r="173" spans="4:19">
      <c r="D173" s="20"/>
      <c r="E173" s="20"/>
      <c r="F173" s="20"/>
    </row>
    <row r="174" spans="4:19">
      <c r="D174" s="20"/>
      <c r="E174" s="20"/>
      <c r="F174" s="20"/>
    </row>
    <row r="175" spans="4:19">
      <c r="D175" s="20"/>
      <c r="E175" s="20"/>
      <c r="F175" s="20"/>
    </row>
    <row r="176" spans="4:19">
      <c r="D176" s="20"/>
      <c r="E176" s="20"/>
      <c r="F176" s="20"/>
    </row>
  </sheetData>
  <mergeCells count="11">
    <mergeCell ref="A89:A113"/>
    <mergeCell ref="A18:A38"/>
    <mergeCell ref="A41:A45"/>
    <mergeCell ref="A46:A50"/>
    <mergeCell ref="A55:A60"/>
    <mergeCell ref="A61:A73"/>
    <mergeCell ref="A6:A8"/>
    <mergeCell ref="A12:A14"/>
    <mergeCell ref="A9:A11"/>
    <mergeCell ref="A40:D40"/>
    <mergeCell ref="A53:D53"/>
  </mergeCells>
  <pageMargins left="0.2" right="0.22" top="0.38" bottom="0.34" header="0.19" footer="0.17"/>
  <pageSetup scale="10" orientation="landscape" r:id="rId1"/>
  <headerFooter>
    <oddFooter>&amp;L&amp;F&amp;A&amp;R&amp;D</oddFooter>
  </headerFooter>
  <rowBreaks count="1" manualBreakCount="1">
    <brk id="51" max="2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E463504810FD84088EEDE6D225DB8BD" ma:contentTypeVersion="56" ma:contentTypeDescription="" ma:contentTypeScope="" ma:versionID="0b399766906401dc52fe6dac8e25fe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2019-11-01T07:00:00+00:00</OpenedDate>
    <SignificantOrder xmlns="dc463f71-b30c-4ab2-9473-d307f9d35888">false</SignificantOrder>
    <Date1 xmlns="dc463f71-b30c-4ab2-9473-d307f9d35888">2019-11-19T08:00:00+00:00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CONTROL, INC.</CaseCompanyNames>
    <Nickname xmlns="http://schemas.microsoft.com/sharepoint/v3" xsi:nil="true"/>
    <DocketNumber xmlns="dc463f71-b30c-4ab2-9473-d307f9d35888">190903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CD9EB6-5F58-4AD1-B44D-39A923C502BA}"/>
</file>

<file path=customXml/itemProps2.xml><?xml version="1.0" encoding="utf-8"?>
<ds:datastoreItem xmlns:ds="http://schemas.openxmlformats.org/officeDocument/2006/customXml" ds:itemID="{D57A2AF2-4C3D-49EA-84DC-19CCF2D059CD}"/>
</file>

<file path=customXml/itemProps3.xml><?xml version="1.0" encoding="utf-8"?>
<ds:datastoreItem xmlns:ds="http://schemas.openxmlformats.org/officeDocument/2006/customXml" ds:itemID="{9F8FD8A0-C348-4C1D-AEFD-8081A2F6CFB8}"/>
</file>

<file path=customXml/itemProps4.xml><?xml version="1.0" encoding="utf-8"?>
<ds:datastoreItem xmlns:ds="http://schemas.openxmlformats.org/officeDocument/2006/customXml" ds:itemID="{8CA18785-C27C-4BBD-9564-99648A93E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References</vt:lpstr>
      <vt:lpstr>Staff Calcs </vt:lpstr>
      <vt:lpstr>Notes!Print_Area</vt:lpstr>
      <vt:lpstr>References!Print_Area</vt:lpstr>
      <vt:lpstr>'Staff Calcs 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Randy Poole</cp:lastModifiedBy>
  <cp:lastPrinted>2019-10-31T16:55:57Z</cp:lastPrinted>
  <dcterms:created xsi:type="dcterms:W3CDTF">2013-10-29T22:33:54Z</dcterms:created>
  <dcterms:modified xsi:type="dcterms:W3CDTF">2019-11-19T22:22:17Z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0x0101006E56B4D1795A2E4DB2F0B01679ED314A00AE463504810FD84088EEDE6D225DB8BD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