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worksheets/sheet11.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14.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docProps/custom.xml" ContentType="application/vnd.openxmlformats-officedocument.custom-properties+xml"/>
  <Override PartName="/docProps/core.xml" ContentType="application/vnd.openxmlformats-package.core-properties+xml"/>
  <Override PartName="/xl/comments1.xml" ContentType="application/vnd.openxmlformats-officedocument.spreadsheetml.comments+xml"/>
  <Override PartName="/xl/comments6.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7.xml" ContentType="application/vnd.openxmlformats-officedocument.spreadsheetml.comment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1.xml" ContentType="application/vnd.openxmlformats-officedocument.customXmlProperties+xml"/>
  <Override PartName="/xl/comments8.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545" windowWidth="15180" windowHeight="6270"/>
  </bookViews>
  <sheets>
    <sheet name="Staff Analysis" sheetId="11" r:id="rId1"/>
    <sheet name="181018 WUTC_AW of Lynnwood_MF" sheetId="46" r:id="rId2"/>
    <sheet name="181018 MF Value" sheetId="49" r:id="rId3"/>
    <sheet name="181018 WUTC_AW of Lynnwood_SF" sheetId="47" r:id="rId4"/>
    <sheet name="181018 SF Value" sheetId="48" r:id="rId5"/>
    <sheet name="Staff Calc return of carryover" sheetId="45" r:id="rId6"/>
    <sheet name="WUTC_AW of Lynnwood_SF" sheetId="35" r:id="rId7"/>
    <sheet name="Value (3)" sheetId="36" r:id="rId8"/>
    <sheet name="Commodity Tonnages (3)" sheetId="37" r:id="rId9"/>
    <sheet name="Pricing (3)" sheetId="38" r:id="rId10"/>
    <sheet name="Single Family (3)" sheetId="39" r:id="rId11"/>
    <sheet name="WUTC_AW of Lynnwood_MF" sheetId="40" r:id="rId12"/>
    <sheet name="Value (4)" sheetId="41" r:id="rId13"/>
    <sheet name="Pricing (4)" sheetId="42" r:id="rId14"/>
    <sheet name="Commodity Tonnages (4)" sheetId="43" r:id="rId15"/>
    <sheet name="Multi_Family (3)" sheetId="44" r:id="rId16"/>
  </sheets>
  <externalReferences>
    <externalReference r:id="rId17"/>
    <externalReference r:id="rId18"/>
    <externalReference r:id="rId19"/>
    <externalReference r:id="rId20"/>
  </externalReferences>
  <definedNames>
    <definedName name="BREMAIR_COST_of_SERVICE_STUDY">#REF!</definedName>
    <definedName name="color" localSheetId="8">#REF!</definedName>
    <definedName name="color" localSheetId="14">#REF!</definedName>
    <definedName name="color" localSheetId="15">#REF!</definedName>
    <definedName name="color" localSheetId="9">#REF!</definedName>
    <definedName name="color" localSheetId="13">#REF!</definedName>
    <definedName name="color" localSheetId="10">#REF!</definedName>
    <definedName name="color" localSheetId="0">#REF!</definedName>
    <definedName name="color" localSheetId="7">#REF!</definedName>
    <definedName name="color" localSheetId="12">#REF!</definedName>
    <definedName name="color" localSheetId="11">#REF!</definedName>
    <definedName name="color" localSheetId="6">#REF!</definedName>
    <definedName name="color">#REF!</definedName>
    <definedName name="_xlnm.Print_Area" localSheetId="15">'Multi_Family (3)'!$A$7:$N$102</definedName>
    <definedName name="_xlnm.Print_Area" localSheetId="9">'Pricing (3)'!$A$1:$L$19</definedName>
    <definedName name="_xlnm.Print_Area" localSheetId="13">'Pricing (4)'!$A$1:$L$17</definedName>
    <definedName name="_xlnm.Print_Area" localSheetId="10">'Single Family (3)'!$A$1:$O$105</definedName>
    <definedName name="_xlnm.Print_Area" localSheetId="0">'Staff Analysis'!$A$1:$F$57</definedName>
    <definedName name="_xlnm.Print_Area" localSheetId="11">'WUTC_AW of Lynnwood_MF'!$A$1:$P$82</definedName>
    <definedName name="_xlnm.Print_Area" localSheetId="6">'WUTC_AW of Lynnwood_SF'!$A$1:$P$75</definedName>
    <definedName name="_xlnm.Print_Titles" localSheetId="15">'Multi_Family (3)'!$A:$B,'Multi_Family (3)'!$1:$6</definedName>
    <definedName name="_xlnm.Print_Titles" localSheetId="10">'Single Family (3)'!$A:$B,'Single Family (3)'!$1:$6</definedName>
    <definedName name="Print1">#REF!</definedName>
    <definedName name="Print2">#REF!</definedName>
  </definedNames>
  <calcPr calcId="145621"/>
</workbook>
</file>

<file path=xl/calcChain.xml><?xml version="1.0" encoding="utf-8"?>
<calcChain xmlns="http://schemas.openxmlformats.org/spreadsheetml/2006/main">
  <c r="E44" i="11" l="1"/>
  <c r="E17" i="11" l="1"/>
  <c r="E43" i="11" l="1"/>
  <c r="E42" i="11"/>
  <c r="E16" i="11"/>
  <c r="E15" i="11"/>
  <c r="D18" i="49"/>
  <c r="L17" i="49"/>
  <c r="K17" i="49"/>
  <c r="J17" i="49"/>
  <c r="I17" i="49"/>
  <c r="H17" i="49"/>
  <c r="F17" i="49"/>
  <c r="E17" i="49"/>
  <c r="D17" i="49"/>
  <c r="C17" i="49"/>
  <c r="M17" i="49" s="1"/>
  <c r="O17" i="49" s="1"/>
  <c r="A17" i="49"/>
  <c r="L16" i="49"/>
  <c r="K16" i="49"/>
  <c r="J16" i="49"/>
  <c r="I16" i="49"/>
  <c r="H16" i="49"/>
  <c r="G16" i="49"/>
  <c r="F16" i="49"/>
  <c r="E16" i="49"/>
  <c r="D16" i="49"/>
  <c r="C16" i="49"/>
  <c r="M16" i="49" s="1"/>
  <c r="O16" i="49" s="1"/>
  <c r="A16" i="49"/>
  <c r="M15" i="49"/>
  <c r="O15" i="49" s="1"/>
  <c r="L15" i="49"/>
  <c r="K15" i="49"/>
  <c r="J15" i="49"/>
  <c r="I15" i="49"/>
  <c r="H15" i="49"/>
  <c r="G15" i="49"/>
  <c r="F15" i="49"/>
  <c r="E15" i="49"/>
  <c r="D15" i="49"/>
  <c r="C15" i="49"/>
  <c r="A15" i="49"/>
  <c r="L14" i="49"/>
  <c r="K14" i="49"/>
  <c r="J14" i="49"/>
  <c r="I14" i="49"/>
  <c r="H14" i="49"/>
  <c r="G14" i="49"/>
  <c r="F14" i="49"/>
  <c r="E14" i="49"/>
  <c r="D14" i="49"/>
  <c r="C14" i="49"/>
  <c r="M14" i="49" s="1"/>
  <c r="O14" i="49" s="1"/>
  <c r="A14" i="49"/>
  <c r="L13" i="49"/>
  <c r="K13" i="49"/>
  <c r="J13" i="49"/>
  <c r="I13" i="49"/>
  <c r="H13" i="49"/>
  <c r="G13" i="49"/>
  <c r="F13" i="49"/>
  <c r="E13" i="49"/>
  <c r="D13" i="49"/>
  <c r="C13" i="49"/>
  <c r="M13" i="49" s="1"/>
  <c r="O13" i="49" s="1"/>
  <c r="A13" i="49"/>
  <c r="L12" i="49"/>
  <c r="K12" i="49"/>
  <c r="J12" i="49"/>
  <c r="I12" i="49"/>
  <c r="H12" i="49"/>
  <c r="G12" i="49"/>
  <c r="F12" i="49"/>
  <c r="E12" i="49"/>
  <c r="D12" i="49"/>
  <c r="C12" i="49"/>
  <c r="M12" i="49" s="1"/>
  <c r="O12" i="49" s="1"/>
  <c r="A12" i="49"/>
  <c r="L11" i="49"/>
  <c r="K11" i="49"/>
  <c r="J11" i="49"/>
  <c r="I11" i="49"/>
  <c r="H11" i="49"/>
  <c r="G11" i="49"/>
  <c r="F11" i="49"/>
  <c r="E11" i="49"/>
  <c r="M11" i="49" s="1"/>
  <c r="O11" i="49" s="1"/>
  <c r="D11" i="49"/>
  <c r="C11" i="49"/>
  <c r="A11" i="49"/>
  <c r="L10" i="49"/>
  <c r="K10" i="49"/>
  <c r="J10" i="49"/>
  <c r="I10" i="49"/>
  <c r="H10" i="49"/>
  <c r="G10" i="49"/>
  <c r="F10" i="49"/>
  <c r="E10" i="49"/>
  <c r="M10" i="49" s="1"/>
  <c r="O10" i="49" s="1"/>
  <c r="D10" i="49"/>
  <c r="C10" i="49"/>
  <c r="A10" i="49"/>
  <c r="L9" i="49"/>
  <c r="K9" i="49"/>
  <c r="J9" i="49"/>
  <c r="I9" i="49"/>
  <c r="H9" i="49"/>
  <c r="G9" i="49"/>
  <c r="F9" i="49"/>
  <c r="E9" i="49"/>
  <c r="D9" i="49"/>
  <c r="C9" i="49"/>
  <c r="M9" i="49" s="1"/>
  <c r="O9" i="49" s="1"/>
  <c r="A9" i="49"/>
  <c r="L8" i="49"/>
  <c r="L18" i="49" s="1"/>
  <c r="K8" i="49"/>
  <c r="J8" i="49"/>
  <c r="I8" i="49"/>
  <c r="H8" i="49"/>
  <c r="H18" i="49" s="1"/>
  <c r="G8" i="49"/>
  <c r="F8" i="49"/>
  <c r="E8" i="49"/>
  <c r="D8" i="49"/>
  <c r="C8" i="49"/>
  <c r="M8" i="49" s="1"/>
  <c r="O8" i="49" s="1"/>
  <c r="A8" i="49"/>
  <c r="L7" i="49"/>
  <c r="K7" i="49"/>
  <c r="J7" i="49"/>
  <c r="I7" i="49"/>
  <c r="H7" i="49"/>
  <c r="G7" i="49"/>
  <c r="F7" i="49"/>
  <c r="E7" i="49"/>
  <c r="M7" i="49" s="1"/>
  <c r="O7" i="49" s="1"/>
  <c r="D7" i="49"/>
  <c r="C7" i="49"/>
  <c r="A7" i="49"/>
  <c r="L6" i="49"/>
  <c r="K6" i="49"/>
  <c r="K18" i="49" s="1"/>
  <c r="J6" i="49"/>
  <c r="J18" i="49" s="1"/>
  <c r="I6" i="49"/>
  <c r="I18" i="49" s="1"/>
  <c r="H6" i="49"/>
  <c r="G6" i="49"/>
  <c r="G18" i="49" s="1"/>
  <c r="F6" i="49"/>
  <c r="F18" i="49" s="1"/>
  <c r="E6" i="49"/>
  <c r="M6" i="49" s="1"/>
  <c r="O6" i="49" s="1"/>
  <c r="D6" i="49"/>
  <c r="C6" i="49"/>
  <c r="C18" i="49" s="1"/>
  <c r="A6" i="49"/>
  <c r="A2" i="49"/>
  <c r="L17" i="48"/>
  <c r="K17" i="48"/>
  <c r="J17" i="48"/>
  <c r="I17" i="48"/>
  <c r="H17" i="48"/>
  <c r="G17" i="48"/>
  <c r="F17" i="48"/>
  <c r="E17" i="48"/>
  <c r="D17" i="48"/>
  <c r="C17" i="48"/>
  <c r="M17" i="48" s="1"/>
  <c r="O17" i="48" s="1"/>
  <c r="A17" i="48"/>
  <c r="L16" i="48"/>
  <c r="K16" i="48"/>
  <c r="J16" i="48"/>
  <c r="I16" i="48"/>
  <c r="H16" i="48"/>
  <c r="G16" i="48"/>
  <c r="F16" i="48"/>
  <c r="E16" i="48"/>
  <c r="D16" i="48"/>
  <c r="C16" i="48"/>
  <c r="M16" i="48" s="1"/>
  <c r="O16" i="48" s="1"/>
  <c r="A16" i="48"/>
  <c r="L15" i="48"/>
  <c r="K15" i="48"/>
  <c r="J15" i="48"/>
  <c r="I15" i="48"/>
  <c r="H15" i="48"/>
  <c r="G15" i="48"/>
  <c r="F15" i="48"/>
  <c r="E15" i="48"/>
  <c r="M15" i="48" s="1"/>
  <c r="O15" i="48" s="1"/>
  <c r="D15" i="48"/>
  <c r="C15" i="48"/>
  <c r="A15" i="48"/>
  <c r="L14" i="48"/>
  <c r="K14" i="48"/>
  <c r="J14" i="48"/>
  <c r="I14" i="48"/>
  <c r="H14" i="48"/>
  <c r="G14" i="48"/>
  <c r="F14" i="48"/>
  <c r="E14" i="48"/>
  <c r="M14" i="48" s="1"/>
  <c r="O14" i="48" s="1"/>
  <c r="D14" i="48"/>
  <c r="C14" i="48"/>
  <c r="A14" i="48"/>
  <c r="L13" i="48"/>
  <c r="K13" i="48"/>
  <c r="J13" i="48"/>
  <c r="I13" i="48"/>
  <c r="H13" i="48"/>
  <c r="G13" i="48"/>
  <c r="F13" i="48"/>
  <c r="E13" i="48"/>
  <c r="D13" i="48"/>
  <c r="C13" i="48"/>
  <c r="M13" i="48" s="1"/>
  <c r="O13" i="48" s="1"/>
  <c r="A13" i="48"/>
  <c r="L12" i="48"/>
  <c r="K12" i="48"/>
  <c r="J12" i="48"/>
  <c r="I12" i="48"/>
  <c r="H12" i="48"/>
  <c r="G12" i="48"/>
  <c r="F12" i="48"/>
  <c r="E12" i="48"/>
  <c r="D12" i="48"/>
  <c r="C12" i="48"/>
  <c r="M12" i="48" s="1"/>
  <c r="O12" i="48" s="1"/>
  <c r="A12" i="48"/>
  <c r="L11" i="48"/>
  <c r="K11" i="48"/>
  <c r="J11" i="48"/>
  <c r="I11" i="48"/>
  <c r="H11" i="48"/>
  <c r="G11" i="48"/>
  <c r="F11" i="48"/>
  <c r="E11" i="48"/>
  <c r="M11" i="48" s="1"/>
  <c r="O11" i="48" s="1"/>
  <c r="D11" i="48"/>
  <c r="C11" i="48"/>
  <c r="A11" i="48"/>
  <c r="L10" i="48"/>
  <c r="K10" i="48"/>
  <c r="J10" i="48"/>
  <c r="I10" i="48"/>
  <c r="H10" i="48"/>
  <c r="G10" i="48"/>
  <c r="F10" i="48"/>
  <c r="E10" i="48"/>
  <c r="M10" i="48" s="1"/>
  <c r="O10" i="48" s="1"/>
  <c r="D10" i="48"/>
  <c r="C10" i="48"/>
  <c r="A10" i="48"/>
  <c r="L9" i="48"/>
  <c r="K9" i="48"/>
  <c r="K18" i="48" s="1"/>
  <c r="J9" i="48"/>
  <c r="I9" i="48"/>
  <c r="H9" i="48"/>
  <c r="G9" i="48"/>
  <c r="G18" i="48" s="1"/>
  <c r="F9" i="48"/>
  <c r="E9" i="48"/>
  <c r="D9" i="48"/>
  <c r="C9" i="48"/>
  <c r="M9" i="48" s="1"/>
  <c r="O9" i="48" s="1"/>
  <c r="A9" i="48"/>
  <c r="L8" i="48"/>
  <c r="K8" i="48"/>
  <c r="J8" i="48"/>
  <c r="I8" i="48"/>
  <c r="H8" i="48"/>
  <c r="G8" i="48"/>
  <c r="F8" i="48"/>
  <c r="E8" i="48"/>
  <c r="D8" i="48"/>
  <c r="C8" i="48"/>
  <c r="M8" i="48" s="1"/>
  <c r="O8" i="48" s="1"/>
  <c r="A8" i="48"/>
  <c r="L7" i="48"/>
  <c r="K7" i="48"/>
  <c r="J7" i="48"/>
  <c r="I7" i="48"/>
  <c r="H7" i="48"/>
  <c r="G7" i="48"/>
  <c r="F7" i="48"/>
  <c r="E7" i="48"/>
  <c r="M7" i="48" s="1"/>
  <c r="O7" i="48" s="1"/>
  <c r="D7" i="48"/>
  <c r="C7" i="48"/>
  <c r="A7" i="48"/>
  <c r="L6" i="48"/>
  <c r="L18" i="48" s="1"/>
  <c r="K6" i="48"/>
  <c r="J6" i="48"/>
  <c r="J18" i="48" s="1"/>
  <c r="I6" i="48"/>
  <c r="I18" i="48" s="1"/>
  <c r="H6" i="48"/>
  <c r="H18" i="48" s="1"/>
  <c r="G6" i="48"/>
  <c r="F6" i="48"/>
  <c r="F18" i="48" s="1"/>
  <c r="E6" i="48"/>
  <c r="M6" i="48" s="1"/>
  <c r="O6" i="48" s="1"/>
  <c r="D6" i="48"/>
  <c r="D18" i="48" s="1"/>
  <c r="C6" i="48"/>
  <c r="A6" i="48"/>
  <c r="A2" i="48"/>
  <c r="M18" i="49" l="1"/>
  <c r="O18" i="49"/>
  <c r="E18" i="49"/>
  <c r="O18" i="48"/>
  <c r="C18" i="48"/>
  <c r="M18" i="48" s="1"/>
  <c r="E18" i="48"/>
  <c r="P18" i="49" l="1"/>
  <c r="O4" i="49" s="1"/>
  <c r="P18" i="48"/>
  <c r="O4" i="48" s="1"/>
  <c r="E24" i="11" l="1"/>
  <c r="E51" i="11" l="1"/>
  <c r="C39" i="11" l="1"/>
  <c r="C38" i="11"/>
  <c r="C12" i="11"/>
  <c r="C11" i="11"/>
  <c r="I76" i="46"/>
  <c r="I69" i="46"/>
  <c r="B24" i="46"/>
  <c r="J22" i="46"/>
  <c r="O27" i="46" s="1"/>
  <c r="D22" i="46"/>
  <c r="J21" i="46"/>
  <c r="D21" i="46"/>
  <c r="J20" i="46"/>
  <c r="D20" i="46"/>
  <c r="J19" i="46"/>
  <c r="D19" i="46"/>
  <c r="J18" i="46"/>
  <c r="D18" i="46"/>
  <c r="J17" i="46"/>
  <c r="D17" i="46"/>
  <c r="J16" i="46"/>
  <c r="D16" i="46"/>
  <c r="F16" i="46" s="1"/>
  <c r="J15" i="46"/>
  <c r="D15" i="46"/>
  <c r="F15" i="46" s="1"/>
  <c r="J14" i="46"/>
  <c r="D14" i="46"/>
  <c r="F14" i="46" s="1"/>
  <c r="B12" i="46"/>
  <c r="F40" i="46" s="1"/>
  <c r="F41" i="46" s="1"/>
  <c r="J10" i="46"/>
  <c r="D10" i="46"/>
  <c r="F10" i="46" s="1"/>
  <c r="J9" i="46"/>
  <c r="D9" i="46"/>
  <c r="F9" i="46" s="1"/>
  <c r="O8" i="46"/>
  <c r="J8" i="46"/>
  <c r="J26" i="46" s="1"/>
  <c r="G56" i="46" s="1"/>
  <c r="D8" i="46"/>
  <c r="A8" i="46"/>
  <c r="K8" i="46" s="1"/>
  <c r="O7" i="46"/>
  <c r="O6" i="46"/>
  <c r="O5" i="46"/>
  <c r="I71" i="47"/>
  <c r="I64" i="47"/>
  <c r="F37" i="47"/>
  <c r="F38" i="47" s="1"/>
  <c r="O27" i="47"/>
  <c r="B24" i="47"/>
  <c r="F41" i="47" s="1"/>
  <c r="F42" i="47" s="1"/>
  <c r="J22" i="47"/>
  <c r="D22" i="47"/>
  <c r="J21" i="47"/>
  <c r="D21" i="47"/>
  <c r="J20" i="47"/>
  <c r="D20" i="47"/>
  <c r="J19" i="47"/>
  <c r="D19" i="47"/>
  <c r="J18" i="47"/>
  <c r="D18" i="47"/>
  <c r="J17" i="47"/>
  <c r="D17" i="47"/>
  <c r="J16" i="47"/>
  <c r="D16" i="47"/>
  <c r="F16" i="47" s="1"/>
  <c r="J15" i="47"/>
  <c r="D15" i="47"/>
  <c r="F15" i="47" s="1"/>
  <c r="J14" i="47"/>
  <c r="D14" i="47"/>
  <c r="F14" i="47" s="1"/>
  <c r="B12" i="47"/>
  <c r="B26" i="47" s="1"/>
  <c r="B28" i="47" s="1"/>
  <c r="J10" i="47"/>
  <c r="D10" i="47"/>
  <c r="F10" i="47" s="1"/>
  <c r="J9" i="47"/>
  <c r="D9" i="47"/>
  <c r="F9" i="47" s="1"/>
  <c r="J8" i="47"/>
  <c r="J26" i="47" s="1"/>
  <c r="G53" i="47" s="1"/>
  <c r="D8" i="47"/>
  <c r="A8" i="47"/>
  <c r="O7" i="47"/>
  <c r="O6" i="47"/>
  <c r="O5" i="47"/>
  <c r="C56" i="11"/>
  <c r="A50" i="11"/>
  <c r="A39" i="11"/>
  <c r="D38" i="11"/>
  <c r="E38" i="11" s="1"/>
  <c r="C40" i="11"/>
  <c r="E46" i="11" s="1"/>
  <c r="A38" i="11"/>
  <c r="A37" i="11"/>
  <c r="D11" i="11"/>
  <c r="C13" i="11"/>
  <c r="E19" i="11" s="1"/>
  <c r="D12" i="46" l="1"/>
  <c r="D12" i="47"/>
  <c r="D24" i="46"/>
  <c r="D26" i="46" s="1"/>
  <c r="F8" i="46"/>
  <c r="A9" i="46"/>
  <c r="B26" i="46"/>
  <c r="F44" i="47"/>
  <c r="G44" i="47" s="1"/>
  <c r="O8" i="47"/>
  <c r="D24" i="47"/>
  <c r="D26" i="47" s="1"/>
  <c r="K8" i="47"/>
  <c r="F8" i="47"/>
  <c r="A9" i="47"/>
  <c r="E11" i="11"/>
  <c r="K50" i="11"/>
  <c r="K23" i="11"/>
  <c r="I7" i="45"/>
  <c r="I6" i="45"/>
  <c r="I5" i="45"/>
  <c r="H6" i="45"/>
  <c r="H5" i="45"/>
  <c r="G7" i="45"/>
  <c r="C7" i="45"/>
  <c r="D7" i="45"/>
  <c r="F7" i="45"/>
  <c r="D6" i="45"/>
  <c r="D5" i="45"/>
  <c r="C6" i="45"/>
  <c r="C5" i="45"/>
  <c r="A10" i="46" l="1"/>
  <c r="O9" i="46"/>
  <c r="K9" i="46"/>
  <c r="G37" i="46"/>
  <c r="G50" i="46" s="1"/>
  <c r="G57" i="46" s="1"/>
  <c r="G59" i="46" s="1"/>
  <c r="I59" i="46" s="1"/>
  <c r="F26" i="46"/>
  <c r="D29" i="46"/>
  <c r="E50" i="11" s="1"/>
  <c r="F52" i="11" s="1"/>
  <c r="F44" i="46"/>
  <c r="F45" i="46" s="1"/>
  <c r="F47" i="46" s="1"/>
  <c r="G47" i="46" s="1"/>
  <c r="B29" i="46"/>
  <c r="D28" i="47"/>
  <c r="G34" i="47"/>
  <c r="G47" i="47" s="1"/>
  <c r="G54" i="47" s="1"/>
  <c r="G56" i="47" s="1"/>
  <c r="I56" i="47" s="1"/>
  <c r="F26" i="47"/>
  <c r="O9" i="47"/>
  <c r="K9" i="47"/>
  <c r="A10" i="47"/>
  <c r="K42" i="11"/>
  <c r="K51" i="11"/>
  <c r="I39" i="11"/>
  <c r="I38" i="11"/>
  <c r="B2" i="44"/>
  <c r="D6" i="44"/>
  <c r="E6" i="44"/>
  <c r="F6" i="44"/>
  <c r="G6" i="44" s="1"/>
  <c r="H6" i="44" s="1"/>
  <c r="I6" i="44" s="1"/>
  <c r="J6" i="44" s="1"/>
  <c r="K6" i="44" s="1"/>
  <c r="L6" i="44" s="1"/>
  <c r="M6" i="44" s="1"/>
  <c r="N6" i="44" s="1"/>
  <c r="C9" i="44"/>
  <c r="D9" i="44"/>
  <c r="E9" i="44"/>
  <c r="F9" i="44"/>
  <c r="G9" i="44"/>
  <c r="H9" i="44"/>
  <c r="I9" i="44"/>
  <c r="J9" i="44"/>
  <c r="K9" i="44"/>
  <c r="L9" i="44"/>
  <c r="M9" i="44"/>
  <c r="N9" i="44"/>
  <c r="C10" i="44"/>
  <c r="D10" i="44"/>
  <c r="E10" i="44"/>
  <c r="F10" i="44"/>
  <c r="F33" i="44" s="1"/>
  <c r="F61" i="44" s="1"/>
  <c r="F88" i="44" s="1"/>
  <c r="G10" i="44"/>
  <c r="H10" i="44"/>
  <c r="I10" i="44"/>
  <c r="J10" i="44"/>
  <c r="K10" i="44"/>
  <c r="L10" i="44"/>
  <c r="M10" i="44"/>
  <c r="N10" i="44"/>
  <c r="D13" i="44"/>
  <c r="E13" i="44" s="1"/>
  <c r="F13" i="44"/>
  <c r="G13" i="44"/>
  <c r="D14" i="44"/>
  <c r="D28" i="44" s="1"/>
  <c r="D15" i="44"/>
  <c r="E15" i="44"/>
  <c r="F15" i="44"/>
  <c r="G15" i="44" s="1"/>
  <c r="H15" i="44" s="1"/>
  <c r="H29" i="44" s="1"/>
  <c r="H57" i="44" s="1"/>
  <c r="H84" i="44" s="1"/>
  <c r="D16" i="44"/>
  <c r="E16" i="44" s="1"/>
  <c r="F16" i="44" s="1"/>
  <c r="G16" i="44" s="1"/>
  <c r="D17" i="44"/>
  <c r="D18" i="44"/>
  <c r="E18" i="44"/>
  <c r="F18" i="44" s="1"/>
  <c r="G18" i="44" s="1"/>
  <c r="G32" i="44" s="1"/>
  <c r="G60" i="44" s="1"/>
  <c r="G87" i="44" s="1"/>
  <c r="D19" i="44"/>
  <c r="D33" i="44" s="1"/>
  <c r="D61" i="44" s="1"/>
  <c r="D88" i="44" s="1"/>
  <c r="E19" i="44"/>
  <c r="F19" i="44" s="1"/>
  <c r="G19" i="44" s="1"/>
  <c r="H19" i="44" s="1"/>
  <c r="D20" i="44"/>
  <c r="E20" i="44" s="1"/>
  <c r="F20" i="44" s="1"/>
  <c r="G20" i="44" s="1"/>
  <c r="D21" i="44"/>
  <c r="D22" i="44"/>
  <c r="D36" i="44" s="1"/>
  <c r="D23" i="44"/>
  <c r="E23" i="44"/>
  <c r="F23" i="44"/>
  <c r="G23" i="44" s="1"/>
  <c r="H23" i="44" s="1"/>
  <c r="H37" i="44" s="1"/>
  <c r="C27" i="44"/>
  <c r="C55" i="44" s="1"/>
  <c r="D27" i="44"/>
  <c r="C28" i="44"/>
  <c r="C56" i="44" s="1"/>
  <c r="C83" i="44" s="1"/>
  <c r="C29" i="44"/>
  <c r="C57" i="44" s="1"/>
  <c r="C84" i="44" s="1"/>
  <c r="D29" i="44"/>
  <c r="C30" i="44"/>
  <c r="C58" i="44" s="1"/>
  <c r="C31" i="44"/>
  <c r="C59" i="44" s="1"/>
  <c r="C32" i="44"/>
  <c r="C60" i="44" s="1"/>
  <c r="C87" i="44" s="1"/>
  <c r="C33" i="44"/>
  <c r="C61" i="44" s="1"/>
  <c r="C34" i="44"/>
  <c r="C62" i="44" s="1"/>
  <c r="C35" i="44"/>
  <c r="C63" i="44" s="1"/>
  <c r="C36" i="44"/>
  <c r="C37" i="44"/>
  <c r="D37" i="44"/>
  <c r="D55" i="44"/>
  <c r="D82" i="44" s="1"/>
  <c r="D57" i="44"/>
  <c r="C64" i="44"/>
  <c r="C91" i="44" s="1"/>
  <c r="D64" i="44"/>
  <c r="D91" i="44" s="1"/>
  <c r="C65" i="44"/>
  <c r="C52" i="44" s="1"/>
  <c r="O79" i="44"/>
  <c r="C82" i="44"/>
  <c r="D84" i="44"/>
  <c r="C85" i="44"/>
  <c r="C86" i="44"/>
  <c r="C88" i="44"/>
  <c r="C89" i="44"/>
  <c r="C90" i="44"/>
  <c r="B105" i="44"/>
  <c r="A6" i="43"/>
  <c r="A7" i="43"/>
  <c r="A8" i="43" s="1"/>
  <c r="A9" i="43" s="1"/>
  <c r="A10" i="43" s="1"/>
  <c r="A11" i="43" s="1"/>
  <c r="A12" i="43" s="1"/>
  <c r="A13" i="43" s="1"/>
  <c r="A14" i="43" s="1"/>
  <c r="A15" i="43" s="1"/>
  <c r="A16" i="43" s="1"/>
  <c r="A17" i="43" s="1"/>
  <c r="A4" i="42"/>
  <c r="A5" i="42" s="1"/>
  <c r="C4" i="42"/>
  <c r="D4" i="42"/>
  <c r="E4" i="42"/>
  <c r="F4" i="42"/>
  <c r="G4" i="42"/>
  <c r="H4" i="42"/>
  <c r="I4" i="42"/>
  <c r="J4" i="42"/>
  <c r="K4" i="42"/>
  <c r="L4" i="42"/>
  <c r="C5" i="42"/>
  <c r="D5" i="42"/>
  <c r="E5" i="42"/>
  <c r="F5" i="42"/>
  <c r="G5" i="42"/>
  <c r="H5" i="42"/>
  <c r="I5" i="42"/>
  <c r="J5" i="42"/>
  <c r="K5" i="42"/>
  <c r="L5" i="42"/>
  <c r="C6" i="42"/>
  <c r="D6" i="42"/>
  <c r="E6" i="42"/>
  <c r="F6" i="42"/>
  <c r="G6" i="42"/>
  <c r="H6" i="42"/>
  <c r="I6" i="42"/>
  <c r="J6" i="42"/>
  <c r="K6" i="42"/>
  <c r="L6" i="42"/>
  <c r="C7" i="42"/>
  <c r="D7" i="42"/>
  <c r="E7" i="42"/>
  <c r="F7" i="42"/>
  <c r="G7" i="42"/>
  <c r="H7" i="42"/>
  <c r="I7" i="42"/>
  <c r="J7" i="42"/>
  <c r="K7" i="42"/>
  <c r="L7" i="42"/>
  <c r="C8" i="42"/>
  <c r="D8" i="42"/>
  <c r="E8" i="42"/>
  <c r="F8" i="42"/>
  <c r="G8" i="42"/>
  <c r="H8" i="42"/>
  <c r="I8" i="42"/>
  <c r="J8" i="42"/>
  <c r="K8" i="42"/>
  <c r="L8" i="42"/>
  <c r="C9" i="42"/>
  <c r="D9" i="42"/>
  <c r="E9" i="42"/>
  <c r="F9" i="42"/>
  <c r="G9" i="42"/>
  <c r="H9" i="42"/>
  <c r="I9" i="42"/>
  <c r="J9" i="42"/>
  <c r="K9" i="42"/>
  <c r="L9" i="42"/>
  <c r="C10" i="42"/>
  <c r="D10" i="42"/>
  <c r="E10" i="42"/>
  <c r="F10" i="42"/>
  <c r="G10" i="42"/>
  <c r="H10" i="42"/>
  <c r="I10" i="42"/>
  <c r="J10" i="42"/>
  <c r="K10" i="42"/>
  <c r="L10" i="42"/>
  <c r="C11" i="42"/>
  <c r="D11" i="42"/>
  <c r="E11" i="42"/>
  <c r="F11" i="42"/>
  <c r="G11" i="42"/>
  <c r="H11" i="42"/>
  <c r="I11" i="42"/>
  <c r="J11" i="42"/>
  <c r="K11" i="42"/>
  <c r="L11" i="42"/>
  <c r="C12" i="42"/>
  <c r="D12" i="42"/>
  <c r="E12" i="42"/>
  <c r="F12" i="42"/>
  <c r="G12" i="42"/>
  <c r="H12" i="42"/>
  <c r="I12" i="42"/>
  <c r="J12" i="42"/>
  <c r="K12" i="42"/>
  <c r="L12" i="42"/>
  <c r="C13" i="42"/>
  <c r="D13" i="42"/>
  <c r="E13" i="42"/>
  <c r="F13" i="42"/>
  <c r="G13" i="42"/>
  <c r="H13" i="42"/>
  <c r="I13" i="42"/>
  <c r="J13" i="42"/>
  <c r="K13" i="42"/>
  <c r="L13" i="42"/>
  <c r="C14" i="42"/>
  <c r="D14" i="42"/>
  <c r="E14" i="42"/>
  <c r="F14" i="42"/>
  <c r="G14" i="42"/>
  <c r="H14" i="42"/>
  <c r="I14" i="42"/>
  <c r="J14" i="42"/>
  <c r="K14" i="42"/>
  <c r="L14" i="42"/>
  <c r="C15" i="42"/>
  <c r="D15" i="42"/>
  <c r="E15" i="42"/>
  <c r="F15" i="42"/>
  <c r="G15" i="42"/>
  <c r="H15" i="42"/>
  <c r="I15" i="42"/>
  <c r="J15" i="42"/>
  <c r="K15" i="42"/>
  <c r="L15" i="42"/>
  <c r="A2" i="41"/>
  <c r="A6" i="41"/>
  <c r="O5" i="40"/>
  <c r="O6" i="40"/>
  <c r="O7" i="40"/>
  <c r="A8" i="40"/>
  <c r="A9" i="40" s="1"/>
  <c r="J8" i="40"/>
  <c r="J9" i="40"/>
  <c r="J10" i="40"/>
  <c r="B12" i="40"/>
  <c r="J14" i="40"/>
  <c r="J15" i="40"/>
  <c r="J16" i="40"/>
  <c r="J17" i="40"/>
  <c r="J18" i="40"/>
  <c r="J19" i="40"/>
  <c r="J20" i="40"/>
  <c r="J21" i="40"/>
  <c r="J22" i="40"/>
  <c r="O27" i="40" s="1"/>
  <c r="B24" i="40"/>
  <c r="B29" i="40"/>
  <c r="F40" i="40"/>
  <c r="F41" i="40" s="1"/>
  <c r="I69" i="40"/>
  <c r="I76" i="40"/>
  <c r="C9" i="39"/>
  <c r="D9" i="39"/>
  <c r="E9" i="39"/>
  <c r="F9" i="39"/>
  <c r="G9" i="39"/>
  <c r="H9" i="39"/>
  <c r="I9" i="39"/>
  <c r="J9" i="39"/>
  <c r="K9" i="39"/>
  <c r="L9" i="39"/>
  <c r="M9" i="39"/>
  <c r="N9" i="39"/>
  <c r="C10" i="39"/>
  <c r="C28" i="39" s="1"/>
  <c r="D10" i="39"/>
  <c r="D27" i="39" s="1"/>
  <c r="D55" i="39" s="1"/>
  <c r="D82" i="39" s="1"/>
  <c r="E10" i="39"/>
  <c r="F10" i="39"/>
  <c r="G10" i="39"/>
  <c r="H10" i="39"/>
  <c r="I10" i="39"/>
  <c r="J10" i="39"/>
  <c r="K10" i="39"/>
  <c r="L10" i="39"/>
  <c r="M10" i="39"/>
  <c r="N10" i="39"/>
  <c r="D13" i="39"/>
  <c r="E13" i="39" s="1"/>
  <c r="F13" i="39" s="1"/>
  <c r="G13" i="39" s="1"/>
  <c r="D14" i="39"/>
  <c r="E14" i="39" s="1"/>
  <c r="F14" i="39" s="1"/>
  <c r="G14" i="39" s="1"/>
  <c r="G28" i="39" s="1"/>
  <c r="G56" i="39" s="1"/>
  <c r="G83" i="39" s="1"/>
  <c r="D15" i="39"/>
  <c r="E15" i="39" s="1"/>
  <c r="F15" i="39" s="1"/>
  <c r="G15" i="39" s="1"/>
  <c r="H15" i="39" s="1"/>
  <c r="H29" i="39" s="1"/>
  <c r="H57" i="39" s="1"/>
  <c r="H84" i="39" s="1"/>
  <c r="D16" i="39"/>
  <c r="E16" i="39" s="1"/>
  <c r="F16" i="39" s="1"/>
  <c r="G16" i="39" s="1"/>
  <c r="D17" i="39"/>
  <c r="D18" i="39"/>
  <c r="D19" i="39"/>
  <c r="E19" i="39" s="1"/>
  <c r="F19" i="39" s="1"/>
  <c r="D20" i="39"/>
  <c r="E20" i="39" s="1"/>
  <c r="F20" i="39" s="1"/>
  <c r="G20" i="39" s="1"/>
  <c r="H20" i="39" s="1"/>
  <c r="D21" i="39"/>
  <c r="D22" i="39"/>
  <c r="D23" i="39"/>
  <c r="E23" i="39" s="1"/>
  <c r="F23" i="39" s="1"/>
  <c r="G23" i="39" s="1"/>
  <c r="H23" i="39" s="1"/>
  <c r="C31" i="39"/>
  <c r="C59" i="39" s="1"/>
  <c r="C86" i="39" s="1"/>
  <c r="O79" i="39"/>
  <c r="B105" i="39"/>
  <c r="A6" i="38"/>
  <c r="C6" i="38"/>
  <c r="D6" i="38"/>
  <c r="E6" i="38"/>
  <c r="F6" i="38"/>
  <c r="G6" i="38"/>
  <c r="H6" i="38"/>
  <c r="I6" i="38"/>
  <c r="J6" i="38"/>
  <c r="K6" i="38"/>
  <c r="L6" i="38"/>
  <c r="C7" i="38"/>
  <c r="D7" i="38"/>
  <c r="E7" i="38"/>
  <c r="F7" i="38"/>
  <c r="G7" i="38"/>
  <c r="H7" i="38"/>
  <c r="I7" i="38"/>
  <c r="J7" i="38"/>
  <c r="K7" i="38"/>
  <c r="L7" i="38"/>
  <c r="C8" i="38"/>
  <c r="D8" i="38"/>
  <c r="E8" i="38"/>
  <c r="F8" i="38"/>
  <c r="G8" i="38"/>
  <c r="H8" i="38"/>
  <c r="I8" i="38"/>
  <c r="J8" i="38"/>
  <c r="K8" i="38"/>
  <c r="L8" i="38"/>
  <c r="C9" i="38"/>
  <c r="D9" i="38"/>
  <c r="E9" i="38"/>
  <c r="F9" i="38"/>
  <c r="G9" i="38"/>
  <c r="H9" i="38"/>
  <c r="I9" i="38"/>
  <c r="J9" i="38"/>
  <c r="K9" i="38"/>
  <c r="L9" i="38"/>
  <c r="C10" i="38"/>
  <c r="D10" i="38"/>
  <c r="E10" i="38"/>
  <c r="F10" i="38"/>
  <c r="G10" i="38"/>
  <c r="H10" i="38"/>
  <c r="I10" i="38"/>
  <c r="J10" i="38"/>
  <c r="K10" i="38"/>
  <c r="L10" i="38"/>
  <c r="C11" i="38"/>
  <c r="D11" i="38"/>
  <c r="E11" i="38"/>
  <c r="F11" i="38"/>
  <c r="G11" i="38"/>
  <c r="H11" i="38"/>
  <c r="I11" i="38"/>
  <c r="J11" i="38"/>
  <c r="K11" i="38"/>
  <c r="L11" i="38"/>
  <c r="C12" i="38"/>
  <c r="D12" i="38"/>
  <c r="E12" i="38"/>
  <c r="F12" i="38"/>
  <c r="G12" i="38"/>
  <c r="H12" i="38"/>
  <c r="I12" i="38"/>
  <c r="J12" i="38"/>
  <c r="K12" i="38"/>
  <c r="L12" i="38"/>
  <c r="C13" i="38"/>
  <c r="D13" i="38"/>
  <c r="E13" i="38"/>
  <c r="F13" i="38"/>
  <c r="G13" i="38"/>
  <c r="H13" i="38"/>
  <c r="I13" i="38"/>
  <c r="J13" i="38"/>
  <c r="K13" i="38"/>
  <c r="L13" i="38"/>
  <c r="C14" i="38"/>
  <c r="D14" i="38"/>
  <c r="E14" i="38"/>
  <c r="F14" i="38"/>
  <c r="G14" i="38"/>
  <c r="H14" i="38"/>
  <c r="I14" i="38"/>
  <c r="J14" i="38"/>
  <c r="K14" i="38"/>
  <c r="L14" i="38"/>
  <c r="C15" i="38"/>
  <c r="D15" i="38"/>
  <c r="E15" i="38"/>
  <c r="F15" i="38"/>
  <c r="G15" i="38"/>
  <c r="H15" i="38"/>
  <c r="I15" i="38"/>
  <c r="J15" i="38"/>
  <c r="K15" i="38"/>
  <c r="L15" i="38"/>
  <c r="C16" i="38"/>
  <c r="D16" i="38"/>
  <c r="E16" i="38"/>
  <c r="F16" i="38"/>
  <c r="G16" i="38"/>
  <c r="H16" i="38"/>
  <c r="I16" i="38"/>
  <c r="J16" i="38"/>
  <c r="K16" i="38"/>
  <c r="L16" i="38"/>
  <c r="C17" i="38"/>
  <c r="D17" i="38"/>
  <c r="E17" i="38"/>
  <c r="F17" i="38"/>
  <c r="G17" i="38"/>
  <c r="H17" i="38"/>
  <c r="I17" i="38"/>
  <c r="J17" i="38"/>
  <c r="K17" i="38"/>
  <c r="L17" i="38"/>
  <c r="A2" i="37"/>
  <c r="A6" i="37"/>
  <c r="A7" i="37" s="1"/>
  <c r="A2" i="36"/>
  <c r="A2" i="38" s="1"/>
  <c r="A6" i="36"/>
  <c r="O5" i="35"/>
  <c r="O6" i="35"/>
  <c r="O7" i="35"/>
  <c r="A8" i="35"/>
  <c r="K8" i="35" s="1"/>
  <c r="J8" i="35"/>
  <c r="A9" i="35"/>
  <c r="A10" i="35" s="1"/>
  <c r="J9" i="35"/>
  <c r="J10" i="35"/>
  <c r="B12" i="35"/>
  <c r="I11" i="11" s="1"/>
  <c r="J14" i="35"/>
  <c r="J15" i="35"/>
  <c r="J16" i="35"/>
  <c r="J17" i="35"/>
  <c r="J18" i="35"/>
  <c r="J19" i="35"/>
  <c r="J20" i="35"/>
  <c r="J21" i="35"/>
  <c r="J22" i="35"/>
  <c r="O27" i="35" s="1"/>
  <c r="B24" i="35"/>
  <c r="B28" i="35"/>
  <c r="K24" i="11" s="1"/>
  <c r="F37" i="35"/>
  <c r="F38" i="35" s="1"/>
  <c r="I64" i="35"/>
  <c r="I71" i="35"/>
  <c r="F28" i="47" l="1"/>
  <c r="G59" i="47" s="1"/>
  <c r="E23" i="11"/>
  <c r="F29" i="46"/>
  <c r="G62" i="46" s="1"/>
  <c r="A14" i="46"/>
  <c r="K10" i="46"/>
  <c r="O10" i="46"/>
  <c r="C40" i="46"/>
  <c r="A14" i="47"/>
  <c r="K10" i="47"/>
  <c r="O10" i="47"/>
  <c r="C37" i="47"/>
  <c r="I59" i="47"/>
  <c r="I61" i="47" s="1"/>
  <c r="I73" i="47" s="1"/>
  <c r="O36" i="47"/>
  <c r="H20" i="44"/>
  <c r="G34" i="44"/>
  <c r="G62" i="44" s="1"/>
  <c r="G89" i="44" s="1"/>
  <c r="J37" i="44"/>
  <c r="H33" i="44"/>
  <c r="H61" i="44" s="1"/>
  <c r="H88" i="44" s="1"/>
  <c r="I19" i="44"/>
  <c r="J19" i="44" s="1"/>
  <c r="K19" i="44" s="1"/>
  <c r="D34" i="44"/>
  <c r="D62" i="44" s="1"/>
  <c r="D89" i="44" s="1"/>
  <c r="D30" i="44"/>
  <c r="D58" i="44" s="1"/>
  <c r="D85" i="44" s="1"/>
  <c r="C38" i="44"/>
  <c r="F34" i="44"/>
  <c r="F62" i="44" s="1"/>
  <c r="F89" i="44" s="1"/>
  <c r="G29" i="44"/>
  <c r="G57" i="44" s="1"/>
  <c r="G84" i="44" s="1"/>
  <c r="G37" i="44"/>
  <c r="C66" i="44"/>
  <c r="I23" i="44"/>
  <c r="J23" i="44" s="1"/>
  <c r="K23" i="44" s="1"/>
  <c r="D32" i="44"/>
  <c r="D60" i="44" s="1"/>
  <c r="D87" i="44" s="1"/>
  <c r="I15" i="44"/>
  <c r="J15" i="44" s="1"/>
  <c r="E14" i="44"/>
  <c r="F14" i="44" s="1"/>
  <c r="G14" i="44" s="1"/>
  <c r="H14" i="44" s="1"/>
  <c r="I14" i="44" s="1"/>
  <c r="J14" i="44" s="1"/>
  <c r="H16" i="44"/>
  <c r="G30" i="44"/>
  <c r="G58" i="44" s="1"/>
  <c r="G85" i="44" s="1"/>
  <c r="L23" i="44"/>
  <c r="K37" i="44"/>
  <c r="E22" i="44"/>
  <c r="F22" i="44" s="1"/>
  <c r="N27" i="44"/>
  <c r="N37" i="44"/>
  <c r="J33" i="44"/>
  <c r="J61" i="44" s="1"/>
  <c r="J88" i="44" s="1"/>
  <c r="F27" i="44"/>
  <c r="F30" i="44"/>
  <c r="F58" i="44" s="1"/>
  <c r="F85" i="44" s="1"/>
  <c r="F32" i="44"/>
  <c r="F60" i="44" s="1"/>
  <c r="F87" i="44" s="1"/>
  <c r="F29" i="44"/>
  <c r="F57" i="44" s="1"/>
  <c r="F84" i="44" s="1"/>
  <c r="F37" i="44"/>
  <c r="C92" i="44"/>
  <c r="H18" i="44"/>
  <c r="H13" i="44"/>
  <c r="G27" i="44"/>
  <c r="I29" i="44"/>
  <c r="I57" i="44" s="1"/>
  <c r="I84" i="44" s="1"/>
  <c r="I33" i="44"/>
  <c r="I61" i="44" s="1"/>
  <c r="I88" i="44" s="1"/>
  <c r="I34" i="44"/>
  <c r="I62" i="44" s="1"/>
  <c r="I89" i="44" s="1"/>
  <c r="I37" i="44"/>
  <c r="E27" i="44"/>
  <c r="E29" i="44"/>
  <c r="E57" i="44" s="1"/>
  <c r="E84" i="44" s="1"/>
  <c r="E30" i="44"/>
  <c r="E58" i="44" s="1"/>
  <c r="E85" i="44" s="1"/>
  <c r="E32" i="44"/>
  <c r="E60" i="44" s="1"/>
  <c r="E87" i="44" s="1"/>
  <c r="E33" i="44"/>
  <c r="E61" i="44" s="1"/>
  <c r="E88" i="44" s="1"/>
  <c r="E34" i="44"/>
  <c r="E62" i="44" s="1"/>
  <c r="E89" i="44" s="1"/>
  <c r="E35" i="44"/>
  <c r="E63" i="44" s="1"/>
  <c r="E90" i="44" s="1"/>
  <c r="E37" i="44"/>
  <c r="E21" i="44"/>
  <c r="F21" i="44" s="1"/>
  <c r="G21" i="44" s="1"/>
  <c r="D35" i="44"/>
  <c r="D63" i="44" s="1"/>
  <c r="D90" i="44" s="1"/>
  <c r="H34" i="44"/>
  <c r="H62" i="44" s="1"/>
  <c r="H89" i="44" s="1"/>
  <c r="I20" i="44"/>
  <c r="J20" i="44" s="1"/>
  <c r="K20" i="44" s="1"/>
  <c r="D56" i="44"/>
  <c r="G33" i="44"/>
  <c r="G61" i="44" s="1"/>
  <c r="G88" i="44" s="1"/>
  <c r="E17" i="44"/>
  <c r="F17" i="44" s="1"/>
  <c r="D31" i="44"/>
  <c r="D59" i="44" s="1"/>
  <c r="D86" i="44" s="1"/>
  <c r="G9" i="43"/>
  <c r="A1" i="43"/>
  <c r="A7" i="41"/>
  <c r="A6" i="42"/>
  <c r="A8" i="41" s="1"/>
  <c r="D36" i="39"/>
  <c r="D64" i="39" s="1"/>
  <c r="D91" i="39" s="1"/>
  <c r="D32" i="39"/>
  <c r="D29" i="39"/>
  <c r="D57" i="39" s="1"/>
  <c r="D84" i="39" s="1"/>
  <c r="B26" i="40"/>
  <c r="F44" i="40" s="1"/>
  <c r="F45" i="40" s="1"/>
  <c r="A10" i="40"/>
  <c r="A14" i="40" s="1"/>
  <c r="K9" i="40"/>
  <c r="F47" i="40"/>
  <c r="G47" i="40" s="1"/>
  <c r="G7" i="37"/>
  <c r="G7" i="36" s="1"/>
  <c r="D34" i="39"/>
  <c r="D7" i="37" s="1"/>
  <c r="D7" i="36" s="1"/>
  <c r="K8" i="40"/>
  <c r="K9" i="35"/>
  <c r="D37" i="39"/>
  <c r="H7" i="37" s="1"/>
  <c r="H7" i="36" s="1"/>
  <c r="G29" i="39"/>
  <c r="G57" i="39" s="1"/>
  <c r="G84" i="39" s="1"/>
  <c r="J26" i="40"/>
  <c r="G56" i="40" s="1"/>
  <c r="B26" i="35"/>
  <c r="C35" i="39"/>
  <c r="E6" i="37" s="1"/>
  <c r="D62" i="39"/>
  <c r="D89" i="39" s="1"/>
  <c r="C7" i="43"/>
  <c r="L7" i="43"/>
  <c r="K7" i="43"/>
  <c r="G7" i="43"/>
  <c r="C9" i="43"/>
  <c r="C56" i="39"/>
  <c r="C83" i="39" s="1"/>
  <c r="K6" i="37"/>
  <c r="G9" i="41"/>
  <c r="G19" i="39"/>
  <c r="H19" i="39" s="1"/>
  <c r="F33" i="39"/>
  <c r="F61" i="39" s="1"/>
  <c r="F88" i="39" s="1"/>
  <c r="H37" i="39"/>
  <c r="H11" i="37" s="1"/>
  <c r="H11" i="36" s="1"/>
  <c r="I23" i="39"/>
  <c r="J23" i="39" s="1"/>
  <c r="K23" i="39" s="1"/>
  <c r="L23" i="39" s="1"/>
  <c r="J26" i="35"/>
  <c r="G53" i="35" s="1"/>
  <c r="C37" i="39"/>
  <c r="H6" i="37" s="1"/>
  <c r="H6" i="36" s="1"/>
  <c r="G34" i="39"/>
  <c r="D10" i="37" s="1"/>
  <c r="D10" i="36" s="1"/>
  <c r="D33" i="39"/>
  <c r="D61" i="39" s="1"/>
  <c r="D88" i="39" s="1"/>
  <c r="D30" i="39"/>
  <c r="C29" i="39"/>
  <c r="C57" i="39" s="1"/>
  <c r="C84" i="39" s="1"/>
  <c r="C27" i="39"/>
  <c r="C55" i="39" s="1"/>
  <c r="C82" i="39" s="1"/>
  <c r="D28" i="39"/>
  <c r="K7" i="37" s="1"/>
  <c r="K7" i="36" s="1"/>
  <c r="F41" i="35"/>
  <c r="F42" i="35" s="1"/>
  <c r="F44" i="35" s="1"/>
  <c r="G44" i="35" s="1"/>
  <c r="J6" i="37"/>
  <c r="J6" i="36" s="1"/>
  <c r="C33" i="39"/>
  <c r="C61" i="39" s="1"/>
  <c r="C88" i="39" s="1"/>
  <c r="C30" i="39"/>
  <c r="F28" i="39"/>
  <c r="E22" i="39"/>
  <c r="F22" i="39" s="1"/>
  <c r="E18" i="39"/>
  <c r="F18" i="39" s="1"/>
  <c r="G18" i="39" s="1"/>
  <c r="I12" i="11"/>
  <c r="K10" i="37"/>
  <c r="K10" i="36" s="1"/>
  <c r="G37" i="39"/>
  <c r="H10" i="37" s="1"/>
  <c r="H10" i="36" s="1"/>
  <c r="C36" i="39"/>
  <c r="C34" i="39"/>
  <c r="C32" i="39"/>
  <c r="C60" i="39" s="1"/>
  <c r="C87" i="39" s="1"/>
  <c r="I15" i="39"/>
  <c r="J15" i="39" s="1"/>
  <c r="K15" i="39" s="1"/>
  <c r="K29" i="39" s="1"/>
  <c r="K57" i="39" s="1"/>
  <c r="K84" i="39" s="1"/>
  <c r="H14" i="39"/>
  <c r="H28" i="39" s="1"/>
  <c r="C6" i="43"/>
  <c r="G6" i="43"/>
  <c r="K6" i="43"/>
  <c r="F6" i="43"/>
  <c r="L6" i="43"/>
  <c r="D6" i="43"/>
  <c r="E6" i="43"/>
  <c r="D7" i="43"/>
  <c r="F7" i="43"/>
  <c r="C8" i="43"/>
  <c r="G10" i="43"/>
  <c r="N27" i="39"/>
  <c r="N37" i="39"/>
  <c r="H17" i="37" s="1"/>
  <c r="H17" i="36" s="1"/>
  <c r="F27" i="39"/>
  <c r="F30" i="39"/>
  <c r="F32" i="39"/>
  <c r="F29" i="39"/>
  <c r="F57" i="39" s="1"/>
  <c r="F84" i="39" s="1"/>
  <c r="F37" i="39"/>
  <c r="H9" i="37" s="1"/>
  <c r="H9" i="36" s="1"/>
  <c r="K6" i="36"/>
  <c r="H16" i="39"/>
  <c r="G30" i="39"/>
  <c r="H13" i="39"/>
  <c r="G27" i="39"/>
  <c r="E27" i="39"/>
  <c r="E28" i="39"/>
  <c r="E29" i="39"/>
  <c r="E57" i="39" s="1"/>
  <c r="E84" i="39" s="1"/>
  <c r="E30" i="39"/>
  <c r="E33" i="39"/>
  <c r="E61" i="39" s="1"/>
  <c r="E88" i="39" s="1"/>
  <c r="E34" i="39"/>
  <c r="E36" i="39"/>
  <c r="E37" i="39"/>
  <c r="H8" i="37" s="1"/>
  <c r="H8" i="36" s="1"/>
  <c r="L7" i="37"/>
  <c r="L7" i="36" s="1"/>
  <c r="C6" i="37"/>
  <c r="C6" i="36" s="1"/>
  <c r="G62" i="39"/>
  <c r="G89" i="39" s="1"/>
  <c r="K37" i="39"/>
  <c r="H14" i="37" s="1"/>
  <c r="H14" i="36" s="1"/>
  <c r="A7" i="38"/>
  <c r="A7" i="36" s="1"/>
  <c r="F34" i="39"/>
  <c r="E21" i="39"/>
  <c r="F21" i="39" s="1"/>
  <c r="G21" i="39" s="1"/>
  <c r="D35" i="39"/>
  <c r="H34" i="39"/>
  <c r="I20" i="39"/>
  <c r="J20" i="39" s="1"/>
  <c r="K20" i="39" s="1"/>
  <c r="I6" i="37"/>
  <c r="E17" i="39"/>
  <c r="F17" i="39" s="1"/>
  <c r="D31" i="39"/>
  <c r="A8" i="37"/>
  <c r="A8" i="38" s="1"/>
  <c r="K10" i="35"/>
  <c r="A14" i="35"/>
  <c r="C37" i="35"/>
  <c r="C29" i="11" l="1"/>
  <c r="F25" i="11"/>
  <c r="I62" i="46"/>
  <c r="I64" i="46" s="1"/>
  <c r="O39" i="46"/>
  <c r="K14" i="46"/>
  <c r="A15" i="46"/>
  <c r="O14" i="46"/>
  <c r="A15" i="47"/>
  <c r="K14" i="47"/>
  <c r="O14" i="47"/>
  <c r="K14" i="44"/>
  <c r="J28" i="44"/>
  <c r="J56" i="44" s="1"/>
  <c r="J83" i="44" s="1"/>
  <c r="E8" i="43"/>
  <c r="F28" i="44"/>
  <c r="F56" i="44" s="1"/>
  <c r="F83" i="44" s="1"/>
  <c r="H28" i="44"/>
  <c r="H56" i="44" s="1"/>
  <c r="H83" i="44" s="1"/>
  <c r="K15" i="44"/>
  <c r="J29" i="44"/>
  <c r="J57" i="44" s="1"/>
  <c r="J84" i="44" s="1"/>
  <c r="G28" i="44"/>
  <c r="G56" i="44" s="1"/>
  <c r="G83" i="44" s="1"/>
  <c r="E31" i="44"/>
  <c r="E59" i="44" s="1"/>
  <c r="E86" i="44" s="1"/>
  <c r="E28" i="44"/>
  <c r="E56" i="44" s="1"/>
  <c r="E83" i="44" s="1"/>
  <c r="L19" i="44"/>
  <c r="K33" i="44"/>
  <c r="K61" i="44" s="1"/>
  <c r="K88" i="44" s="1"/>
  <c r="D83" i="44"/>
  <c r="D65" i="44"/>
  <c r="D92" i="44" s="1"/>
  <c r="E55" i="44"/>
  <c r="H27" i="44"/>
  <c r="I13" i="44"/>
  <c r="F55" i="44"/>
  <c r="G22" i="44"/>
  <c r="F36" i="44"/>
  <c r="G8" i="43"/>
  <c r="G8" i="41" s="1"/>
  <c r="E7" i="43"/>
  <c r="E7" i="41" s="1"/>
  <c r="D38" i="44"/>
  <c r="G17" i="44"/>
  <c r="F31" i="44"/>
  <c r="F59" i="44" s="1"/>
  <c r="F86" i="44" s="1"/>
  <c r="L20" i="44"/>
  <c r="K34" i="44"/>
  <c r="K62" i="44" s="1"/>
  <c r="K89" i="44" s="1"/>
  <c r="I28" i="44"/>
  <c r="I56" i="44" s="1"/>
  <c r="I83" i="44" s="1"/>
  <c r="K10" i="40"/>
  <c r="L37" i="44"/>
  <c r="M23" i="44"/>
  <c r="M37" i="44" s="1"/>
  <c r="G35" i="44"/>
  <c r="G63" i="44" s="1"/>
  <c r="G90" i="44" s="1"/>
  <c r="H21" i="44"/>
  <c r="H32" i="44"/>
  <c r="H60" i="44" s="1"/>
  <c r="H87" i="44" s="1"/>
  <c r="I18" i="44"/>
  <c r="F35" i="44"/>
  <c r="L14" i="44"/>
  <c r="K28" i="44"/>
  <c r="K56" i="44" s="1"/>
  <c r="K83" i="44" s="1"/>
  <c r="K9" i="43"/>
  <c r="K9" i="41" s="1"/>
  <c r="C40" i="40"/>
  <c r="E36" i="44"/>
  <c r="G55" i="44"/>
  <c r="J34" i="44"/>
  <c r="J62" i="44" s="1"/>
  <c r="J89" i="44" s="1"/>
  <c r="N55" i="44"/>
  <c r="G17" i="43"/>
  <c r="C93" i="44"/>
  <c r="H30" i="44"/>
  <c r="H58" i="44" s="1"/>
  <c r="H85" i="44" s="1"/>
  <c r="I16" i="44"/>
  <c r="I9" i="43"/>
  <c r="I9" i="41" s="1"/>
  <c r="J9" i="43"/>
  <c r="H9" i="43"/>
  <c r="H9" i="41" s="1"/>
  <c r="J6" i="43"/>
  <c r="J6" i="41" s="1"/>
  <c r="I6" i="43"/>
  <c r="I6" i="41" s="1"/>
  <c r="I7" i="43"/>
  <c r="J7" i="43"/>
  <c r="H17" i="43"/>
  <c r="H17" i="41" s="1"/>
  <c r="H6" i="43"/>
  <c r="H6" i="41" s="1"/>
  <c r="H7" i="43"/>
  <c r="H7" i="41" s="1"/>
  <c r="A7" i="42"/>
  <c r="A9" i="41" s="1"/>
  <c r="H8" i="43"/>
  <c r="H8" i="41" s="1"/>
  <c r="I8" i="43"/>
  <c r="J8" i="43"/>
  <c r="J8" i="41" s="1"/>
  <c r="E32" i="39"/>
  <c r="D60" i="39"/>
  <c r="D87" i="39" s="1"/>
  <c r="C7" i="37"/>
  <c r="C7" i="36" s="1"/>
  <c r="L15" i="39"/>
  <c r="L29" i="39" s="1"/>
  <c r="L57" i="39" s="1"/>
  <c r="L84" i="39" s="1"/>
  <c r="I37" i="39"/>
  <c r="H12" i="37" s="1"/>
  <c r="H12" i="36" s="1"/>
  <c r="G6" i="37"/>
  <c r="G6" i="36" s="1"/>
  <c r="J29" i="39"/>
  <c r="J57" i="39" s="1"/>
  <c r="J84" i="39" s="1"/>
  <c r="I29" i="39"/>
  <c r="I57" i="39" s="1"/>
  <c r="I84" i="39" s="1"/>
  <c r="C63" i="39"/>
  <c r="C90" i="39" s="1"/>
  <c r="J37" i="39"/>
  <c r="H13" i="37" s="1"/>
  <c r="H13" i="36" s="1"/>
  <c r="D56" i="39"/>
  <c r="K14" i="40"/>
  <c r="A15" i="40"/>
  <c r="E31" i="39"/>
  <c r="C64" i="39"/>
  <c r="C91" i="39" s="1"/>
  <c r="L6" i="37"/>
  <c r="L6" i="36" s="1"/>
  <c r="F56" i="39"/>
  <c r="F83" i="39" s="1"/>
  <c r="K9" i="37"/>
  <c r="K9" i="36" s="1"/>
  <c r="D58" i="39"/>
  <c r="D85" i="39" s="1"/>
  <c r="F7" i="37"/>
  <c r="F7" i="36" s="1"/>
  <c r="H33" i="39"/>
  <c r="H61" i="39" s="1"/>
  <c r="H88" i="39" s="1"/>
  <c r="I19" i="39"/>
  <c r="C7" i="41"/>
  <c r="G33" i="39"/>
  <c r="G61" i="39" s="1"/>
  <c r="G88" i="39" s="1"/>
  <c r="I14" i="39"/>
  <c r="C58" i="39"/>
  <c r="C85" i="39" s="1"/>
  <c r="F6" i="37"/>
  <c r="F6" i="36" s="1"/>
  <c r="C9" i="41"/>
  <c r="K7" i="41"/>
  <c r="G32" i="39"/>
  <c r="H18" i="39"/>
  <c r="G7" i="41"/>
  <c r="L7" i="41"/>
  <c r="C38" i="39"/>
  <c r="F35" i="39"/>
  <c r="F63" i="39" s="1"/>
  <c r="F90" i="39" s="1"/>
  <c r="C62" i="39"/>
  <c r="C89" i="39" s="1"/>
  <c r="D6" i="37"/>
  <c r="D6" i="36" s="1"/>
  <c r="G22" i="39"/>
  <c r="F36" i="39"/>
  <c r="J7" i="41"/>
  <c r="I7" i="41"/>
  <c r="F9" i="43"/>
  <c r="K6" i="41"/>
  <c r="C6" i="41"/>
  <c r="K10" i="43"/>
  <c r="D7" i="41"/>
  <c r="L6" i="41"/>
  <c r="C8" i="41"/>
  <c r="E8" i="41"/>
  <c r="F8" i="43"/>
  <c r="D9" i="43"/>
  <c r="E6" i="41"/>
  <c r="G10" i="41"/>
  <c r="J9" i="41"/>
  <c r="D8" i="43"/>
  <c r="I8" i="41"/>
  <c r="F7" i="41"/>
  <c r="D6" i="41"/>
  <c r="F6" i="41"/>
  <c r="G6" i="41"/>
  <c r="D83" i="39"/>
  <c r="D63" i="39"/>
  <c r="D90" i="39" s="1"/>
  <c r="E7" i="37"/>
  <c r="F62" i="39"/>
  <c r="F89" i="39" s="1"/>
  <c r="D9" i="37"/>
  <c r="D9" i="36" s="1"/>
  <c r="H56" i="39"/>
  <c r="H83" i="39" s="1"/>
  <c r="K11" i="37"/>
  <c r="K11" i="36" s="1"/>
  <c r="E9" i="37"/>
  <c r="E9" i="36" s="1"/>
  <c r="D38" i="39"/>
  <c r="G35" i="39"/>
  <c r="H21" i="39"/>
  <c r="L8" i="37"/>
  <c r="L8" i="36" s="1"/>
  <c r="E64" i="39"/>
  <c r="E91" i="39" s="1"/>
  <c r="E60" i="39"/>
  <c r="E87" i="39" s="1"/>
  <c r="C8" i="37"/>
  <c r="E56" i="39"/>
  <c r="E83" i="39" s="1"/>
  <c r="K8" i="37"/>
  <c r="G55" i="39"/>
  <c r="G10" i="37"/>
  <c r="G10" i="36" s="1"/>
  <c r="G58" i="39"/>
  <c r="G85" i="39" s="1"/>
  <c r="F10" i="37"/>
  <c r="F10" i="36" s="1"/>
  <c r="F60" i="39"/>
  <c r="F87" i="39" s="1"/>
  <c r="C9" i="37"/>
  <c r="E6" i="36"/>
  <c r="D59" i="39"/>
  <c r="D86" i="39" s="1"/>
  <c r="J7" i="37"/>
  <c r="I7" i="37"/>
  <c r="I7" i="36" s="1"/>
  <c r="I6" i="36"/>
  <c r="L20" i="39"/>
  <c r="K34" i="39"/>
  <c r="E35" i="39"/>
  <c r="J8" i="37"/>
  <c r="J8" i="36" s="1"/>
  <c r="G8" i="37"/>
  <c r="G8" i="36" s="1"/>
  <c r="E55" i="39"/>
  <c r="I34" i="39"/>
  <c r="H27" i="39"/>
  <c r="I13" i="39"/>
  <c r="H30" i="39"/>
  <c r="I16" i="39"/>
  <c r="F9" i="37"/>
  <c r="F9" i="36" s="1"/>
  <c r="F58" i="39"/>
  <c r="F85" i="39" s="1"/>
  <c r="J34" i="39"/>
  <c r="G17" i="37"/>
  <c r="G17" i="36" s="1"/>
  <c r="N55" i="39"/>
  <c r="G17" i="39"/>
  <c r="F31" i="39"/>
  <c r="H62" i="39"/>
  <c r="H89" i="39" s="1"/>
  <c r="D11" i="37"/>
  <c r="D11" i="36" s="1"/>
  <c r="L37" i="39"/>
  <c r="H15" i="37" s="1"/>
  <c r="H15" i="36" s="1"/>
  <c r="M23" i="39"/>
  <c r="M37" i="39" s="1"/>
  <c r="H16" i="37" s="1"/>
  <c r="H16" i="36" s="1"/>
  <c r="E62" i="39"/>
  <c r="E89" i="39" s="1"/>
  <c r="D8" i="37"/>
  <c r="F8" i="37"/>
  <c r="E58" i="39"/>
  <c r="E85" i="39" s="1"/>
  <c r="F55" i="39"/>
  <c r="G9" i="37"/>
  <c r="G9" i="36" s="1"/>
  <c r="A8" i="36"/>
  <c r="A9" i="37"/>
  <c r="A9" i="38" s="1"/>
  <c r="K14" i="35"/>
  <c r="A15" i="35"/>
  <c r="G50" i="11"/>
  <c r="G39" i="11"/>
  <c r="I40" i="11"/>
  <c r="K46" i="11" s="1"/>
  <c r="I56" i="11" s="1"/>
  <c r="G38" i="11"/>
  <c r="G37" i="11"/>
  <c r="I13" i="11"/>
  <c r="I29" i="11" s="1"/>
  <c r="J11" i="11"/>
  <c r="K11" i="11" s="1"/>
  <c r="A16" i="46" l="1"/>
  <c r="O15" i="46"/>
  <c r="K15" i="46"/>
  <c r="I66" i="46"/>
  <c r="I78" i="46"/>
  <c r="I67" i="46"/>
  <c r="O15" i="47"/>
  <c r="K15" i="47"/>
  <c r="A16" i="47"/>
  <c r="M15" i="39"/>
  <c r="M29" i="39" s="1"/>
  <c r="M57" i="39" s="1"/>
  <c r="M84" i="39" s="1"/>
  <c r="K8" i="43"/>
  <c r="K8" i="41" s="1"/>
  <c r="F38" i="44"/>
  <c r="L15" i="44"/>
  <c r="K29" i="44"/>
  <c r="K57" i="44" s="1"/>
  <c r="K84" i="44" s="1"/>
  <c r="E38" i="44"/>
  <c r="L33" i="44"/>
  <c r="L61" i="44" s="1"/>
  <c r="L88" i="44" s="1"/>
  <c r="M19" i="44"/>
  <c r="N82" i="44"/>
  <c r="J18" i="44"/>
  <c r="I32" i="44"/>
  <c r="G82" i="44"/>
  <c r="F82" i="44"/>
  <c r="D93" i="44"/>
  <c r="E64" i="44"/>
  <c r="E91" i="44" s="1"/>
  <c r="L8" i="43"/>
  <c r="L8" i="41" s="1"/>
  <c r="L28" i="44"/>
  <c r="L56" i="44" s="1"/>
  <c r="L83" i="44" s="1"/>
  <c r="M14" i="44"/>
  <c r="I21" i="44"/>
  <c r="H35" i="44"/>
  <c r="L34" i="44"/>
  <c r="L62" i="44" s="1"/>
  <c r="L89" i="44" s="1"/>
  <c r="M20" i="44"/>
  <c r="F64" i="44"/>
  <c r="F91" i="44" s="1"/>
  <c r="L9" i="43"/>
  <c r="L9" i="41" s="1"/>
  <c r="J13" i="44"/>
  <c r="I27" i="44"/>
  <c r="H17" i="44"/>
  <c r="G31" i="44"/>
  <c r="E65" i="44"/>
  <c r="E92" i="44" s="1"/>
  <c r="E82" i="44"/>
  <c r="N7" i="43"/>
  <c r="C94" i="44"/>
  <c r="C96" i="44" s="1"/>
  <c r="J16" i="44"/>
  <c r="I30" i="44"/>
  <c r="I58" i="44" s="1"/>
  <c r="I85" i="44" s="1"/>
  <c r="F63" i="44"/>
  <c r="F90" i="44" s="1"/>
  <c r="E9" i="43"/>
  <c r="E9" i="41" s="1"/>
  <c r="H22" i="44"/>
  <c r="G36" i="44"/>
  <c r="G64" i="44" s="1"/>
  <c r="G91" i="44" s="1"/>
  <c r="H55" i="44"/>
  <c r="G11" i="43"/>
  <c r="G11" i="41" s="1"/>
  <c r="D66" i="44"/>
  <c r="N8" i="43"/>
  <c r="A8" i="42"/>
  <c r="A10" i="41" s="1"/>
  <c r="H11" i="43"/>
  <c r="H11" i="41" s="1"/>
  <c r="E10" i="43"/>
  <c r="C10" i="43"/>
  <c r="C10" i="41" s="1"/>
  <c r="N6" i="43"/>
  <c r="H10" i="43"/>
  <c r="J10" i="43"/>
  <c r="I10" i="43"/>
  <c r="I10" i="41" s="1"/>
  <c r="C11" i="43"/>
  <c r="C11" i="41" s="1"/>
  <c r="M6" i="41"/>
  <c r="O6" i="41" s="1"/>
  <c r="M7" i="41"/>
  <c r="O7" i="41" s="1"/>
  <c r="E38" i="39"/>
  <c r="A9" i="42"/>
  <c r="H18" i="36"/>
  <c r="I8" i="37"/>
  <c r="I8" i="36" s="1"/>
  <c r="C65" i="39"/>
  <c r="E59" i="39"/>
  <c r="E86" i="39" s="1"/>
  <c r="A16" i="40"/>
  <c r="K15" i="40"/>
  <c r="N6" i="37"/>
  <c r="H22" i="39"/>
  <c r="G36" i="39"/>
  <c r="L9" i="37"/>
  <c r="L9" i="36" s="1"/>
  <c r="F64" i="39"/>
  <c r="F91" i="39" s="1"/>
  <c r="J19" i="39"/>
  <c r="I33" i="39"/>
  <c r="I61" i="39" s="1"/>
  <c r="I88" i="39" s="1"/>
  <c r="J14" i="39"/>
  <c r="I28" i="39"/>
  <c r="G60" i="39"/>
  <c r="G87" i="39" s="1"/>
  <c r="C10" i="37"/>
  <c r="C10" i="36" s="1"/>
  <c r="F38" i="39"/>
  <c r="H32" i="39"/>
  <c r="I18" i="39"/>
  <c r="J10" i="41"/>
  <c r="F8" i="41"/>
  <c r="D9" i="41"/>
  <c r="F9" i="41"/>
  <c r="K10" i="41"/>
  <c r="D8" i="41"/>
  <c r="D10" i="43"/>
  <c r="K11" i="43"/>
  <c r="F10" i="43"/>
  <c r="C52" i="39"/>
  <c r="C92" i="39"/>
  <c r="C93" i="39" s="1"/>
  <c r="C66" i="39"/>
  <c r="G31" i="39"/>
  <c r="H17" i="39"/>
  <c r="N82" i="39"/>
  <c r="J13" i="39"/>
  <c r="I27" i="39"/>
  <c r="F82" i="39"/>
  <c r="H55" i="39"/>
  <c r="G11" i="37"/>
  <c r="G11" i="36" s="1"/>
  <c r="E63" i="39"/>
  <c r="E90" i="39" s="1"/>
  <c r="E8" i="37"/>
  <c r="K62" i="39"/>
  <c r="K89" i="39" s="1"/>
  <c r="D14" i="37"/>
  <c r="D14" i="36" s="1"/>
  <c r="C8" i="36"/>
  <c r="I21" i="39"/>
  <c r="H35" i="39"/>
  <c r="H18" i="37"/>
  <c r="J16" i="39"/>
  <c r="I30" i="39"/>
  <c r="D12" i="37"/>
  <c r="D12" i="36" s="1"/>
  <c r="I62" i="39"/>
  <c r="I89" i="39" s="1"/>
  <c r="L34" i="39"/>
  <c r="M20" i="39"/>
  <c r="J7" i="36"/>
  <c r="G82" i="39"/>
  <c r="G63" i="39"/>
  <c r="G90" i="39" s="1"/>
  <c r="E10" i="37"/>
  <c r="E7" i="36"/>
  <c r="N7" i="37"/>
  <c r="D65" i="39"/>
  <c r="D92" i="39" s="1"/>
  <c r="D93" i="39" s="1"/>
  <c r="D8" i="36"/>
  <c r="N15" i="39"/>
  <c r="N29" i="39" s="1"/>
  <c r="N57" i="39" s="1"/>
  <c r="N84" i="39" s="1"/>
  <c r="F8" i="36"/>
  <c r="J9" i="37"/>
  <c r="J9" i="36" s="1"/>
  <c r="F59" i="39"/>
  <c r="F86" i="39" s="1"/>
  <c r="I9" i="37"/>
  <c r="D13" i="37"/>
  <c r="D13" i="36" s="1"/>
  <c r="J62" i="39"/>
  <c r="J89" i="39" s="1"/>
  <c r="H58" i="39"/>
  <c r="H85" i="39" s="1"/>
  <c r="F11" i="37"/>
  <c r="F11" i="36" s="1"/>
  <c r="E82" i="39"/>
  <c r="C9" i="36"/>
  <c r="K8" i="36"/>
  <c r="M6" i="36"/>
  <c r="A9" i="36"/>
  <c r="A10" i="37"/>
  <c r="A10" i="38" s="1"/>
  <c r="A16" i="35"/>
  <c r="K15" i="35"/>
  <c r="K19" i="11"/>
  <c r="Q50" i="11"/>
  <c r="M50" i="11"/>
  <c r="M39" i="11"/>
  <c r="M38" i="11"/>
  <c r="M37" i="11"/>
  <c r="K16" i="46" l="1"/>
  <c r="O16" i="46"/>
  <c r="A17" i="46"/>
  <c r="I81" i="46"/>
  <c r="I80" i="46"/>
  <c r="A17" i="47"/>
  <c r="K16" i="47"/>
  <c r="O16" i="47"/>
  <c r="N8" i="37"/>
  <c r="M15" i="44"/>
  <c r="L29" i="44"/>
  <c r="L57" i="44" s="1"/>
  <c r="L84" i="44" s="1"/>
  <c r="N19" i="44"/>
  <c r="N33" i="44" s="1"/>
  <c r="N61" i="44" s="1"/>
  <c r="N88" i="44" s="1"/>
  <c r="M33" i="44"/>
  <c r="M61" i="44" s="1"/>
  <c r="M88" i="44" s="1"/>
  <c r="O88" i="44" s="1"/>
  <c r="I55" i="44"/>
  <c r="G12" i="43"/>
  <c r="G12" i="41" s="1"/>
  <c r="D94" i="44"/>
  <c r="D96" i="44" s="1"/>
  <c r="K18" i="44"/>
  <c r="J32" i="44"/>
  <c r="G59" i="44"/>
  <c r="G38" i="44"/>
  <c r="K13" i="44"/>
  <c r="J27" i="44"/>
  <c r="L10" i="43"/>
  <c r="L10" i="41" s="1"/>
  <c r="H82" i="44"/>
  <c r="E93" i="44"/>
  <c r="I17" i="44"/>
  <c r="H31" i="44"/>
  <c r="H63" i="44"/>
  <c r="H90" i="44" s="1"/>
  <c r="E11" i="43"/>
  <c r="E11" i="41" s="1"/>
  <c r="N9" i="43"/>
  <c r="N20" i="44"/>
  <c r="N34" i="44" s="1"/>
  <c r="N62" i="44" s="1"/>
  <c r="N89" i="44" s="1"/>
  <c r="O89" i="44" s="1"/>
  <c r="M34" i="44"/>
  <c r="M62" i="44" s="1"/>
  <c r="M89" i="44" s="1"/>
  <c r="N14" i="44"/>
  <c r="N28" i="44" s="1"/>
  <c r="M28" i="44"/>
  <c r="M56" i="44" s="1"/>
  <c r="M83" i="44" s="1"/>
  <c r="H36" i="44"/>
  <c r="I22" i="44"/>
  <c r="K16" i="44"/>
  <c r="J30" i="44"/>
  <c r="J58" i="44" s="1"/>
  <c r="J85" i="44" s="1"/>
  <c r="E66" i="44"/>
  <c r="J21" i="44"/>
  <c r="I35" i="44"/>
  <c r="F65" i="44"/>
  <c r="F92" i="44" s="1"/>
  <c r="F93" i="44" s="1"/>
  <c r="I60" i="44"/>
  <c r="I87" i="44" s="1"/>
  <c r="C12" i="43"/>
  <c r="C12" i="41" s="1"/>
  <c r="H10" i="41"/>
  <c r="I11" i="43"/>
  <c r="I11" i="41" s="1"/>
  <c r="J11" i="43"/>
  <c r="J11" i="41" s="1"/>
  <c r="H12" i="43"/>
  <c r="E10" i="41"/>
  <c r="O9" i="40"/>
  <c r="M9" i="41"/>
  <c r="O9" i="41" s="1"/>
  <c r="M8" i="41"/>
  <c r="O8" i="41" s="1"/>
  <c r="N9" i="37"/>
  <c r="A10" i="42"/>
  <c r="A11" i="41"/>
  <c r="K16" i="40"/>
  <c r="A17" i="40"/>
  <c r="J18" i="39"/>
  <c r="I32" i="39"/>
  <c r="I56" i="39"/>
  <c r="I83" i="39" s="1"/>
  <c r="K12" i="37"/>
  <c r="K12" i="36" s="1"/>
  <c r="K19" i="39"/>
  <c r="J33" i="39"/>
  <c r="J61" i="39" s="1"/>
  <c r="J88" i="39" s="1"/>
  <c r="F65" i="39"/>
  <c r="F92" i="39" s="1"/>
  <c r="C11" i="37"/>
  <c r="C11" i="36" s="1"/>
  <c r="H60" i="39"/>
  <c r="H87" i="39" s="1"/>
  <c r="K14" i="39"/>
  <c r="J28" i="39"/>
  <c r="I22" i="39"/>
  <c r="H36" i="39"/>
  <c r="E65" i="39"/>
  <c r="E92" i="39" s="1"/>
  <c r="E93" i="39" s="1"/>
  <c r="G64" i="39"/>
  <c r="G91" i="39" s="1"/>
  <c r="L10" i="37"/>
  <c r="L10" i="36" s="1"/>
  <c r="F10" i="41"/>
  <c r="K11" i="41"/>
  <c r="D11" i="43"/>
  <c r="F11" i="43"/>
  <c r="K12" i="43"/>
  <c r="D9" i="40"/>
  <c r="F9" i="40" s="1"/>
  <c r="O14" i="40"/>
  <c r="D10" i="41"/>
  <c r="M10" i="41" s="1"/>
  <c r="O10" i="41" s="1"/>
  <c r="O8" i="40"/>
  <c r="N20" i="39"/>
  <c r="N34" i="39" s="1"/>
  <c r="M34" i="39"/>
  <c r="I9" i="36"/>
  <c r="M7" i="36"/>
  <c r="E10" i="36"/>
  <c r="L62" i="39"/>
  <c r="L89" i="39" s="1"/>
  <c r="D15" i="37"/>
  <c r="I58" i="39"/>
  <c r="I85" i="39" s="1"/>
  <c r="F12" i="37"/>
  <c r="H82" i="39"/>
  <c r="K13" i="39"/>
  <c r="J27" i="39"/>
  <c r="I17" i="39"/>
  <c r="H31" i="39"/>
  <c r="E11" i="37"/>
  <c r="H63" i="39"/>
  <c r="H90" i="39" s="1"/>
  <c r="O6" i="36"/>
  <c r="O8" i="35"/>
  <c r="J21" i="39"/>
  <c r="I35" i="39"/>
  <c r="F93" i="39"/>
  <c r="I55" i="39"/>
  <c r="G12" i="37"/>
  <c r="C94" i="39"/>
  <c r="C96" i="39" s="1"/>
  <c r="M9" i="36"/>
  <c r="O9" i="36" s="1"/>
  <c r="D14" i="35" s="1"/>
  <c r="K16" i="39"/>
  <c r="J30" i="39"/>
  <c r="D66" i="39"/>
  <c r="D94" i="39" s="1"/>
  <c r="D96" i="39" s="1"/>
  <c r="E8" i="36"/>
  <c r="G59" i="39"/>
  <c r="I10" i="37"/>
  <c r="I10" i="36" s="1"/>
  <c r="J10" i="37"/>
  <c r="J10" i="36" s="1"/>
  <c r="G38" i="39"/>
  <c r="A11" i="37"/>
  <c r="A11" i="38" s="1"/>
  <c r="A10" i="36"/>
  <c r="K16" i="35"/>
  <c r="A17" i="35"/>
  <c r="O40" i="11"/>
  <c r="Q46" i="11" s="1"/>
  <c r="Q51" i="11" s="1"/>
  <c r="O56" i="11" s="1"/>
  <c r="O13" i="11"/>
  <c r="Q19" i="11" s="1"/>
  <c r="Q23" i="11"/>
  <c r="A18" i="46" l="1"/>
  <c r="O17" i="46"/>
  <c r="K17" i="46"/>
  <c r="A18" i="47"/>
  <c r="O17" i="47"/>
  <c r="K17" i="47"/>
  <c r="M29" i="44"/>
  <c r="M57" i="44" s="1"/>
  <c r="M84" i="44" s="1"/>
  <c r="N15" i="44"/>
  <c r="N29" i="44" s="1"/>
  <c r="N57" i="44" s="1"/>
  <c r="N84" i="44" s="1"/>
  <c r="O10" i="40"/>
  <c r="N10" i="43"/>
  <c r="L16" i="44"/>
  <c r="K30" i="44"/>
  <c r="K58" i="44" s="1"/>
  <c r="K85" i="44" s="1"/>
  <c r="N56" i="44"/>
  <c r="F66" i="44"/>
  <c r="F94" i="44" s="1"/>
  <c r="F96" i="44" s="1"/>
  <c r="H59" i="44"/>
  <c r="H38" i="44"/>
  <c r="G86" i="44"/>
  <c r="G65" i="44"/>
  <c r="G92" i="44" s="1"/>
  <c r="I63" i="44"/>
  <c r="I90" i="44" s="1"/>
  <c r="E12" i="43"/>
  <c r="E12" i="41" s="1"/>
  <c r="H64" i="44"/>
  <c r="H91" i="44" s="1"/>
  <c r="L11" i="43"/>
  <c r="L11" i="41" s="1"/>
  <c r="L13" i="44"/>
  <c r="K27" i="44"/>
  <c r="L18" i="44"/>
  <c r="K32" i="44"/>
  <c r="K21" i="44"/>
  <c r="J35" i="44"/>
  <c r="E94" i="44"/>
  <c r="E96" i="44" s="1"/>
  <c r="J22" i="44"/>
  <c r="I36" i="44"/>
  <c r="J17" i="44"/>
  <c r="I31" i="44"/>
  <c r="J55" i="44"/>
  <c r="G13" i="43"/>
  <c r="G13" i="41" s="1"/>
  <c r="J60" i="44"/>
  <c r="J87" i="44" s="1"/>
  <c r="C13" i="43"/>
  <c r="C13" i="41" s="1"/>
  <c r="I82" i="44"/>
  <c r="H13" i="43"/>
  <c r="H13" i="41" s="1"/>
  <c r="J12" i="43"/>
  <c r="J12" i="41" s="1"/>
  <c r="H12" i="41"/>
  <c r="F66" i="39"/>
  <c r="F94" i="39" s="1"/>
  <c r="F96" i="39" s="1"/>
  <c r="A12" i="41"/>
  <c r="A11" i="42"/>
  <c r="Q24" i="11"/>
  <c r="O29" i="11" s="1"/>
  <c r="A18" i="40"/>
  <c r="K17" i="40"/>
  <c r="K33" i="39"/>
  <c r="K61" i="39" s="1"/>
  <c r="K88" i="39" s="1"/>
  <c r="L19" i="39"/>
  <c r="K18" i="39"/>
  <c r="J32" i="39"/>
  <c r="L11" i="37"/>
  <c r="L11" i="36" s="1"/>
  <c r="H64" i="39"/>
  <c r="H91" i="39" s="1"/>
  <c r="J56" i="39"/>
  <c r="J83" i="39" s="1"/>
  <c r="K13" i="37"/>
  <c r="K13" i="36" s="1"/>
  <c r="J22" i="39"/>
  <c r="I36" i="39"/>
  <c r="K28" i="39"/>
  <c r="L14" i="39"/>
  <c r="E66" i="39"/>
  <c r="E94" i="39" s="1"/>
  <c r="E96" i="39" s="1"/>
  <c r="I60" i="39"/>
  <c r="I87" i="39" s="1"/>
  <c r="C12" i="37"/>
  <c r="C12" i="36" s="1"/>
  <c r="F12" i="43"/>
  <c r="D14" i="40"/>
  <c r="F11" i="41"/>
  <c r="D10" i="40"/>
  <c r="F10" i="40" s="1"/>
  <c r="K12" i="41"/>
  <c r="D11" i="41"/>
  <c r="O15" i="40"/>
  <c r="D8" i="40"/>
  <c r="K13" i="43"/>
  <c r="N10" i="37"/>
  <c r="G86" i="39"/>
  <c r="G65" i="39"/>
  <c r="G92" i="39" s="1"/>
  <c r="F13" i="37"/>
  <c r="F13" i="36" s="1"/>
  <c r="J58" i="39"/>
  <c r="J85" i="39" s="1"/>
  <c r="I63" i="39"/>
  <c r="I90" i="39" s="1"/>
  <c r="E12" i="37"/>
  <c r="M10" i="36"/>
  <c r="O10" i="36" s="1"/>
  <c r="D15" i="35" s="1"/>
  <c r="F15" i="35" s="1"/>
  <c r="L16" i="39"/>
  <c r="K30" i="39"/>
  <c r="K21" i="39"/>
  <c r="J35" i="39"/>
  <c r="L13" i="39"/>
  <c r="K27" i="39"/>
  <c r="O9" i="35"/>
  <c r="O7" i="36"/>
  <c r="D9" i="35" s="1"/>
  <c r="F9" i="35" s="1"/>
  <c r="F14" i="35"/>
  <c r="I82" i="39"/>
  <c r="J17" i="39"/>
  <c r="I31" i="39"/>
  <c r="N62" i="39"/>
  <c r="N89" i="39" s="1"/>
  <c r="D17" i="37"/>
  <c r="D17" i="36" s="1"/>
  <c r="O14" i="35"/>
  <c r="D8" i="35"/>
  <c r="J55" i="39"/>
  <c r="G13" i="37"/>
  <c r="G13" i="36" s="1"/>
  <c r="D15" i="36"/>
  <c r="G12" i="36"/>
  <c r="E11" i="36"/>
  <c r="H59" i="39"/>
  <c r="J11" i="37"/>
  <c r="I11" i="37"/>
  <c r="I11" i="36" s="1"/>
  <c r="H38" i="39"/>
  <c r="M8" i="36"/>
  <c r="F12" i="36"/>
  <c r="D16" i="37"/>
  <c r="D16" i="36" s="1"/>
  <c r="M62" i="39"/>
  <c r="M89" i="39" s="1"/>
  <c r="A12" i="37"/>
  <c r="A12" i="38" s="1"/>
  <c r="A11" i="36"/>
  <c r="A18" i="35"/>
  <c r="K17" i="35"/>
  <c r="R52" i="11"/>
  <c r="J39" i="11" s="1"/>
  <c r="K39" i="11" s="1"/>
  <c r="A19" i="46" l="1"/>
  <c r="O18" i="46"/>
  <c r="K18" i="46"/>
  <c r="O18" i="47"/>
  <c r="A19" i="47"/>
  <c r="K18" i="47"/>
  <c r="O84" i="44"/>
  <c r="I59" i="44"/>
  <c r="I38" i="44"/>
  <c r="L27" i="44"/>
  <c r="M13" i="44"/>
  <c r="M27" i="44" s="1"/>
  <c r="G93" i="44"/>
  <c r="N83" i="44"/>
  <c r="I12" i="43"/>
  <c r="K17" i="44"/>
  <c r="J31" i="44"/>
  <c r="I13" i="43" s="1"/>
  <c r="I13" i="41" s="1"/>
  <c r="K60" i="44"/>
  <c r="K87" i="44" s="1"/>
  <c r="C14" i="43"/>
  <c r="C14" i="41" s="1"/>
  <c r="J82" i="44"/>
  <c r="I64" i="44"/>
  <c r="I91" i="44" s="1"/>
  <c r="L12" i="43"/>
  <c r="L12" i="41" s="1"/>
  <c r="J63" i="44"/>
  <c r="J90" i="44" s="1"/>
  <c r="E13" i="43"/>
  <c r="E13" i="41" s="1"/>
  <c r="L32" i="44"/>
  <c r="M18" i="44"/>
  <c r="H86" i="44"/>
  <c r="H66" i="44"/>
  <c r="H65" i="44"/>
  <c r="H92" i="44" s="1"/>
  <c r="N11" i="43"/>
  <c r="K22" i="44"/>
  <c r="J36" i="44"/>
  <c r="L21" i="44"/>
  <c r="K35" i="44"/>
  <c r="K55" i="44"/>
  <c r="G14" i="43"/>
  <c r="G14" i="41" s="1"/>
  <c r="G66" i="44"/>
  <c r="L30" i="44"/>
  <c r="L58" i="44" s="1"/>
  <c r="L85" i="44" s="1"/>
  <c r="M16" i="44"/>
  <c r="H14" i="43"/>
  <c r="H14" i="41" s="1"/>
  <c r="I12" i="41"/>
  <c r="D12" i="43"/>
  <c r="J13" i="43"/>
  <c r="J13" i="41" s="1"/>
  <c r="M11" i="41"/>
  <c r="O11" i="41" s="1"/>
  <c r="A12" i="42"/>
  <c r="A13" i="41"/>
  <c r="R25" i="11"/>
  <c r="J12" i="11" s="1"/>
  <c r="K12" i="11" s="1"/>
  <c r="K13" i="11" s="1"/>
  <c r="D18" i="37"/>
  <c r="F14" i="40"/>
  <c r="F8" i="40"/>
  <c r="D12" i="40"/>
  <c r="K18" i="40"/>
  <c r="A19" i="40"/>
  <c r="K22" i="39"/>
  <c r="J36" i="39"/>
  <c r="L18" i="39"/>
  <c r="K32" i="39"/>
  <c r="D18" i="36"/>
  <c r="M14" i="39"/>
  <c r="L28" i="39"/>
  <c r="L33" i="39"/>
  <c r="L61" i="39" s="1"/>
  <c r="L88" i="39" s="1"/>
  <c r="M19" i="39"/>
  <c r="K56" i="39"/>
  <c r="K83" i="39" s="1"/>
  <c r="K14" i="37"/>
  <c r="K14" i="36" s="1"/>
  <c r="O15" i="35"/>
  <c r="I64" i="39"/>
  <c r="I91" i="39" s="1"/>
  <c r="L12" i="37"/>
  <c r="L12" i="36" s="1"/>
  <c r="C13" i="37"/>
  <c r="C13" i="36" s="1"/>
  <c r="J60" i="39"/>
  <c r="J87" i="39" s="1"/>
  <c r="K14" i="43"/>
  <c r="D13" i="43"/>
  <c r="F12" i="41"/>
  <c r="K13" i="41"/>
  <c r="D12" i="41"/>
  <c r="M12" i="41" s="1"/>
  <c r="O12" i="41" s="1"/>
  <c r="D15" i="40"/>
  <c r="F15" i="40" s="1"/>
  <c r="I12" i="37"/>
  <c r="I59" i="39"/>
  <c r="J12" i="37"/>
  <c r="J12" i="36" s="1"/>
  <c r="I38" i="39"/>
  <c r="K55" i="39"/>
  <c r="G14" i="37"/>
  <c r="J63" i="39"/>
  <c r="J90" i="39" s="1"/>
  <c r="E13" i="37"/>
  <c r="L30" i="39"/>
  <c r="M16" i="39"/>
  <c r="E12" i="36"/>
  <c r="J11" i="36"/>
  <c r="M11" i="36" s="1"/>
  <c r="K17" i="39"/>
  <c r="J31" i="39"/>
  <c r="L27" i="39"/>
  <c r="M13" i="39"/>
  <c r="M27" i="39" s="1"/>
  <c r="L21" i="39"/>
  <c r="K35" i="39"/>
  <c r="G66" i="39"/>
  <c r="H86" i="39"/>
  <c r="H65" i="39"/>
  <c r="H92" i="39" s="1"/>
  <c r="F8" i="35"/>
  <c r="G93" i="39"/>
  <c r="O8" i="36"/>
  <c r="O10" i="35"/>
  <c r="N11" i="37"/>
  <c r="J82" i="39"/>
  <c r="K58" i="39"/>
  <c r="K85" i="39" s="1"/>
  <c r="F14" i="37"/>
  <c r="A13" i="37"/>
  <c r="A13" i="38" s="1"/>
  <c r="A12" i="36"/>
  <c r="K18" i="35"/>
  <c r="A19" i="35"/>
  <c r="O19" i="46" l="1"/>
  <c r="A20" i="46"/>
  <c r="K19" i="46"/>
  <c r="K19" i="47"/>
  <c r="O19" i="47"/>
  <c r="A20" i="47"/>
  <c r="H93" i="44"/>
  <c r="J64" i="44"/>
  <c r="J91" i="44" s="1"/>
  <c r="L13" i="43"/>
  <c r="L13" i="41" s="1"/>
  <c r="M55" i="44"/>
  <c r="G16" i="43"/>
  <c r="G16" i="41" s="1"/>
  <c r="K63" i="44"/>
  <c r="K90" i="44" s="1"/>
  <c r="E14" i="43"/>
  <c r="E14" i="41" s="1"/>
  <c r="N18" i="44"/>
  <c r="N32" i="44" s="1"/>
  <c r="M32" i="44"/>
  <c r="L17" i="44"/>
  <c r="K31" i="44"/>
  <c r="G94" i="44"/>
  <c r="G96" i="44" s="1"/>
  <c r="O83" i="44"/>
  <c r="K82" i="44"/>
  <c r="K36" i="44"/>
  <c r="L22" i="44"/>
  <c r="H94" i="44"/>
  <c r="H96" i="44" s="1"/>
  <c r="J59" i="44"/>
  <c r="J38" i="44"/>
  <c r="L55" i="44"/>
  <c r="G15" i="43"/>
  <c r="N12" i="43"/>
  <c r="N16" i="44"/>
  <c r="N30" i="44" s="1"/>
  <c r="M30" i="44"/>
  <c r="M58" i="44" s="1"/>
  <c r="M85" i="44" s="1"/>
  <c r="M21" i="44"/>
  <c r="L35" i="44"/>
  <c r="L60" i="44"/>
  <c r="L87" i="44" s="1"/>
  <c r="C15" i="43"/>
  <c r="C15" i="41" s="1"/>
  <c r="I86" i="44"/>
  <c r="I93" i="44" s="1"/>
  <c r="I65" i="44"/>
  <c r="I92" i="44" s="1"/>
  <c r="I66" i="44"/>
  <c r="H16" i="43"/>
  <c r="H16" i="41" s="1"/>
  <c r="F13" i="43"/>
  <c r="N13" i="43" s="1"/>
  <c r="H15" i="43"/>
  <c r="H15" i="41" s="1"/>
  <c r="J14" i="43"/>
  <c r="J14" i="41" s="1"/>
  <c r="A13" i="42"/>
  <c r="A14" i="41"/>
  <c r="A20" i="40"/>
  <c r="K19" i="40"/>
  <c r="N14" i="39"/>
  <c r="N28" i="39" s="1"/>
  <c r="M28" i="39"/>
  <c r="K60" i="39"/>
  <c r="K87" i="39" s="1"/>
  <c r="C14" i="37"/>
  <c r="C14" i="36" s="1"/>
  <c r="N19" i="39"/>
  <c r="N33" i="39" s="1"/>
  <c r="N61" i="39" s="1"/>
  <c r="N88" i="39" s="1"/>
  <c r="M33" i="39"/>
  <c r="M61" i="39" s="1"/>
  <c r="M88" i="39" s="1"/>
  <c r="L32" i="39"/>
  <c r="M18" i="39"/>
  <c r="J64" i="39"/>
  <c r="J91" i="39" s="1"/>
  <c r="L13" i="37"/>
  <c r="L13" i="36" s="1"/>
  <c r="L56" i="39"/>
  <c r="L83" i="39" s="1"/>
  <c r="K15" i="37"/>
  <c r="K15" i="36" s="1"/>
  <c r="K36" i="39"/>
  <c r="L22" i="39"/>
  <c r="D13" i="41"/>
  <c r="F14" i="43"/>
  <c r="K15" i="43"/>
  <c r="O16" i="40"/>
  <c r="D14" i="43"/>
  <c r="K14" i="41"/>
  <c r="O11" i="36"/>
  <c r="D16" i="35" s="1"/>
  <c r="O16" i="35"/>
  <c r="M55" i="39"/>
  <c r="G16" i="37"/>
  <c r="G16" i="36" s="1"/>
  <c r="L17" i="39"/>
  <c r="K31" i="39"/>
  <c r="G14" i="36"/>
  <c r="L55" i="39"/>
  <c r="G15" i="37"/>
  <c r="G15" i="36" s="1"/>
  <c r="L58" i="39"/>
  <c r="L85" i="39" s="1"/>
  <c r="F15" i="37"/>
  <c r="F15" i="36" s="1"/>
  <c r="I86" i="39"/>
  <c r="I65" i="39"/>
  <c r="I92" i="39" s="1"/>
  <c r="G94" i="39"/>
  <c r="G96" i="39" s="1"/>
  <c r="N16" i="39"/>
  <c r="N30" i="39" s="1"/>
  <c r="M30" i="39"/>
  <c r="F14" i="36"/>
  <c r="D10" i="35"/>
  <c r="H66" i="39"/>
  <c r="K63" i="39"/>
  <c r="K90" i="39" s="1"/>
  <c r="E14" i="37"/>
  <c r="N12" i="37"/>
  <c r="E13" i="36"/>
  <c r="K82" i="39"/>
  <c r="I12" i="36"/>
  <c r="M12" i="36" s="1"/>
  <c r="O12" i="36" s="1"/>
  <c r="D17" i="35" s="1"/>
  <c r="H93" i="39"/>
  <c r="M21" i="39"/>
  <c r="L35" i="39"/>
  <c r="J13" i="37"/>
  <c r="J13" i="36" s="1"/>
  <c r="I13" i="37"/>
  <c r="I13" i="36" s="1"/>
  <c r="J59" i="39"/>
  <c r="J38" i="39"/>
  <c r="A14" i="37"/>
  <c r="A14" i="38" s="1"/>
  <c r="A13" i="36"/>
  <c r="A20" i="35"/>
  <c r="K19" i="35"/>
  <c r="K20" i="46" l="1"/>
  <c r="O20" i="46"/>
  <c r="A21" i="46"/>
  <c r="A21" i="47"/>
  <c r="K20" i="47"/>
  <c r="O20" i="47"/>
  <c r="I94" i="44"/>
  <c r="I96" i="44" s="1"/>
  <c r="N21" i="44"/>
  <c r="N35" i="44" s="1"/>
  <c r="M35" i="44"/>
  <c r="J86" i="44"/>
  <c r="J65" i="44"/>
  <c r="J92" i="44" s="1"/>
  <c r="N60" i="44"/>
  <c r="N87" i="44" s="1"/>
  <c r="C17" i="43"/>
  <c r="G18" i="43"/>
  <c r="G15" i="41"/>
  <c r="G18" i="41" s="1"/>
  <c r="M82" i="44"/>
  <c r="L82" i="44"/>
  <c r="K59" i="44"/>
  <c r="K38" i="44"/>
  <c r="N58" i="44"/>
  <c r="L36" i="44"/>
  <c r="M22" i="44"/>
  <c r="M17" i="44"/>
  <c r="L31" i="44"/>
  <c r="J15" i="43" s="1"/>
  <c r="J15" i="41" s="1"/>
  <c r="I14" i="43"/>
  <c r="I14" i="41" s="1"/>
  <c r="L63" i="44"/>
  <c r="L90" i="44" s="1"/>
  <c r="E15" i="43"/>
  <c r="E15" i="41" s="1"/>
  <c r="K64" i="44"/>
  <c r="K91" i="44" s="1"/>
  <c r="L14" i="43"/>
  <c r="L14" i="41" s="1"/>
  <c r="M60" i="44"/>
  <c r="M87" i="44" s="1"/>
  <c r="C16" i="43"/>
  <c r="C16" i="41" s="1"/>
  <c r="H94" i="39"/>
  <c r="H96" i="39" s="1"/>
  <c r="F13" i="41"/>
  <c r="M13" i="41" s="1"/>
  <c r="O13" i="41" s="1"/>
  <c r="H18" i="43"/>
  <c r="H18" i="41"/>
  <c r="A14" i="42"/>
  <c r="A15" i="41"/>
  <c r="K20" i="40"/>
  <c r="A21" i="40"/>
  <c r="K16" i="37"/>
  <c r="K16" i="36" s="1"/>
  <c r="K18" i="36" s="1"/>
  <c r="M56" i="39"/>
  <c r="M83" i="39" s="1"/>
  <c r="N56" i="39"/>
  <c r="N83" i="39" s="1"/>
  <c r="K17" i="37"/>
  <c r="K17" i="36" s="1"/>
  <c r="L14" i="37"/>
  <c r="L14" i="36" s="1"/>
  <c r="K64" i="39"/>
  <c r="K91" i="39" s="1"/>
  <c r="L60" i="39"/>
  <c r="L87" i="39" s="1"/>
  <c r="C15" i="37"/>
  <c r="M22" i="39"/>
  <c r="L36" i="39"/>
  <c r="N18" i="39"/>
  <c r="N32" i="39" s="1"/>
  <c r="M32" i="39"/>
  <c r="D15" i="43"/>
  <c r="K17" i="43"/>
  <c r="K16" i="43"/>
  <c r="O17" i="40"/>
  <c r="D16" i="40"/>
  <c r="F14" i="41"/>
  <c r="D14" i="41"/>
  <c r="K15" i="41"/>
  <c r="F15" i="43"/>
  <c r="F17" i="35"/>
  <c r="N13" i="37"/>
  <c r="I93" i="39"/>
  <c r="L82" i="39"/>
  <c r="K59" i="39"/>
  <c r="J14" i="37"/>
  <c r="J14" i="36" s="1"/>
  <c r="I14" i="37"/>
  <c r="I14" i="36" s="1"/>
  <c r="K38" i="39"/>
  <c r="M82" i="39"/>
  <c r="E15" i="37"/>
  <c r="L63" i="39"/>
  <c r="L90" i="39" s="1"/>
  <c r="M13" i="36"/>
  <c r="O13" i="36" s="1"/>
  <c r="D18" i="35" s="1"/>
  <c r="F18" i="35" s="1"/>
  <c r="E14" i="36"/>
  <c r="F16" i="37"/>
  <c r="M58" i="39"/>
  <c r="M85" i="39" s="1"/>
  <c r="O17" i="35"/>
  <c r="M17" i="39"/>
  <c r="L31" i="39"/>
  <c r="F10" i="35"/>
  <c r="D12" i="35"/>
  <c r="G18" i="36"/>
  <c r="J86" i="39"/>
  <c r="J65" i="39"/>
  <c r="J92" i="39" s="1"/>
  <c r="N21" i="39"/>
  <c r="N35" i="39" s="1"/>
  <c r="M35" i="39"/>
  <c r="F17" i="37"/>
  <c r="F17" i="36" s="1"/>
  <c r="N58" i="39"/>
  <c r="I66" i="39"/>
  <c r="G18" i="37"/>
  <c r="F16" i="35"/>
  <c r="A15" i="37"/>
  <c r="A15" i="38" s="1"/>
  <c r="A14" i="36"/>
  <c r="K20" i="35"/>
  <c r="A21" i="35"/>
  <c r="Q39" i="11"/>
  <c r="J38" i="11"/>
  <c r="K38" i="11" s="1"/>
  <c r="K40" i="11" s="1"/>
  <c r="Q12" i="11"/>
  <c r="K21" i="46" l="1"/>
  <c r="A22" i="46"/>
  <c r="O21" i="46"/>
  <c r="A22" i="47"/>
  <c r="O21" i="47"/>
  <c r="K21" i="47"/>
  <c r="O18" i="35"/>
  <c r="O87" i="44"/>
  <c r="J93" i="44"/>
  <c r="C18" i="43"/>
  <c r="C17" i="41"/>
  <c r="C18" i="41" s="1"/>
  <c r="K86" i="44"/>
  <c r="K65" i="44"/>
  <c r="K92" i="44" s="1"/>
  <c r="N17" i="44"/>
  <c r="N31" i="44" s="1"/>
  <c r="M31" i="44"/>
  <c r="I16" i="43" s="1"/>
  <c r="I16" i="41" s="1"/>
  <c r="N85" i="44"/>
  <c r="N63" i="44"/>
  <c r="N90" i="44" s="1"/>
  <c r="E17" i="43"/>
  <c r="E17" i="41" s="1"/>
  <c r="L64" i="44"/>
  <c r="L91" i="44" s="1"/>
  <c r="L15" i="43"/>
  <c r="L15" i="41" s="1"/>
  <c r="L59" i="44"/>
  <c r="L38" i="44"/>
  <c r="M63" i="44"/>
  <c r="M90" i="44" s="1"/>
  <c r="E16" i="43"/>
  <c r="K18" i="43"/>
  <c r="I15" i="43"/>
  <c r="I15" i="41" s="1"/>
  <c r="N14" i="43"/>
  <c r="N22" i="44"/>
  <c r="N36" i="44" s="1"/>
  <c r="M36" i="44"/>
  <c r="J66" i="44"/>
  <c r="J94" i="44" s="1"/>
  <c r="J96" i="44" s="1"/>
  <c r="O82" i="44"/>
  <c r="I17" i="43"/>
  <c r="M14" i="41"/>
  <c r="O14" i="41" s="1"/>
  <c r="K18" i="37"/>
  <c r="A15" i="42"/>
  <c r="A16" i="41"/>
  <c r="F16" i="40"/>
  <c r="M14" i="36"/>
  <c r="O14" i="36" s="1"/>
  <c r="D19" i="35" s="1"/>
  <c r="F19" i="35" s="1"/>
  <c r="A22" i="40"/>
  <c r="K21" i="40"/>
  <c r="L64" i="39"/>
  <c r="L91" i="39" s="1"/>
  <c r="L15" i="37"/>
  <c r="L15" i="36" s="1"/>
  <c r="C17" i="37"/>
  <c r="C17" i="36" s="1"/>
  <c r="N60" i="39"/>
  <c r="N87" i="39" s="1"/>
  <c r="N14" i="37"/>
  <c r="C16" i="37"/>
  <c r="C16" i="36" s="1"/>
  <c r="M60" i="39"/>
  <c r="M87" i="39" s="1"/>
  <c r="M36" i="39"/>
  <c r="N22" i="39"/>
  <c r="N36" i="39" s="1"/>
  <c r="C15" i="36"/>
  <c r="K16" i="41"/>
  <c r="K17" i="41"/>
  <c r="K18" i="41" s="1"/>
  <c r="F15" i="41"/>
  <c r="O18" i="40"/>
  <c r="F17" i="43"/>
  <c r="F16" i="43"/>
  <c r="D17" i="40"/>
  <c r="D15" i="41"/>
  <c r="D17" i="43"/>
  <c r="D16" i="43"/>
  <c r="K86" i="39"/>
  <c r="K65" i="39"/>
  <c r="K92" i="39" s="1"/>
  <c r="M63" i="39"/>
  <c r="M90" i="39" s="1"/>
  <c r="E16" i="37"/>
  <c r="J93" i="39"/>
  <c r="N17" i="39"/>
  <c r="N31" i="39" s="1"/>
  <c r="M31" i="39"/>
  <c r="L59" i="39"/>
  <c r="J15" i="37"/>
  <c r="J15" i="36" s="1"/>
  <c r="I15" i="37"/>
  <c r="L38" i="39"/>
  <c r="F16" i="36"/>
  <c r="F18" i="36" s="1"/>
  <c r="F18" i="37"/>
  <c r="E15" i="36"/>
  <c r="N85" i="39"/>
  <c r="N63" i="39"/>
  <c r="N90" i="39" s="1"/>
  <c r="E17" i="37"/>
  <c r="I94" i="39"/>
  <c r="I96" i="39" s="1"/>
  <c r="J66" i="39"/>
  <c r="A16" i="37"/>
  <c r="A16" i="38" s="1"/>
  <c r="A15" i="36"/>
  <c r="A22" i="35"/>
  <c r="K21" i="35"/>
  <c r="A3" i="46" l="1"/>
  <c r="O22" i="46"/>
  <c r="O25" i="46" s="1"/>
  <c r="O26" i="46" s="1"/>
  <c r="O38" i="46" s="1"/>
  <c r="O40" i="46" s="1"/>
  <c r="K22" i="46"/>
  <c r="C44" i="46"/>
  <c r="O22" i="47"/>
  <c r="O25" i="47" s="1"/>
  <c r="O26" i="47" s="1"/>
  <c r="O35" i="47" s="1"/>
  <c r="O37" i="47" s="1"/>
  <c r="A3" i="47"/>
  <c r="K22" i="47"/>
  <c r="G73" i="47" s="1"/>
  <c r="C41" i="47"/>
  <c r="I18" i="43"/>
  <c r="J16" i="43"/>
  <c r="J16" i="41" s="1"/>
  <c r="K93" i="44"/>
  <c r="N59" i="44"/>
  <c r="N38" i="44"/>
  <c r="I17" i="41"/>
  <c r="E16" i="41"/>
  <c r="E18" i="41" s="1"/>
  <c r="E18" i="43"/>
  <c r="L86" i="44"/>
  <c r="L65" i="44"/>
  <c r="L92" i="44" s="1"/>
  <c r="L66" i="44"/>
  <c r="O85" i="44"/>
  <c r="N64" i="44"/>
  <c r="N91" i="44" s="1"/>
  <c r="L17" i="43"/>
  <c r="L17" i="41" s="1"/>
  <c r="F18" i="43"/>
  <c r="O19" i="40"/>
  <c r="J17" i="43"/>
  <c r="N15" i="43"/>
  <c r="M64" i="44"/>
  <c r="M91" i="44" s="1"/>
  <c r="L16" i="43"/>
  <c r="L16" i="41" s="1"/>
  <c r="O90" i="44"/>
  <c r="M59" i="44"/>
  <c r="M38" i="44"/>
  <c r="K66" i="44"/>
  <c r="M15" i="41"/>
  <c r="O15" i="41" s="1"/>
  <c r="D18" i="43"/>
  <c r="I18" i="41"/>
  <c r="A17" i="41"/>
  <c r="A1" i="42"/>
  <c r="E18" i="37"/>
  <c r="O19" i="35"/>
  <c r="F17" i="40"/>
  <c r="A3" i="40"/>
  <c r="K22" i="40"/>
  <c r="C44" i="40"/>
  <c r="C18" i="37"/>
  <c r="L17" i="37"/>
  <c r="L17" i="36" s="1"/>
  <c r="N64" i="39"/>
  <c r="N91" i="39" s="1"/>
  <c r="K66" i="39"/>
  <c r="C18" i="36"/>
  <c r="M64" i="39"/>
  <c r="M91" i="39" s="1"/>
  <c r="L16" i="37"/>
  <c r="L16" i="36" s="1"/>
  <c r="F16" i="41"/>
  <c r="D16" i="41"/>
  <c r="F17" i="41"/>
  <c r="D19" i="40"/>
  <c r="F19" i="40" s="1"/>
  <c r="D17" i="41"/>
  <c r="D18" i="40"/>
  <c r="E17" i="36"/>
  <c r="L86" i="39"/>
  <c r="L65" i="39"/>
  <c r="L92" i="39" s="1"/>
  <c r="M59" i="39"/>
  <c r="I16" i="37"/>
  <c r="I16" i="36" s="1"/>
  <c r="J16" i="37"/>
  <c r="J16" i="36" s="1"/>
  <c r="M38" i="39"/>
  <c r="E16" i="36"/>
  <c r="J94" i="39"/>
  <c r="J96" i="39" s="1"/>
  <c r="N15" i="37"/>
  <c r="J17" i="37"/>
  <c r="I17" i="37"/>
  <c r="I17" i="36" s="1"/>
  <c r="N59" i="39"/>
  <c r="N38" i="39"/>
  <c r="K93" i="39"/>
  <c r="I15" i="36"/>
  <c r="M15" i="36" s="1"/>
  <c r="A17" i="37"/>
  <c r="A17" i="38" s="1"/>
  <c r="A1" i="38" s="1"/>
  <c r="A16" i="36"/>
  <c r="A3" i="35"/>
  <c r="K22" i="35"/>
  <c r="C41" i="35"/>
  <c r="B53" i="46" l="1"/>
  <c r="G78" i="46"/>
  <c r="F18" i="41"/>
  <c r="K94" i="44"/>
  <c r="K96" i="44" s="1"/>
  <c r="L18" i="41"/>
  <c r="N17" i="43"/>
  <c r="L18" i="43"/>
  <c r="O91" i="44"/>
  <c r="M86" i="44"/>
  <c r="M65" i="44"/>
  <c r="M92" i="44" s="1"/>
  <c r="L93" i="44"/>
  <c r="L94" i="44" s="1"/>
  <c r="L96" i="44" s="1"/>
  <c r="M16" i="41"/>
  <c r="O16" i="41" s="1"/>
  <c r="N16" i="43"/>
  <c r="J18" i="43"/>
  <c r="J17" i="41"/>
  <c r="J18" i="41" s="1"/>
  <c r="N86" i="44"/>
  <c r="N65" i="44"/>
  <c r="N92" i="44" s="1"/>
  <c r="O92" i="44" s="1"/>
  <c r="M16" i="36"/>
  <c r="O16" i="36" s="1"/>
  <c r="D21" i="35" s="1"/>
  <c r="F21" i="35" s="1"/>
  <c r="L18" i="36"/>
  <c r="L93" i="39"/>
  <c r="L94" i="39" s="1"/>
  <c r="L96" i="39" s="1"/>
  <c r="K94" i="39"/>
  <c r="K96" i="39" s="1"/>
  <c r="L66" i="39"/>
  <c r="D18" i="41"/>
  <c r="M17" i="41"/>
  <c r="O17" i="41" s="1"/>
  <c r="N16" i="37"/>
  <c r="F18" i="40"/>
  <c r="G64" i="40"/>
  <c r="B61" i="40"/>
  <c r="B53" i="40"/>
  <c r="G78" i="40"/>
  <c r="B55" i="40"/>
  <c r="O20" i="40"/>
  <c r="I18" i="37"/>
  <c r="L18" i="37"/>
  <c r="D20" i="40"/>
  <c r="F20" i="40" s="1"/>
  <c r="O15" i="36"/>
  <c r="O20" i="35"/>
  <c r="M86" i="39"/>
  <c r="M65" i="39"/>
  <c r="M92" i="39" s="1"/>
  <c r="O21" i="35"/>
  <c r="N86" i="39"/>
  <c r="N65" i="39"/>
  <c r="N92" i="39" s="1"/>
  <c r="N17" i="37"/>
  <c r="N18" i="37" s="1"/>
  <c r="I18" i="36"/>
  <c r="E18" i="36"/>
  <c r="J17" i="36"/>
  <c r="J18" i="36" s="1"/>
  <c r="J18" i="37"/>
  <c r="A1" i="37"/>
  <c r="G61" i="35"/>
  <c r="G73" i="35"/>
  <c r="B58" i="35"/>
  <c r="B50" i="35"/>
  <c r="B52" i="35"/>
  <c r="Q38" i="11"/>
  <c r="Q40" i="11" s="1"/>
  <c r="Q44" i="11" s="1"/>
  <c r="R48" i="11" s="1"/>
  <c r="R54" i="11" s="1"/>
  <c r="R57" i="11" s="1"/>
  <c r="O18" i="41" l="1"/>
  <c r="O21" i="40"/>
  <c r="N66" i="44"/>
  <c r="M66" i="44"/>
  <c r="M18" i="41"/>
  <c r="N18" i="43"/>
  <c r="O86" i="44"/>
  <c r="N93" i="44"/>
  <c r="M93" i="44"/>
  <c r="P18" i="41"/>
  <c r="O4" i="41" s="1"/>
  <c r="N93" i="39"/>
  <c r="D21" i="40"/>
  <c r="F21" i="40" s="1"/>
  <c r="O22" i="40"/>
  <c r="O25" i="40" s="1"/>
  <c r="O26" i="40" s="1"/>
  <c r="O38" i="40" s="1"/>
  <c r="M93" i="39"/>
  <c r="M17" i="36"/>
  <c r="O17" i="36" s="1"/>
  <c r="D22" i="35" s="1"/>
  <c r="F22" i="35" s="1"/>
  <c r="M18" i="36"/>
  <c r="N66" i="39"/>
  <c r="N94" i="39" s="1"/>
  <c r="N96" i="39" s="1"/>
  <c r="M66" i="39"/>
  <c r="D20" i="35"/>
  <c r="A17" i="36"/>
  <c r="M94" i="44" l="1"/>
  <c r="M96" i="44" s="1"/>
  <c r="N94" i="44"/>
  <c r="N96" i="44" s="1"/>
  <c r="O93" i="44"/>
  <c r="O22" i="35"/>
  <c r="O25" i="35" s="1"/>
  <c r="O26" i="35" s="1"/>
  <c r="O35" i="35" s="1"/>
  <c r="O93" i="39"/>
  <c r="P93" i="39" s="1"/>
  <c r="D22" i="40"/>
  <c r="F20" i="35"/>
  <c r="D24" i="35"/>
  <c r="D26" i="35" s="1"/>
  <c r="K15" i="11" s="1"/>
  <c r="K17" i="11" s="1"/>
  <c r="L21" i="11" s="1"/>
  <c r="D28" i="35"/>
  <c r="O18" i="36"/>
  <c r="P18" i="36" s="1"/>
  <c r="O4" i="36" s="1"/>
  <c r="M94" i="39"/>
  <c r="M96" i="39" s="1"/>
  <c r="F22" i="40" l="1"/>
  <c r="D29" i="40"/>
  <c r="F29" i="40" s="1"/>
  <c r="D24" i="40"/>
  <c r="D26" i="40" s="1"/>
  <c r="F28" i="35"/>
  <c r="G59" i="35" s="1"/>
  <c r="I59" i="35" s="1"/>
  <c r="L25" i="11"/>
  <c r="G34" i="35"/>
  <c r="G47" i="35" s="1"/>
  <c r="G54" i="35" s="1"/>
  <c r="G56" i="35" s="1"/>
  <c r="I56" i="35" s="1"/>
  <c r="F26" i="35"/>
  <c r="Q11" i="11"/>
  <c r="Q13" i="11" s="1"/>
  <c r="Q17" i="11" s="1"/>
  <c r="R21" i="11" s="1"/>
  <c r="R27" i="11" s="1"/>
  <c r="R30" i="11" s="1"/>
  <c r="L27" i="11" l="1"/>
  <c r="L30" i="11" s="1"/>
  <c r="D12" i="11"/>
  <c r="E12" i="11" s="1"/>
  <c r="E13" i="11" s="1"/>
  <c r="F21" i="11" s="1"/>
  <c r="F27" i="11" s="1"/>
  <c r="F30" i="11" s="1"/>
  <c r="O36" i="35"/>
  <c r="O37" i="35" s="1"/>
  <c r="G37" i="40"/>
  <c r="G50" i="40" s="1"/>
  <c r="G57" i="40" s="1"/>
  <c r="G59" i="40" s="1"/>
  <c r="I59" i="40" s="1"/>
  <c r="F26" i="40"/>
  <c r="G62" i="40"/>
  <c r="I61" i="35"/>
  <c r="I73" i="35" s="1"/>
  <c r="I62" i="40" l="1"/>
  <c r="I64" i="40" s="1"/>
  <c r="O39" i="40"/>
  <c r="O40" i="40" s="1"/>
  <c r="K44" i="11"/>
  <c r="L48" i="11" s="1"/>
  <c r="I66" i="40" l="1"/>
  <c r="I78" i="40"/>
  <c r="I67" i="40"/>
  <c r="L52" i="11"/>
  <c r="L54" i="11" l="1"/>
  <c r="L57" i="11" s="1"/>
  <c r="D39" i="11"/>
  <c r="E39" i="11" s="1"/>
  <c r="E40" i="11" s="1"/>
  <c r="F48" i="11" s="1"/>
  <c r="F54" i="11" s="1"/>
  <c r="F57" i="11" s="1"/>
  <c r="I80" i="40"/>
  <c r="I81" i="40"/>
</calcChain>
</file>

<file path=xl/comments1.xml><?xml version="1.0" encoding="utf-8"?>
<comments xmlns="http://schemas.openxmlformats.org/spreadsheetml/2006/main">
  <authors>
    <author>Sevall, Scott (UTC)</author>
  </authors>
  <commentList>
    <comment ref="K23" authorId="0">
      <text>
        <r>
          <rPr>
            <b/>
            <sz val="9"/>
            <color indexed="81"/>
            <rFont val="Tahoma"/>
            <family val="2"/>
          </rPr>
          <t>Sevall, Scott (UTC):</t>
        </r>
        <r>
          <rPr>
            <sz val="9"/>
            <color indexed="81"/>
            <rFont val="Tahoma"/>
            <family val="2"/>
          </rPr>
          <t xml:space="preserve">
Added the carryover being returned to this amount.</t>
        </r>
      </text>
    </comment>
    <comment ref="K50" authorId="0">
      <text>
        <r>
          <rPr>
            <b/>
            <sz val="9"/>
            <color indexed="81"/>
            <rFont val="Tahoma"/>
            <family val="2"/>
          </rPr>
          <t>Sevall, Scott (UTC):</t>
        </r>
        <r>
          <rPr>
            <sz val="9"/>
            <color indexed="81"/>
            <rFont val="Tahoma"/>
            <family val="2"/>
          </rPr>
          <t xml:space="preserve">
Added the carryover being returned to this amount.</t>
        </r>
      </text>
    </comment>
  </commentList>
</comments>
</file>

<file path=xl/comments2.xml><?xml version="1.0" encoding="utf-8"?>
<comments xmlns="http://schemas.openxmlformats.org/spreadsheetml/2006/main">
  <authors>
    <author>Johnson, Carla</author>
    <author>Hart, Abby Rose</author>
  </authors>
  <commentList>
    <comment ref="B8" authorId="0">
      <text>
        <r>
          <rPr>
            <b/>
            <sz val="9"/>
            <color indexed="81"/>
            <rFont val="Tahoma"/>
            <family val="2"/>
          </rPr>
          <t>Johnson, Carla:</t>
        </r>
        <r>
          <rPr>
            <sz val="9"/>
            <color indexed="81"/>
            <rFont val="Tahoma"/>
            <family val="2"/>
          </rPr>
          <t xml:space="preserve">
RSA Workbook/MF/4197 yards column D</t>
        </r>
      </text>
    </comment>
    <comment ref="F39" authorId="1">
      <text>
        <r>
          <rPr>
            <b/>
            <sz val="9"/>
            <color indexed="81"/>
            <rFont val="Tahoma"/>
            <family val="2"/>
          </rPr>
          <t>Hart, Abby Rose:</t>
        </r>
        <r>
          <rPr>
            <sz val="9"/>
            <color indexed="81"/>
            <rFont val="Tahoma"/>
            <family val="2"/>
          </rPr>
          <t xml:space="preserve">
old 2014 value 
</t>
        </r>
      </text>
    </comment>
    <comment ref="F43" authorId="1">
      <text>
        <r>
          <rPr>
            <b/>
            <sz val="9"/>
            <color indexed="81"/>
            <rFont val="Tahoma"/>
            <family val="2"/>
          </rPr>
          <t>Hart, Abby Rose:</t>
        </r>
        <r>
          <rPr>
            <sz val="9"/>
            <color indexed="81"/>
            <rFont val="Tahoma"/>
            <family val="2"/>
          </rPr>
          <t xml:space="preserve">
old 2014 value </t>
        </r>
      </text>
    </comment>
  </commentList>
</comments>
</file>

<file path=xl/comments3.xml><?xml version="1.0" encoding="utf-8"?>
<comments xmlns="http://schemas.openxmlformats.org/spreadsheetml/2006/main">
  <authors>
    <author>Alex Brenner</author>
  </authors>
  <commentList>
    <comment ref="F36" authorId="0">
      <text>
        <r>
          <rPr>
            <b/>
            <sz val="8"/>
            <color indexed="81"/>
            <rFont val="Tahoma"/>
            <family val="2"/>
          </rPr>
          <t xml:space="preserve">Monthly Base Credit:
</t>
        </r>
        <r>
          <rPr>
            <sz val="8"/>
            <color indexed="81"/>
            <rFont val="Tahoma"/>
            <family val="2"/>
          </rPr>
          <t>This number will be the "12 month running average 'Base Credit'" from the first year of the review period. (eg if the review period covers Oct 2008 through Sept 2009 this number would be the base credit that was calculated for 2008)</t>
        </r>
        <r>
          <rPr>
            <sz val="8"/>
            <color indexed="81"/>
            <rFont val="Tahoma"/>
            <family val="2"/>
          </rPr>
          <t xml:space="preserve">
</t>
        </r>
      </text>
    </comment>
    <comment ref="F40" authorId="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List>
</comments>
</file>

<file path=xl/comments4.xml><?xml version="1.0" encoding="utf-8"?>
<comments xmlns="http://schemas.openxmlformats.org/spreadsheetml/2006/main">
  <authors>
    <author>Sevall, Scott (UTC)</author>
  </authors>
  <commentList>
    <comment ref="E7" authorId="0">
      <text>
        <r>
          <rPr>
            <b/>
            <sz val="9"/>
            <color indexed="81"/>
            <rFont val="Tahoma"/>
            <family val="2"/>
          </rPr>
          <t>Sevall, Scott (UTC):</t>
        </r>
        <r>
          <rPr>
            <sz val="9"/>
            <color indexed="81"/>
            <rFont val="Tahoma"/>
            <family val="2"/>
          </rPr>
          <t xml:space="preserve">
From report filed with</t>
        </r>
      </text>
    </comment>
  </commentList>
</comments>
</file>

<file path=xl/comments5.xml><?xml version="1.0" encoding="utf-8"?>
<comments xmlns="http://schemas.openxmlformats.org/spreadsheetml/2006/main">
  <authors>
    <author>Alex Brenner</author>
  </authors>
  <commentList>
    <comment ref="F36" authorId="0">
      <text>
        <r>
          <rPr>
            <b/>
            <sz val="8"/>
            <color indexed="81"/>
            <rFont val="Tahoma"/>
            <family val="2"/>
          </rPr>
          <t xml:space="preserve">Monthly Base Credit:
</t>
        </r>
        <r>
          <rPr>
            <sz val="8"/>
            <color indexed="81"/>
            <rFont val="Tahoma"/>
            <family val="2"/>
          </rPr>
          <t>This number will be the "12 month running average 'Base Credit'" from the first year of the review period. (eg if the review period covers Oct 2008 through Sept 2009 this number would be the base credit that was calculated for 2008)</t>
        </r>
        <r>
          <rPr>
            <sz val="8"/>
            <color indexed="81"/>
            <rFont val="Tahoma"/>
            <family val="2"/>
          </rPr>
          <t xml:space="preserve">
</t>
        </r>
      </text>
    </comment>
    <comment ref="F40" authorId="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List>
</comments>
</file>

<file path=xl/comments6.xml><?xml version="1.0" encoding="utf-8"?>
<comments xmlns="http://schemas.openxmlformats.org/spreadsheetml/2006/main">
  <authors>
    <author>Alex Brenner</author>
  </authors>
  <commentList>
    <comment ref="A7" authorId="0">
      <text>
        <r>
          <rPr>
            <b/>
            <sz val="8"/>
            <color indexed="81"/>
            <rFont val="Tahoma"/>
            <family val="2"/>
          </rPr>
          <t>Alex Brenner:</t>
        </r>
        <r>
          <rPr>
            <sz val="8"/>
            <color indexed="81"/>
            <rFont val="Tahoma"/>
            <family val="2"/>
          </rPr>
          <t xml:space="preserve">
From 'ESMMYYTONS' spreadsheet, 'ESMMYYTONS' tab (where MM=month, YY=Year)</t>
        </r>
      </text>
    </comment>
    <comment ref="A12" authorId="0">
      <text>
        <r>
          <rPr>
            <b/>
            <sz val="8"/>
            <color indexed="81"/>
            <rFont val="Tahoma"/>
            <family val="2"/>
          </rPr>
          <t>Alex Brenner:</t>
        </r>
        <r>
          <rPr>
            <sz val="8"/>
            <color indexed="81"/>
            <rFont val="Tahoma"/>
            <family val="2"/>
          </rPr>
          <t xml:space="preserve">
From 'ESMMYYTONS' Spreadsheet, 'Prices' tab (where MM=month, YY=Year)</t>
        </r>
      </text>
    </comment>
    <comment ref="A68" authorId="0">
      <text>
        <r>
          <rPr>
            <b/>
            <sz val="8"/>
            <color indexed="81"/>
            <rFont val="Tahoma"/>
            <family val="2"/>
          </rPr>
          <t>Alex Brenner:</t>
        </r>
        <r>
          <rPr>
            <sz val="8"/>
            <color indexed="81"/>
            <rFont val="Tahoma"/>
            <family val="2"/>
          </rPr>
          <t xml:space="preserve">
From 'Commodity Prices MMYY' spreadsheet. There is a different spreadsheet for each month</t>
        </r>
      </text>
    </comment>
  </commentList>
</comments>
</file>

<file path=xl/comments7.xml><?xml version="1.0" encoding="utf-8"?>
<comments xmlns="http://schemas.openxmlformats.org/spreadsheetml/2006/main">
  <authors>
    <author>Johnson, Carla</author>
    <author>Hart, Abby Rose</author>
  </authors>
  <commentList>
    <comment ref="B8" authorId="0">
      <text>
        <r>
          <rPr>
            <b/>
            <sz val="9"/>
            <color indexed="81"/>
            <rFont val="Tahoma"/>
            <family val="2"/>
          </rPr>
          <t>Johnson, Carla:</t>
        </r>
        <r>
          <rPr>
            <sz val="9"/>
            <color indexed="81"/>
            <rFont val="Tahoma"/>
            <family val="2"/>
          </rPr>
          <t xml:space="preserve">
RSA Workbook/MF/4197 yards column D</t>
        </r>
      </text>
    </comment>
    <comment ref="F39" authorId="1">
      <text>
        <r>
          <rPr>
            <b/>
            <sz val="9"/>
            <color indexed="81"/>
            <rFont val="Tahoma"/>
            <family val="2"/>
          </rPr>
          <t>Hart, Abby Rose:</t>
        </r>
        <r>
          <rPr>
            <sz val="9"/>
            <color indexed="81"/>
            <rFont val="Tahoma"/>
            <family val="2"/>
          </rPr>
          <t xml:space="preserve">
old 2014 value 
</t>
        </r>
      </text>
    </comment>
    <comment ref="F43" authorId="1">
      <text>
        <r>
          <rPr>
            <b/>
            <sz val="9"/>
            <color indexed="81"/>
            <rFont val="Tahoma"/>
            <family val="2"/>
          </rPr>
          <t>Hart, Abby Rose:</t>
        </r>
        <r>
          <rPr>
            <sz val="9"/>
            <color indexed="81"/>
            <rFont val="Tahoma"/>
            <family val="2"/>
          </rPr>
          <t xml:space="preserve">
old 2014 value </t>
        </r>
      </text>
    </comment>
  </commentList>
</comments>
</file>

<file path=xl/comments8.xml><?xml version="1.0" encoding="utf-8"?>
<comments xmlns="http://schemas.openxmlformats.org/spreadsheetml/2006/main">
  <authors>
    <author>Alex Brenner</author>
  </authors>
  <commentList>
    <comment ref="A12" authorId="0">
      <text>
        <r>
          <rPr>
            <b/>
            <sz val="8"/>
            <color indexed="81"/>
            <rFont val="Tahoma"/>
            <family val="2"/>
          </rPr>
          <t>Alex Brenner:</t>
        </r>
        <r>
          <rPr>
            <sz val="8"/>
            <color indexed="81"/>
            <rFont val="Tahoma"/>
            <family val="2"/>
          </rPr>
          <t xml:space="preserve">
From ESMMYYTONS Spreadsheet, 'Prices' tab (where MM=month, YY=Year)</t>
        </r>
      </text>
    </comment>
  </commentList>
</comments>
</file>

<file path=xl/sharedStrings.xml><?xml version="1.0" encoding="utf-8"?>
<sst xmlns="http://schemas.openxmlformats.org/spreadsheetml/2006/main" count="676" uniqueCount="154">
  <si>
    <t>Deferred Accounting Methodology</t>
  </si>
  <si>
    <t>Single Family</t>
  </si>
  <si>
    <t>Commodity</t>
  </si>
  <si>
    <t>Revenue</t>
  </si>
  <si>
    <t>Annual</t>
  </si>
  <si>
    <t>Month</t>
  </si>
  <si>
    <t>Customers</t>
  </si>
  <si>
    <t>per Customer</t>
  </si>
  <si>
    <t>(b1)</t>
  </si>
  <si>
    <t>(b2)</t>
  </si>
  <si>
    <t>(a)</t>
  </si>
  <si>
    <t>(c)</t>
  </si>
  <si>
    <t>(d)</t>
  </si>
  <si>
    <t>Commodity Gain/Loss Calculation</t>
  </si>
  <si>
    <t>Actual Commodity Revenues</t>
  </si>
  <si>
    <t>Monthly Base Credit per customer</t>
  </si>
  <si>
    <t xml:space="preserve">   Base Credits Billed</t>
  </si>
  <si>
    <t xml:space="preserve">      Total Base Credits Billed</t>
  </si>
  <si>
    <t>Total Annual Customers</t>
  </si>
  <si>
    <t>Alum</t>
  </si>
  <si>
    <t>Glass</t>
  </si>
  <si>
    <t>Tin/Iron</t>
  </si>
  <si>
    <t>ONP</t>
  </si>
  <si>
    <t>MWP</t>
  </si>
  <si>
    <t>Pet</t>
  </si>
  <si>
    <t>HDPE</t>
  </si>
  <si>
    <t>OCC</t>
  </si>
  <si>
    <t>Other</t>
  </si>
  <si>
    <t>Total</t>
  </si>
  <si>
    <t xml:space="preserve"> </t>
  </si>
  <si>
    <t xml:space="preserve">Total </t>
  </si>
  <si>
    <t>Total Tons</t>
  </si>
  <si>
    <t>Sorted Glass Percentage</t>
  </si>
  <si>
    <t>Sorted Glass</t>
  </si>
  <si>
    <t>Sampled Tons</t>
  </si>
  <si>
    <t>Sampling Percentages</t>
  </si>
  <si>
    <t>Magazines</t>
  </si>
  <si>
    <t>Tin</t>
  </si>
  <si>
    <t>Plastic</t>
  </si>
  <si>
    <t>Aluminum</t>
  </si>
  <si>
    <t>Ferris Metal</t>
  </si>
  <si>
    <t>Glass Contamination</t>
  </si>
  <si>
    <t>Trash</t>
  </si>
  <si>
    <t>Mixed Paper</t>
  </si>
  <si>
    <t>Sampled Tonnage</t>
  </si>
  <si>
    <t>Recovery Percentages</t>
  </si>
  <si>
    <t>Recovered Tonnages</t>
  </si>
  <si>
    <t xml:space="preserve">Product Sales Rates </t>
  </si>
  <si>
    <t>Product Value</t>
  </si>
  <si>
    <t>Total Value</t>
  </si>
  <si>
    <t>Value per Ton</t>
  </si>
  <si>
    <t>12 month running average "BASE CREDIT"</t>
  </si>
  <si>
    <t>Total Additional Passback</t>
  </si>
  <si>
    <t>Single-Family Additional Credit</t>
  </si>
  <si>
    <t>TG-12______</t>
  </si>
  <si>
    <t>For use in Budget Calculation</t>
  </si>
  <si>
    <t>Total Trailing 12 Mo. Commodity Value / Customer</t>
  </si>
  <si>
    <t>Most recent Total # of Customers</t>
  </si>
  <si>
    <t>Base Credit to be Passed Back</t>
  </si>
  <si>
    <t>Budget total Revenue</t>
  </si>
  <si>
    <t>Budget Revenue Passed Back</t>
  </si>
  <si>
    <t>% of Revenue Passed Back</t>
  </si>
  <si>
    <t>% Passed Back</t>
  </si>
  <si>
    <t>Multi-Family</t>
  </si>
  <si>
    <t>Yards</t>
  </si>
  <si>
    <t>per Yard</t>
  </si>
  <si>
    <t>Total yards</t>
  </si>
  <si>
    <t>Prior Plan B Total</t>
  </si>
  <si>
    <t>Plan A Total</t>
  </si>
  <si>
    <t>Monthly Base Credit per Yard</t>
  </si>
  <si>
    <t>Multi-Family Additional Passback</t>
  </si>
  <si>
    <t>Multi-Family Additional Credit</t>
  </si>
  <si>
    <t>3.5x Compaction</t>
  </si>
  <si>
    <t>5x Compaction</t>
  </si>
  <si>
    <t>.</t>
  </si>
  <si>
    <t>Based on previous UTC Staff analyses</t>
  </si>
  <si>
    <t>Do not use cumulative method</t>
  </si>
  <si>
    <t>Residential</t>
  </si>
  <si>
    <t>Credit</t>
  </si>
  <si>
    <t>Credits</t>
  </si>
  <si>
    <t>May-Jul projected value without adjustment factor</t>
  </si>
  <si>
    <t>Aug-April projected value without adjustment factor</t>
  </si>
  <si>
    <t>Actual Commodity Revenue</t>
  </si>
  <si>
    <t>Owe Customer (company)</t>
  </si>
  <si>
    <t>Total Customers</t>
  </si>
  <si>
    <t>Commodity Adjustment</t>
  </si>
  <si>
    <t>Projected Value</t>
  </si>
  <si>
    <t>Residential Commodity Adjustment</t>
  </si>
  <si>
    <t>Additional credit</t>
  </si>
  <si>
    <t>Adjusted Credit</t>
  </si>
  <si>
    <t>Multi-family</t>
  </si>
  <si>
    <t>Multi-family Commodity Adjustment</t>
  </si>
  <si>
    <t>2017-2018</t>
  </si>
  <si>
    <t>Projected Revenue May 2016-April 2017</t>
  </si>
  <si>
    <t>Projected Revenue May 2017-April 2018</t>
  </si>
  <si>
    <t>2018-2018.5</t>
  </si>
  <si>
    <t>Projected Revenue November 2017-April 2018</t>
  </si>
  <si>
    <t>November 2017 - April 2018</t>
  </si>
  <si>
    <t>Avg of last 6 months plan year</t>
  </si>
  <si>
    <t>Rabanco Lynnwood Disposal commodity adjustment</t>
  </si>
  <si>
    <t>per docket TG-180486</t>
  </si>
  <si>
    <t>per docket TG-170711</t>
  </si>
  <si>
    <t>The hardcoded numbers came from  company workpapers in Docket TG-170711</t>
  </si>
  <si>
    <t>Single-Family Additional Passback</t>
  </si>
  <si>
    <t>Multi-Family Revenue</t>
  </si>
  <si>
    <t>Single-Family Revenue</t>
  </si>
  <si>
    <t>Total Passback at end of plan year 2019</t>
  </si>
  <si>
    <t xml:space="preserve">12 month running average "BASE CREDIT" </t>
  </si>
  <si>
    <t>2017/2018 Monthly True-up Charge</t>
  </si>
  <si>
    <t>Excess Commodity Credits</t>
  </si>
  <si>
    <t>Rabanco Ltd (dba Allied Waste of Lynnwood)</t>
  </si>
  <si>
    <t>Glass (Cont)</t>
  </si>
  <si>
    <t>Commodity Value Timeframe:  October - September</t>
  </si>
  <si>
    <t>N</t>
  </si>
  <si>
    <t>M</t>
  </si>
  <si>
    <t>L</t>
  </si>
  <si>
    <t>K</t>
  </si>
  <si>
    <t>J</t>
  </si>
  <si>
    <t>I</t>
  </si>
  <si>
    <t>H</t>
  </si>
  <si>
    <t>G</t>
  </si>
  <si>
    <t>F</t>
  </si>
  <si>
    <t>E</t>
  </si>
  <si>
    <t>D</t>
  </si>
  <si>
    <t>C</t>
  </si>
  <si>
    <t>70% of per Ton Value</t>
  </si>
  <si>
    <t>Lynnwood SF</t>
  </si>
  <si>
    <t xml:space="preserve"> Total Passback at end of 2 year plan year 2019 </t>
  </si>
  <si>
    <t>Deficient Commodity Credits</t>
  </si>
  <si>
    <t>East Side Disposal</t>
  </si>
  <si>
    <t>EastSide Disposal</t>
  </si>
  <si>
    <t>Lynnwood</t>
  </si>
  <si>
    <t>SF Total Commodity Value</t>
  </si>
  <si>
    <t>MF Total Commodity Value</t>
  </si>
  <si>
    <t>Commodity value already in calculation</t>
  </si>
  <si>
    <t>Amount spent in Snohomish plan</t>
  </si>
  <si>
    <t>Totals</t>
  </si>
  <si>
    <t>5% Incentive for 2017-2018</t>
  </si>
  <si>
    <t>Carryover amount</t>
  </si>
  <si>
    <t>Proration ov value</t>
  </si>
  <si>
    <t>Amount added to 6 month commodity value</t>
  </si>
  <si>
    <t>2018.5-2019</t>
  </si>
  <si>
    <t>May 2018-Oct 2018</t>
  </si>
  <si>
    <t xml:space="preserve"> Recycle Adjustment Calculation</t>
  </si>
  <si>
    <t xml:space="preserve"> True-up Computation</t>
  </si>
  <si>
    <t>2017/2018 Monthly True-up Amount</t>
  </si>
  <si>
    <t xml:space="preserve"> Projected Debit</t>
  </si>
  <si>
    <t xml:space="preserve">6 month running average "BASE CREDIT" </t>
  </si>
  <si>
    <t>11/18 - 4/19 Adjusted Debit</t>
  </si>
  <si>
    <t>Total Bi-Annual Customers</t>
  </si>
  <si>
    <t>6 month running average "BASE CREDIT"</t>
  </si>
  <si>
    <t>Commodity Value Timeframe:  May-Oct</t>
  </si>
  <si>
    <t>company retained</t>
  </si>
  <si>
    <t>Adjusted Credit (Debit)</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</si>
</sst>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_);[Red]\(&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_(* \(#,##0.00\);_(* &quot;-&quot;_);_(@_)"/>
    <numFmt numFmtId="167" formatCode="_(* #,##0.000_);_(* \(#,##0.000\);_(* &quot;-&quot;_);_(@_)"/>
    <numFmt numFmtId="168" formatCode="mmmm"/>
    <numFmt numFmtId="169" formatCode="#,##0.000"/>
    <numFmt numFmtId="170" formatCode="_(&quot;$&quot;* #,##0_);_(&quot;$&quot;* \(#,##0\);_(&quot;$&quot;* &quot;-&quot;??_);_(@_)"/>
    <numFmt numFmtId="171" formatCode="0.0000%"/>
    <numFmt numFmtId="172" formatCode="#,##0.0000"/>
  </numFmts>
  <fonts count="34" x14ac:knownFonts="1">
    <font>
      <sz val="10"/>
      <name val="Arial"/>
    </font>
    <font>
      <sz val="10"/>
      <name val="Arial"/>
      <family val="2"/>
    </font>
    <font>
      <sz val="10"/>
      <name val="MS Sans Serif"/>
      <family val="2"/>
    </font>
    <font>
      <b/>
      <sz val="10"/>
      <name val="Arial"/>
      <family val="2"/>
    </font>
    <font>
      <sz val="8"/>
      <name val="Arial"/>
      <family val="2"/>
    </font>
    <font>
      <sz val="8"/>
      <name val="Helv"/>
    </font>
    <font>
      <b/>
      <sz val="8"/>
      <name val="Arial"/>
      <family val="2"/>
    </font>
    <font>
      <u/>
      <sz val="8"/>
      <name val="Arial"/>
      <family val="2"/>
    </font>
    <font>
      <b/>
      <u/>
      <sz val="8"/>
      <name val="Arial"/>
      <family val="2"/>
    </font>
    <font>
      <sz val="8"/>
      <color indexed="12"/>
      <name val="Arial"/>
      <family val="2"/>
    </font>
    <font>
      <i/>
      <sz val="8"/>
      <name val="Arial"/>
      <family val="2"/>
    </font>
    <font>
      <b/>
      <sz val="8"/>
      <color indexed="81"/>
      <name val="Tahoma"/>
      <family val="2"/>
    </font>
    <font>
      <sz val="8"/>
      <color indexed="81"/>
      <name val="Tahoma"/>
      <family val="2"/>
    </font>
    <font>
      <b/>
      <i/>
      <sz val="8"/>
      <name val="Arial"/>
      <family val="2"/>
    </font>
    <font>
      <i/>
      <sz val="8"/>
      <color indexed="12"/>
      <name val="Arial"/>
      <family val="2"/>
    </font>
    <font>
      <sz val="9"/>
      <color indexed="81"/>
      <name val="Tahoma"/>
      <family val="2"/>
    </font>
    <font>
      <b/>
      <sz val="9"/>
      <color indexed="81"/>
      <name val="Tahoma"/>
      <family val="2"/>
    </font>
    <font>
      <sz val="9"/>
      <name val="Arial"/>
      <family val="2"/>
    </font>
    <font>
      <sz val="12"/>
      <name val="Comic Sans MS"/>
      <family val="4"/>
    </font>
    <font>
      <b/>
      <sz val="11"/>
      <color indexed="10"/>
      <name val="Comic Sans MS"/>
      <family val="4"/>
    </font>
    <font>
      <b/>
      <sz val="16"/>
      <name val="Arial"/>
      <family val="2"/>
    </font>
    <font>
      <i/>
      <u/>
      <sz val="12"/>
      <name val="Comic Sans MS"/>
      <family val="4"/>
    </font>
    <font>
      <b/>
      <u/>
      <sz val="10"/>
      <name val="Arial"/>
      <family val="2"/>
    </font>
    <font>
      <b/>
      <sz val="10"/>
      <name val="Comic Sans MS"/>
      <family val="4"/>
    </font>
    <font>
      <b/>
      <sz val="10"/>
      <color indexed="12"/>
      <name val="Arial"/>
      <family val="2"/>
    </font>
    <font>
      <u val="singleAccounting"/>
      <sz val="10"/>
      <name val="Arial"/>
      <family val="2"/>
    </font>
    <font>
      <b/>
      <sz val="11"/>
      <name val="Comic Sans MS"/>
      <family val="4"/>
    </font>
    <font>
      <b/>
      <u val="doubleAccounting"/>
      <sz val="10"/>
      <name val="Arial"/>
      <family val="2"/>
    </font>
    <font>
      <sz val="11"/>
      <color theme="1"/>
      <name val="Calibri"/>
      <family val="2"/>
      <scheme val="minor"/>
    </font>
    <font>
      <sz val="10"/>
      <color rgb="FF0000FF"/>
      <name val="Arial"/>
      <family val="2"/>
    </font>
    <font>
      <sz val="8"/>
      <color rgb="FFFF0000"/>
      <name val="Arial"/>
      <family val="2"/>
    </font>
    <font>
      <b/>
      <sz val="12"/>
      <color rgb="FFFF0000"/>
      <name val="Arial"/>
      <family val="2"/>
    </font>
    <font>
      <sz val="8"/>
      <color rgb="FF0000FF"/>
      <name val="Arial"/>
      <family val="2"/>
    </font>
    <font>
      <b/>
      <sz val="8"/>
      <color rgb="FF0000FF"/>
      <name val="Arial"/>
      <family val="2"/>
    </font>
  </fonts>
  <fills count="9">
    <fill>
      <patternFill patternType="none"/>
    </fill>
    <fill>
      <patternFill patternType="gray125"/>
    </fill>
    <fill>
      <patternFill patternType="solid">
        <fgColor indexed="43"/>
        <bgColor indexed="64"/>
      </patternFill>
    </fill>
    <fill>
      <patternFill patternType="solid">
        <fgColor indexed="43"/>
        <bgColor indexed="43"/>
      </patternFill>
    </fill>
    <fill>
      <patternFill patternType="solid">
        <fgColor rgb="FFFFFFCC"/>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FF99"/>
        <bgColor indexed="64"/>
      </patternFill>
    </fill>
  </fills>
  <borders count="22">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ck">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1" fillId="4" borderId="11" applyNumberFormat="0" applyFont="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28" fillId="0" borderId="0"/>
    <xf numFmtId="44"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cellStyleXfs>
  <cellXfs count="282">
    <xf numFmtId="0" fontId="0" fillId="0" borderId="0" xfId="0"/>
    <xf numFmtId="0" fontId="3" fillId="0" borderId="0" xfId="3" applyFont="1"/>
    <xf numFmtId="0" fontId="4" fillId="0" borderId="0" xfId="3" applyFont="1"/>
    <xf numFmtId="0" fontId="4" fillId="0" borderId="0" xfId="3" applyFont="1" applyAlignment="1">
      <alignment horizontal="center"/>
    </xf>
    <xf numFmtId="0" fontId="5" fillId="0" borderId="0" xfId="3" applyFont="1" applyAlignment="1">
      <alignment horizontal="center"/>
    </xf>
    <xf numFmtId="0" fontId="2" fillId="0" borderId="0" xfId="3"/>
    <xf numFmtId="0" fontId="6" fillId="0" borderId="0" xfId="3" applyFont="1"/>
    <xf numFmtId="14" fontId="4" fillId="0" borderId="0" xfId="3" applyNumberFormat="1" applyFont="1" applyAlignment="1">
      <alignment horizontal="center"/>
    </xf>
    <xf numFmtId="0" fontId="7" fillId="0" borderId="0" xfId="3" applyFont="1"/>
    <xf numFmtId="0" fontId="8" fillId="0" borderId="0" xfId="3" applyFont="1"/>
    <xf numFmtId="0" fontId="8" fillId="0" borderId="0" xfId="3" applyFont="1" applyAlignment="1">
      <alignment horizontal="center"/>
    </xf>
    <xf numFmtId="0" fontId="6" fillId="0" borderId="0" xfId="3" applyFont="1" applyAlignment="1">
      <alignment horizontal="center"/>
    </xf>
    <xf numFmtId="166" fontId="6" fillId="0" borderId="0" xfId="3" applyNumberFormat="1" applyFont="1" applyAlignment="1">
      <alignment horizontal="center"/>
    </xf>
    <xf numFmtId="1" fontId="4" fillId="0" borderId="0" xfId="3" applyNumberFormat="1" applyFont="1"/>
    <xf numFmtId="41" fontId="4" fillId="0" borderId="0" xfId="3" applyNumberFormat="1" applyFont="1"/>
    <xf numFmtId="166" fontId="6" fillId="0" borderId="0" xfId="3" applyNumberFormat="1" applyFont="1"/>
    <xf numFmtId="166" fontId="4" fillId="0" borderId="0" xfId="3" applyNumberFormat="1" applyFont="1"/>
    <xf numFmtId="168" fontId="4" fillId="0" borderId="0" xfId="3" applyNumberFormat="1" applyFont="1" applyAlignment="1">
      <alignment horizontal="right"/>
    </xf>
    <xf numFmtId="166" fontId="4" fillId="0" borderId="0" xfId="3" applyNumberFormat="1" applyFont="1" applyAlignment="1">
      <alignment horizontal="center"/>
    </xf>
    <xf numFmtId="41" fontId="10" fillId="0" borderId="0" xfId="3" applyNumberFormat="1" applyFont="1" applyAlignment="1">
      <alignment horizontal="left"/>
    </xf>
    <xf numFmtId="41" fontId="4" fillId="0" borderId="1" xfId="3" applyNumberFormat="1" applyFont="1" applyBorder="1"/>
    <xf numFmtId="167" fontId="4" fillId="0" borderId="0" xfId="3" applyNumberFormat="1" applyFont="1"/>
    <xf numFmtId="166" fontId="2" fillId="0" borderId="0" xfId="3" applyNumberFormat="1"/>
    <xf numFmtId="168" fontId="4" fillId="0" borderId="0" xfId="3" applyNumberFormat="1" applyFont="1"/>
    <xf numFmtId="41" fontId="4" fillId="0" borderId="2" xfId="3" applyNumberFormat="1" applyFont="1" applyBorder="1"/>
    <xf numFmtId="41" fontId="6" fillId="0" borderId="3" xfId="3" applyNumberFormat="1" applyFont="1" applyBorder="1"/>
    <xf numFmtId="41" fontId="4" fillId="0" borderId="3" xfId="3" applyNumberFormat="1" applyFont="1" applyBorder="1"/>
    <xf numFmtId="41" fontId="7" fillId="0" borderId="0" xfId="3" applyNumberFormat="1" applyFont="1"/>
    <xf numFmtId="41" fontId="4" fillId="0" borderId="0" xfId="3" applyNumberFormat="1" applyFont="1" applyAlignment="1">
      <alignment horizontal="right"/>
    </xf>
    <xf numFmtId="1" fontId="7" fillId="0" borderId="0" xfId="3" applyNumberFormat="1" applyFont="1"/>
    <xf numFmtId="167" fontId="9" fillId="0" borderId="0" xfId="3" applyNumberFormat="1" applyFont="1"/>
    <xf numFmtId="41" fontId="4" fillId="0" borderId="0" xfId="3" applyNumberFormat="1" applyFont="1" applyBorder="1"/>
    <xf numFmtId="41" fontId="4" fillId="0" borderId="4" xfId="3" applyNumberFormat="1" applyFont="1" applyBorder="1"/>
    <xf numFmtId="41" fontId="4" fillId="0" borderId="5" xfId="3" applyNumberFormat="1" applyFont="1" applyBorder="1"/>
    <xf numFmtId="41" fontId="4" fillId="0" borderId="6" xfId="3" applyNumberFormat="1" applyFont="1" applyBorder="1"/>
    <xf numFmtId="167" fontId="4" fillId="0" borderId="2" xfId="3" applyNumberFormat="1" applyFont="1" applyBorder="1"/>
    <xf numFmtId="166" fontId="4" fillId="0" borderId="4" xfId="3" applyNumberFormat="1" applyFont="1" applyBorder="1"/>
    <xf numFmtId="166" fontId="4" fillId="0" borderId="6" xfId="3" applyNumberFormat="1" applyFont="1" applyBorder="1"/>
    <xf numFmtId="2" fontId="2" fillId="0" borderId="0" xfId="3" applyNumberFormat="1"/>
    <xf numFmtId="0" fontId="3" fillId="0" borderId="0" xfId="0" applyFont="1" applyBorder="1"/>
    <xf numFmtId="0" fontId="0" fillId="0" borderId="0" xfId="0" applyBorder="1"/>
    <xf numFmtId="0" fontId="3" fillId="0" borderId="0" xfId="0" applyFont="1" applyFill="1" applyBorder="1"/>
    <xf numFmtId="17" fontId="0" fillId="0" borderId="0" xfId="0" applyNumberFormat="1" applyBorder="1"/>
    <xf numFmtId="17" fontId="3" fillId="0" borderId="0" xfId="0" applyNumberFormat="1" applyFont="1" applyAlignment="1">
      <alignment horizontal="center"/>
    </xf>
    <xf numFmtId="169" fontId="0" fillId="0" borderId="0" xfId="0" applyNumberFormat="1" applyBorder="1"/>
    <xf numFmtId="169" fontId="0" fillId="0" borderId="0" xfId="0" applyNumberFormat="1"/>
    <xf numFmtId="17" fontId="4" fillId="0" borderId="0" xfId="0" applyNumberFormat="1" applyFont="1"/>
    <xf numFmtId="0" fontId="4" fillId="0" borderId="0" xfId="0" applyFont="1"/>
    <xf numFmtId="2" fontId="4" fillId="0" borderId="0" xfId="0" applyNumberFormat="1" applyFont="1"/>
    <xf numFmtId="2" fontId="0" fillId="0" borderId="0" xfId="0" applyNumberFormat="1"/>
    <xf numFmtId="0" fontId="4" fillId="0" borderId="0" xfId="0" applyFont="1" applyAlignment="1">
      <alignment horizontal="center"/>
    </xf>
    <xf numFmtId="17" fontId="0" fillId="0" borderId="0" xfId="0" applyNumberFormat="1"/>
    <xf numFmtId="4" fontId="4" fillId="0" borderId="0" xfId="0" applyNumberFormat="1" applyFont="1"/>
    <xf numFmtId="4" fontId="0" fillId="0" borderId="0" xfId="0" applyNumberFormat="1"/>
    <xf numFmtId="4" fontId="3" fillId="0" borderId="0" xfId="0" applyNumberFormat="1" applyFont="1" applyAlignment="1">
      <alignment horizontal="center"/>
    </xf>
    <xf numFmtId="9" fontId="1" fillId="0" borderId="0" xfId="5"/>
    <xf numFmtId="40" fontId="4" fillId="0" borderId="0" xfId="0" applyNumberFormat="1" applyFont="1"/>
    <xf numFmtId="43" fontId="4" fillId="0" borderId="0" xfId="1" applyFont="1"/>
    <xf numFmtId="44" fontId="4" fillId="0" borderId="0" xfId="2" applyFont="1"/>
    <xf numFmtId="4" fontId="4" fillId="0" borderId="1" xfId="0" applyNumberFormat="1" applyFont="1" applyBorder="1"/>
    <xf numFmtId="40" fontId="4" fillId="0" borderId="1" xfId="0" applyNumberFormat="1" applyFont="1" applyBorder="1"/>
    <xf numFmtId="43" fontId="4" fillId="0" borderId="1" xfId="1" applyFont="1" applyBorder="1"/>
    <xf numFmtId="0" fontId="4" fillId="0" borderId="0" xfId="0" applyFont="1" applyFill="1" applyBorder="1" applyAlignment="1">
      <alignment horizontal="center"/>
    </xf>
    <xf numFmtId="17" fontId="4" fillId="0" borderId="0" xfId="0" applyNumberFormat="1" applyFont="1" applyFill="1" applyBorder="1" applyAlignment="1">
      <alignment horizontal="center"/>
    </xf>
    <xf numFmtId="9" fontId="4" fillId="0" borderId="0" xfId="5" applyFont="1" applyFill="1"/>
    <xf numFmtId="43" fontId="4" fillId="0" borderId="5" xfId="1" applyFont="1" applyBorder="1"/>
    <xf numFmtId="43" fontId="4" fillId="0" borderId="0" xfId="0" applyNumberFormat="1" applyFont="1"/>
    <xf numFmtId="0" fontId="4" fillId="0" borderId="0" xfId="0" applyFont="1" applyFill="1"/>
    <xf numFmtId="10" fontId="4" fillId="2" borderId="0" xfId="0" applyNumberFormat="1" applyFont="1" applyFill="1"/>
    <xf numFmtId="10" fontId="4" fillId="2" borderId="0" xfId="5" applyNumberFormat="1" applyFont="1" applyFill="1"/>
    <xf numFmtId="10" fontId="4" fillId="0" borderId="0" xfId="5" applyNumberFormat="1" applyFont="1"/>
    <xf numFmtId="9" fontId="4" fillId="0" borderId="0" xfId="5" applyFont="1"/>
    <xf numFmtId="43" fontId="4" fillId="0" borderId="0" xfId="1" applyNumberFormat="1" applyFont="1"/>
    <xf numFmtId="44" fontId="4" fillId="0" borderId="5" xfId="2" applyFont="1" applyBorder="1"/>
    <xf numFmtId="44" fontId="4" fillId="0" borderId="0" xfId="0" applyNumberFormat="1" applyFont="1"/>
    <xf numFmtId="44" fontId="4" fillId="0" borderId="0" xfId="2" applyFont="1" applyBorder="1"/>
    <xf numFmtId="0" fontId="4" fillId="0" borderId="0" xfId="0" applyFont="1" applyBorder="1"/>
    <xf numFmtId="44" fontId="4" fillId="0" borderId="0" xfId="2" applyNumberFormat="1" applyFont="1" applyBorder="1"/>
    <xf numFmtId="166" fontId="4" fillId="0" borderId="0" xfId="3" applyNumberFormat="1" applyFont="1" applyAlignment="1">
      <alignment horizontal="right"/>
    </xf>
    <xf numFmtId="166" fontId="4" fillId="0" borderId="1" xfId="3" applyNumberFormat="1" applyFont="1" applyBorder="1"/>
    <xf numFmtId="165" fontId="3" fillId="0" borderId="0" xfId="5" applyNumberFormat="1" applyFont="1"/>
    <xf numFmtId="0" fontId="13" fillId="0" borderId="8" xfId="3" applyFont="1" applyBorder="1" applyAlignment="1">
      <alignment horizontal="center"/>
    </xf>
    <xf numFmtId="0" fontId="4" fillId="0" borderId="0" xfId="3" applyFont="1" applyBorder="1"/>
    <xf numFmtId="166" fontId="13" fillId="0" borderId="9" xfId="3" applyNumberFormat="1" applyFont="1" applyBorder="1" applyAlignment="1">
      <alignment horizontal="center"/>
    </xf>
    <xf numFmtId="166" fontId="4" fillId="0" borderId="0" xfId="3" applyNumberFormat="1" applyFont="1" applyBorder="1"/>
    <xf numFmtId="166" fontId="14" fillId="0" borderId="9" xfId="3" applyNumberFormat="1" applyFont="1" applyFill="1" applyBorder="1" applyAlignment="1">
      <alignment horizontal="center"/>
    </xf>
    <xf numFmtId="41" fontId="10" fillId="0" borderId="9" xfId="3" applyNumberFormat="1" applyFont="1" applyBorder="1"/>
    <xf numFmtId="166" fontId="6" fillId="0" borderId="0" xfId="3" applyNumberFormat="1" applyFont="1" applyBorder="1"/>
    <xf numFmtId="0" fontId="2" fillId="0" borderId="0" xfId="3" applyBorder="1"/>
    <xf numFmtId="167" fontId="6" fillId="0" borderId="9" xfId="3" applyNumberFormat="1" applyFont="1" applyBorder="1"/>
    <xf numFmtId="165" fontId="4" fillId="0" borderId="0" xfId="5" applyNumberFormat="1" applyFont="1"/>
    <xf numFmtId="0" fontId="6" fillId="0" borderId="0" xfId="0" applyFont="1"/>
    <xf numFmtId="44" fontId="4" fillId="0" borderId="0" xfId="0" applyNumberFormat="1" applyFont="1" applyFill="1"/>
    <xf numFmtId="166" fontId="4" fillId="0" borderId="2" xfId="3" applyNumberFormat="1" applyFont="1" applyBorder="1"/>
    <xf numFmtId="0" fontId="8" fillId="0" borderId="0" xfId="3" applyFont="1" applyBorder="1"/>
    <xf numFmtId="0" fontId="8" fillId="0" borderId="0" xfId="3" applyFont="1" applyBorder="1" applyAlignment="1">
      <alignment horizontal="center"/>
    </xf>
    <xf numFmtId="0" fontId="6" fillId="0" borderId="0" xfId="3" applyFont="1" applyBorder="1" applyAlignment="1">
      <alignment horizontal="center"/>
    </xf>
    <xf numFmtId="166" fontId="6" fillId="0" borderId="0" xfId="3" applyNumberFormat="1" applyFont="1" applyBorder="1" applyAlignment="1">
      <alignment horizontal="center"/>
    </xf>
    <xf numFmtId="166" fontId="4" fillId="0" borderId="0" xfId="3" applyNumberFormat="1" applyFont="1" applyAlignment="1">
      <alignment horizontal="centerContinuous"/>
    </xf>
    <xf numFmtId="170" fontId="4" fillId="0" borderId="0" xfId="2" applyNumberFormat="1" applyFont="1"/>
    <xf numFmtId="168" fontId="4" fillId="0" borderId="0" xfId="3" applyNumberFormat="1" applyFont="1" applyBorder="1" applyAlignment="1">
      <alignment horizontal="right"/>
    </xf>
    <xf numFmtId="41" fontId="9" fillId="0" borderId="0" xfId="3" applyNumberFormat="1" applyFont="1" applyBorder="1"/>
    <xf numFmtId="166" fontId="4" fillId="5" borderId="0" xfId="3" applyNumberFormat="1" applyFont="1" applyFill="1"/>
    <xf numFmtId="41" fontId="10" fillId="0" borderId="0" xfId="3" applyNumberFormat="1" applyFont="1" applyBorder="1" applyAlignment="1">
      <alignment horizontal="left"/>
    </xf>
    <xf numFmtId="166" fontId="2" fillId="0" borderId="0" xfId="3" applyNumberFormat="1" applyBorder="1"/>
    <xf numFmtId="168" fontId="4" fillId="0" borderId="0" xfId="3" applyNumberFormat="1" applyFont="1" applyBorder="1"/>
    <xf numFmtId="167" fontId="4" fillId="0" borderId="0" xfId="3" applyNumberFormat="1" applyFont="1" applyBorder="1"/>
    <xf numFmtId="4" fontId="6" fillId="0" borderId="1" xfId="0" applyNumberFormat="1" applyFont="1" applyBorder="1"/>
    <xf numFmtId="2" fontId="6" fillId="0" borderId="0" xfId="0" applyNumberFormat="1" applyFont="1"/>
    <xf numFmtId="0" fontId="6" fillId="0" borderId="0" xfId="0" applyFont="1" applyAlignment="1">
      <alignment horizontal="center"/>
    </xf>
    <xf numFmtId="0" fontId="6" fillId="0" borderId="0" xfId="0" applyFont="1" applyAlignment="1">
      <alignment horizontal="centerContinuous"/>
    </xf>
    <xf numFmtId="2" fontId="6" fillId="2" borderId="0" xfId="0" applyNumberFormat="1" applyFont="1" applyFill="1" applyBorder="1"/>
    <xf numFmtId="10" fontId="6" fillId="3" borderId="0" xfId="5" applyNumberFormat="1" applyFont="1" applyFill="1"/>
    <xf numFmtId="0" fontId="6" fillId="0" borderId="0" xfId="0" quotePrefix="1" applyFont="1" applyAlignment="1">
      <alignment horizontal="left"/>
    </xf>
    <xf numFmtId="44" fontId="6" fillId="0" borderId="0" xfId="2" applyFont="1" applyBorder="1"/>
    <xf numFmtId="43" fontId="6" fillId="0" borderId="0" xfId="1" applyFont="1" applyBorder="1"/>
    <xf numFmtId="43" fontId="6" fillId="0" borderId="4" xfId="1" applyFont="1" applyBorder="1"/>
    <xf numFmtId="43" fontId="6" fillId="0" borderId="0" xfId="1" applyFont="1"/>
    <xf numFmtId="44" fontId="6" fillId="0" borderId="0" xfId="0" applyNumberFormat="1" applyFont="1" applyBorder="1"/>
    <xf numFmtId="0" fontId="18" fillId="6" borderId="12" xfId="6" applyFont="1" applyFill="1" applyBorder="1"/>
    <xf numFmtId="0" fontId="18" fillId="6" borderId="13" xfId="6" applyFont="1" applyFill="1" applyBorder="1"/>
    <xf numFmtId="0" fontId="1" fillId="6" borderId="13" xfId="6" applyFill="1" applyBorder="1"/>
    <xf numFmtId="0" fontId="1" fillId="6" borderId="14" xfId="6" applyFill="1" applyBorder="1"/>
    <xf numFmtId="0" fontId="1" fillId="0" borderId="0" xfId="6"/>
    <xf numFmtId="0" fontId="3" fillId="6" borderId="15" xfId="6" applyFont="1" applyFill="1" applyBorder="1"/>
    <xf numFmtId="0" fontId="3" fillId="6" borderId="0" xfId="6" applyFont="1" applyFill="1" applyBorder="1"/>
    <xf numFmtId="0" fontId="19" fillId="6" borderId="0" xfId="6" applyFont="1" applyFill="1" applyBorder="1"/>
    <xf numFmtId="0" fontId="1" fillId="6" borderId="0" xfId="6" applyFill="1" applyBorder="1"/>
    <xf numFmtId="0" fontId="1" fillId="6" borderId="16" xfId="6" applyFill="1" applyBorder="1"/>
    <xf numFmtId="15" fontId="3" fillId="6" borderId="15" xfId="6" applyNumberFormat="1" applyFont="1" applyFill="1" applyBorder="1"/>
    <xf numFmtId="15" fontId="3" fillId="6" borderId="0" xfId="6" applyNumberFormat="1" applyFont="1" applyFill="1" applyBorder="1"/>
    <xf numFmtId="0" fontId="1" fillId="6" borderId="15" xfId="6" applyFill="1" applyBorder="1"/>
    <xf numFmtId="0" fontId="3" fillId="6" borderId="0" xfId="6" applyFont="1" applyFill="1" applyBorder="1" applyAlignment="1">
      <alignment horizontal="center"/>
    </xf>
    <xf numFmtId="0" fontId="22" fillId="6" borderId="0" xfId="6" applyFont="1" applyFill="1" applyBorder="1" applyAlignment="1">
      <alignment horizontal="center"/>
    </xf>
    <xf numFmtId="0" fontId="23" fillId="6" borderId="17" xfId="6" applyFont="1" applyFill="1" applyBorder="1"/>
    <xf numFmtId="0" fontId="23" fillId="6" borderId="0" xfId="6" applyFont="1" applyFill="1" applyBorder="1"/>
    <xf numFmtId="0" fontId="1" fillId="6" borderId="0" xfId="6" applyFill="1" applyBorder="1" applyAlignment="1">
      <alignment horizontal="center"/>
    </xf>
    <xf numFmtId="0" fontId="0" fillId="6" borderId="15" xfId="6" applyFont="1" applyFill="1" applyBorder="1"/>
    <xf numFmtId="41" fontId="1" fillId="6" borderId="0" xfId="6" applyNumberFormat="1" applyFill="1" applyBorder="1"/>
    <xf numFmtId="44" fontId="24" fillId="6" borderId="0" xfId="7" applyFont="1" applyFill="1" applyBorder="1"/>
    <xf numFmtId="0" fontId="1" fillId="6" borderId="15" xfId="6" applyFont="1" applyFill="1" applyBorder="1"/>
    <xf numFmtId="0" fontId="17" fillId="6" borderId="0" xfId="6" applyFont="1" applyFill="1" applyBorder="1"/>
    <xf numFmtId="41" fontId="25" fillId="6" borderId="0" xfId="6" applyNumberFormat="1" applyFont="1" applyFill="1" applyBorder="1"/>
    <xf numFmtId="44" fontId="1" fillId="6" borderId="16" xfId="7" applyFont="1" applyFill="1" applyBorder="1"/>
    <xf numFmtId="170" fontId="1" fillId="6" borderId="0" xfId="7" applyNumberFormat="1" applyFont="1" applyFill="1" applyBorder="1"/>
    <xf numFmtId="44" fontId="25" fillId="6" borderId="16" xfId="7" applyNumberFormat="1" applyFont="1" applyFill="1" applyBorder="1"/>
    <xf numFmtId="44" fontId="26" fillId="6" borderId="18" xfId="7" applyNumberFormat="1" applyFont="1" applyFill="1" applyBorder="1"/>
    <xf numFmtId="44" fontId="26" fillId="6" borderId="19" xfId="7" applyNumberFormat="1" applyFont="1" applyFill="1" applyBorder="1"/>
    <xf numFmtId="43" fontId="1" fillId="6" borderId="0" xfId="1" applyFill="1" applyBorder="1"/>
    <xf numFmtId="44" fontId="26" fillId="6" borderId="16" xfId="7" applyNumberFormat="1" applyFont="1" applyFill="1" applyBorder="1"/>
    <xf numFmtId="44" fontId="1" fillId="6" borderId="0" xfId="6" applyNumberFormat="1" applyFill="1" applyBorder="1"/>
    <xf numFmtId="0" fontId="3" fillId="6" borderId="5" xfId="6" applyFont="1" applyFill="1" applyBorder="1" applyAlignment="1">
      <alignment horizontal="center"/>
    </xf>
    <xf numFmtId="44" fontId="1" fillId="6" borderId="16" xfId="7" applyNumberFormat="1" applyFont="1" applyFill="1" applyBorder="1"/>
    <xf numFmtId="43" fontId="25" fillId="6" borderId="16" xfId="6" applyNumberFormat="1" applyFont="1" applyFill="1" applyBorder="1"/>
    <xf numFmtId="44" fontId="27" fillId="6" borderId="16" xfId="6" applyNumberFormat="1" applyFont="1" applyFill="1" applyBorder="1"/>
    <xf numFmtId="0" fontId="0" fillId="6" borderId="17" xfId="6" applyFont="1" applyFill="1" applyBorder="1"/>
    <xf numFmtId="0" fontId="1" fillId="6" borderId="5" xfId="6" applyFill="1" applyBorder="1"/>
    <xf numFmtId="44" fontId="26" fillId="6" borderId="20" xfId="7" applyNumberFormat="1" applyFont="1" applyFill="1" applyBorder="1"/>
    <xf numFmtId="44" fontId="1" fillId="6" borderId="0" xfId="7" applyNumberFormat="1" applyFont="1" applyFill="1" applyBorder="1"/>
    <xf numFmtId="44" fontId="1" fillId="6" borderId="0" xfId="7" applyFont="1" applyFill="1" applyBorder="1"/>
    <xf numFmtId="164" fontId="0" fillId="0" borderId="0" xfId="1" applyNumberFormat="1" applyFont="1"/>
    <xf numFmtId="166" fontId="4" fillId="5" borderId="2" xfId="3" applyNumberFormat="1" applyFont="1" applyFill="1" applyBorder="1"/>
    <xf numFmtId="4" fontId="1" fillId="0" borderId="0" xfId="6" applyNumberFormat="1"/>
    <xf numFmtId="0" fontId="4" fillId="0" borderId="0" xfId="6" applyFont="1"/>
    <xf numFmtId="2" fontId="4" fillId="0" borderId="0" xfId="6" applyNumberFormat="1" applyFont="1"/>
    <xf numFmtId="4" fontId="4" fillId="0" borderId="0" xfId="6" applyNumberFormat="1" applyFont="1"/>
    <xf numFmtId="4" fontId="4" fillId="0" borderId="1" xfId="6" applyNumberFormat="1" applyFont="1" applyBorder="1"/>
    <xf numFmtId="40" fontId="4" fillId="0" borderId="1" xfId="6" applyNumberFormat="1" applyFont="1" applyBorder="1"/>
    <xf numFmtId="0" fontId="4" fillId="0" borderId="0" xfId="6" applyFont="1" applyAlignment="1">
      <alignment horizontal="center"/>
    </xf>
    <xf numFmtId="40" fontId="4" fillId="0" borderId="0" xfId="6" applyNumberFormat="1" applyFont="1"/>
    <xf numFmtId="17" fontId="4" fillId="0" borderId="0" xfId="6" applyNumberFormat="1" applyFont="1"/>
    <xf numFmtId="17" fontId="1" fillId="0" borderId="0" xfId="6" applyNumberFormat="1"/>
    <xf numFmtId="17" fontId="3" fillId="0" borderId="0" xfId="6" applyNumberFormat="1" applyFont="1" applyAlignment="1">
      <alignment horizontal="center"/>
    </xf>
    <xf numFmtId="4" fontId="3" fillId="0" borderId="0" xfId="6" applyNumberFormat="1" applyFont="1" applyAlignment="1">
      <alignment horizontal="center"/>
    </xf>
    <xf numFmtId="0" fontId="3" fillId="0" borderId="0" xfId="6" applyFont="1" applyFill="1" applyBorder="1"/>
    <xf numFmtId="0" fontId="1" fillId="0" borderId="0" xfId="6" applyBorder="1"/>
    <xf numFmtId="0" fontId="3" fillId="0" borderId="0" xfId="6" applyFont="1" applyBorder="1"/>
    <xf numFmtId="2" fontId="1" fillId="0" borderId="0" xfId="6" applyNumberFormat="1"/>
    <xf numFmtId="169" fontId="1" fillId="0" borderId="0" xfId="6" applyNumberFormat="1"/>
    <xf numFmtId="17" fontId="1" fillId="0" borderId="0" xfId="6" applyNumberFormat="1" applyBorder="1"/>
    <xf numFmtId="0" fontId="6" fillId="0" borderId="0" xfId="6" applyFont="1"/>
    <xf numFmtId="0" fontId="4" fillId="0" borderId="0" xfId="6" applyFont="1" applyBorder="1"/>
    <xf numFmtId="44" fontId="6" fillId="0" borderId="0" xfId="6" applyNumberFormat="1" applyFont="1" applyBorder="1"/>
    <xf numFmtId="44" fontId="4" fillId="0" borderId="0" xfId="6" applyNumberFormat="1" applyFont="1"/>
    <xf numFmtId="0" fontId="4" fillId="0" borderId="0" xfId="6" applyFont="1" applyFill="1"/>
    <xf numFmtId="44" fontId="17" fillId="0" borderId="0" xfId="6" applyNumberFormat="1" applyFont="1" applyFill="1" applyBorder="1"/>
    <xf numFmtId="7" fontId="1" fillId="0" borderId="0" xfId="6" applyNumberFormat="1" applyFont="1" applyFill="1" applyBorder="1" applyAlignment="1">
      <alignment horizontal="center"/>
    </xf>
    <xf numFmtId="0" fontId="6" fillId="0" borderId="0" xfId="6" quotePrefix="1" applyFont="1" applyAlignment="1">
      <alignment horizontal="left"/>
    </xf>
    <xf numFmtId="10" fontId="4" fillId="2" borderId="0" xfId="6" applyNumberFormat="1" applyFont="1" applyFill="1"/>
    <xf numFmtId="43" fontId="4" fillId="0" borderId="0" xfId="6" applyNumberFormat="1" applyFont="1"/>
    <xf numFmtId="2" fontId="6" fillId="2" borderId="0" xfId="6" applyNumberFormat="1" applyFont="1" applyFill="1" applyBorder="1"/>
    <xf numFmtId="2" fontId="6" fillId="0" borderId="0" xfId="6" applyNumberFormat="1" applyFont="1"/>
    <xf numFmtId="17" fontId="4" fillId="2" borderId="0" xfId="6" applyNumberFormat="1" applyFont="1" applyFill="1" applyBorder="1" applyAlignment="1">
      <alignment horizontal="center"/>
    </xf>
    <xf numFmtId="0" fontId="6" fillId="0" borderId="0" xfId="6" applyFont="1" applyAlignment="1">
      <alignment horizontal="center"/>
    </xf>
    <xf numFmtId="0" fontId="6" fillId="0" borderId="0" xfId="6" applyFont="1" applyAlignment="1">
      <alignment horizontal="centerContinuous"/>
    </xf>
    <xf numFmtId="0" fontId="4" fillId="0" borderId="0" xfId="6" applyFont="1" applyFill="1" applyBorder="1" applyAlignment="1">
      <alignment horizontal="center"/>
    </xf>
    <xf numFmtId="4" fontId="6" fillId="0" borderId="1" xfId="6" applyNumberFormat="1" applyFont="1" applyBorder="1"/>
    <xf numFmtId="166" fontId="4" fillId="7" borderId="0" xfId="3" applyNumberFormat="1" applyFont="1" applyFill="1"/>
    <xf numFmtId="44" fontId="30" fillId="2" borderId="7" xfId="2" applyNumberFormat="1" applyFont="1" applyFill="1" applyBorder="1"/>
    <xf numFmtId="44" fontId="4" fillId="2" borderId="7" xfId="2" applyNumberFormat="1" applyFont="1" applyFill="1" applyBorder="1"/>
    <xf numFmtId="44" fontId="4" fillId="2" borderId="7" xfId="2" applyNumberFormat="1" applyFont="1" applyFill="1" applyBorder="1" applyAlignment="1">
      <alignment horizontal="center"/>
    </xf>
    <xf numFmtId="44" fontId="30" fillId="2" borderId="7" xfId="2" applyNumberFormat="1" applyFont="1" applyFill="1" applyBorder="1" applyAlignment="1">
      <alignment horizontal="center"/>
    </xf>
    <xf numFmtId="167" fontId="4" fillId="7" borderId="6" xfId="3" applyNumberFormat="1" applyFont="1" applyFill="1" applyBorder="1"/>
    <xf numFmtId="168" fontId="4" fillId="0" borderId="0" xfId="3" applyNumberFormat="1" applyFont="1" applyFill="1" applyAlignment="1">
      <alignment horizontal="right"/>
    </xf>
    <xf numFmtId="8" fontId="4" fillId="2" borderId="7" xfId="2" applyNumberFormat="1" applyFont="1" applyFill="1" applyBorder="1"/>
    <xf numFmtId="0" fontId="31" fillId="6" borderId="17" xfId="6" applyFont="1" applyFill="1" applyBorder="1"/>
    <xf numFmtId="1" fontId="4" fillId="0" borderId="0" xfId="3" applyNumberFormat="1" applyFont="1" applyBorder="1"/>
    <xf numFmtId="170" fontId="32" fillId="8" borderId="21" xfId="2" applyNumberFormat="1" applyFont="1" applyFill="1" applyBorder="1"/>
    <xf numFmtId="166" fontId="4" fillId="0" borderId="0" xfId="3" applyNumberFormat="1" applyFont="1" applyFill="1" applyBorder="1" applyAlignment="1">
      <alignment horizontal="center"/>
    </xf>
    <xf numFmtId="170" fontId="4" fillId="4" borderId="11" xfId="4" applyNumberFormat="1" applyFont="1"/>
    <xf numFmtId="166" fontId="4" fillId="0" borderId="0" xfId="3" applyNumberFormat="1" applyFont="1" applyBorder="1" applyAlignment="1">
      <alignment horizontal="center"/>
    </xf>
    <xf numFmtId="41" fontId="9" fillId="0" borderId="0" xfId="3" applyNumberFormat="1" applyFont="1" applyBorder="1" applyAlignment="1">
      <alignment horizontal="center"/>
    </xf>
    <xf numFmtId="170" fontId="32" fillId="8" borderId="21" xfId="4" applyNumberFormat="1" applyFont="1" applyFill="1" applyBorder="1"/>
    <xf numFmtId="165" fontId="4" fillId="7" borderId="7" xfId="5" applyNumberFormat="1" applyFont="1" applyFill="1" applyBorder="1"/>
    <xf numFmtId="41" fontId="4" fillId="5" borderId="0" xfId="3" applyNumberFormat="1" applyFont="1" applyFill="1" applyBorder="1"/>
    <xf numFmtId="41" fontId="4" fillId="5" borderId="10" xfId="3" applyNumberFormat="1" applyFont="1" applyFill="1" applyBorder="1"/>
    <xf numFmtId="166" fontId="9" fillId="0" borderId="0" xfId="3" applyNumberFormat="1" applyFont="1" applyFill="1" applyAlignment="1">
      <alignment horizontal="center"/>
    </xf>
    <xf numFmtId="41" fontId="32" fillId="8" borderId="21" xfId="3" applyNumberFormat="1" applyFont="1" applyFill="1" applyBorder="1"/>
    <xf numFmtId="41" fontId="32" fillId="8" borderId="21" xfId="3" applyNumberFormat="1" applyFont="1" applyFill="1" applyBorder="1" applyAlignment="1">
      <alignment horizontal="center"/>
    </xf>
    <xf numFmtId="166" fontId="33" fillId="8" borderId="21" xfId="3" applyNumberFormat="1" applyFont="1" applyFill="1" applyBorder="1" applyAlignment="1">
      <alignment horizontal="center"/>
    </xf>
    <xf numFmtId="171" fontId="0" fillId="0" borderId="0" xfId="5" applyNumberFormat="1" applyFont="1"/>
    <xf numFmtId="172" fontId="1" fillId="0" borderId="0" xfId="6" applyNumberFormat="1"/>
    <xf numFmtId="43" fontId="4" fillId="0" borderId="1" xfId="1" applyNumberFormat="1" applyFont="1" applyBorder="1"/>
    <xf numFmtId="165" fontId="29" fillId="8" borderId="21" xfId="5" applyNumberFormat="1" applyFont="1" applyFill="1" applyBorder="1" applyAlignment="1">
      <alignment horizontal="center"/>
    </xf>
    <xf numFmtId="40" fontId="6" fillId="0" borderId="0" xfId="6" applyNumberFormat="1" applyFont="1"/>
    <xf numFmtId="43" fontId="6" fillId="0" borderId="1" xfId="1" applyFont="1" applyBorder="1"/>
    <xf numFmtId="43" fontId="4" fillId="0" borderId="0" xfId="1" quotePrefix="1" applyFont="1"/>
    <xf numFmtId="43" fontId="4" fillId="0" borderId="0" xfId="1" quotePrefix="1" applyNumberFormat="1" applyFont="1"/>
    <xf numFmtId="17" fontId="4" fillId="0" borderId="0" xfId="6" applyNumberFormat="1" applyFont="1" applyFill="1"/>
    <xf numFmtId="40" fontId="4" fillId="0" borderId="0" xfId="6" quotePrefix="1" applyNumberFormat="1" applyFont="1"/>
    <xf numFmtId="4" fontId="4" fillId="0" borderId="0" xfId="6" quotePrefix="1" applyNumberFormat="1" applyFont="1"/>
    <xf numFmtId="0" fontId="10" fillId="0" borderId="0" xfId="6" applyFont="1" applyBorder="1"/>
    <xf numFmtId="44" fontId="4" fillId="0" borderId="0" xfId="6" applyNumberFormat="1" applyFont="1" applyBorder="1"/>
    <xf numFmtId="0" fontId="6" fillId="0" borderId="0" xfId="6" applyFont="1" applyBorder="1"/>
    <xf numFmtId="7" fontId="1" fillId="0" borderId="0" xfId="6" applyNumberFormat="1" applyFill="1" applyBorder="1"/>
    <xf numFmtId="43" fontId="4" fillId="0" borderId="0" xfId="1" applyFont="1" applyBorder="1" applyAlignment="1">
      <alignment horizontal="center"/>
    </xf>
    <xf numFmtId="166" fontId="4" fillId="0" borderId="0" xfId="3" applyNumberFormat="1" applyFont="1" applyBorder="1" applyAlignment="1">
      <alignment horizontal="right"/>
    </xf>
    <xf numFmtId="166" fontId="4" fillId="7" borderId="6" xfId="3" applyNumberFormat="1" applyFont="1" applyFill="1" applyBorder="1"/>
    <xf numFmtId="164" fontId="4" fillId="0" borderId="0" xfId="3" applyNumberFormat="1" applyFont="1"/>
    <xf numFmtId="167" fontId="32" fillId="8" borderId="21" xfId="3" applyNumberFormat="1" applyFont="1" applyFill="1" applyBorder="1"/>
    <xf numFmtId="43" fontId="9" fillId="0" borderId="0" xfId="1" applyFont="1" applyAlignment="1">
      <alignment horizontal="center"/>
    </xf>
    <xf numFmtId="172" fontId="0" fillId="0" borderId="0" xfId="0" applyNumberFormat="1"/>
    <xf numFmtId="40" fontId="6" fillId="0" borderId="0" xfId="0" applyNumberFormat="1" applyFont="1"/>
    <xf numFmtId="8" fontId="4" fillId="0" borderId="0" xfId="2" quotePrefix="1" applyNumberFormat="1" applyFont="1"/>
    <xf numFmtId="0" fontId="0" fillId="5" borderId="0" xfId="0" applyFill="1"/>
    <xf numFmtId="2" fontId="4" fillId="5" borderId="0" xfId="0" applyNumberFormat="1" applyFont="1" applyFill="1"/>
    <xf numFmtId="8" fontId="4" fillId="5" borderId="0" xfId="2" quotePrefix="1" applyNumberFormat="1" applyFont="1" applyFill="1"/>
    <xf numFmtId="0" fontId="4" fillId="5" borderId="0" xfId="0" applyFont="1" applyFill="1"/>
    <xf numFmtId="17" fontId="4" fillId="5" borderId="0" xfId="0" applyNumberFormat="1" applyFont="1" applyFill="1"/>
    <xf numFmtId="8" fontId="4" fillId="0" borderId="0" xfId="2" quotePrefix="1" applyNumberFormat="1" applyFont="1" applyFill="1"/>
    <xf numFmtId="17" fontId="4" fillId="0" borderId="0" xfId="0" applyNumberFormat="1" applyFont="1" applyFill="1"/>
    <xf numFmtId="0" fontId="6" fillId="0" borderId="0" xfId="0" applyFont="1" applyFill="1" applyBorder="1"/>
    <xf numFmtId="2" fontId="0" fillId="5" borderId="0" xfId="0" applyNumberFormat="1" applyFill="1"/>
    <xf numFmtId="43" fontId="6" fillId="5" borderId="0" xfId="1" applyFont="1" applyFill="1"/>
    <xf numFmtId="169" fontId="0" fillId="5" borderId="0" xfId="0" applyNumberFormat="1" applyFill="1"/>
    <xf numFmtId="43" fontId="4" fillId="5" borderId="0" xfId="1" quotePrefix="1" applyFont="1" applyFill="1"/>
    <xf numFmtId="43" fontId="4" fillId="5" borderId="0" xfId="1" quotePrefix="1" applyNumberFormat="1" applyFont="1" applyFill="1"/>
    <xf numFmtId="169" fontId="3" fillId="0" borderId="0" xfId="0" applyNumberFormat="1" applyFont="1" applyAlignment="1">
      <alignment horizontal="center"/>
    </xf>
    <xf numFmtId="44" fontId="4" fillId="0" borderId="0" xfId="2" applyFont="1" applyFill="1" applyBorder="1"/>
    <xf numFmtId="43" fontId="6" fillId="0" borderId="0" xfId="1" applyFont="1" applyFill="1"/>
    <xf numFmtId="43" fontId="6" fillId="0" borderId="4" xfId="1" applyFont="1" applyFill="1" applyBorder="1"/>
    <xf numFmtId="43" fontId="4" fillId="0" borderId="0" xfId="1" applyFont="1" applyFill="1"/>
    <xf numFmtId="8" fontId="4" fillId="0" borderId="0" xfId="0" applyNumberFormat="1" applyFont="1"/>
    <xf numFmtId="43" fontId="4" fillId="0" borderId="5" xfId="1" applyFont="1" applyFill="1" applyBorder="1"/>
    <xf numFmtId="43" fontId="4" fillId="0" borderId="0" xfId="1" applyNumberFormat="1" applyFont="1" applyFill="1"/>
    <xf numFmtId="10" fontId="4" fillId="0" borderId="0" xfId="5" applyNumberFormat="1" applyFont="1" applyFill="1"/>
    <xf numFmtId="43" fontId="4" fillId="0" borderId="0" xfId="0" applyNumberFormat="1" applyFont="1" applyFill="1"/>
    <xf numFmtId="0" fontId="1" fillId="0" borderId="0" xfId="0" applyFont="1"/>
    <xf numFmtId="44" fontId="0" fillId="0" borderId="0" xfId="2" applyFont="1"/>
    <xf numFmtId="44" fontId="0" fillId="0" borderId="0" xfId="0" applyNumberFormat="1"/>
    <xf numFmtId="9" fontId="0" fillId="0" borderId="0" xfId="5" applyFont="1"/>
    <xf numFmtId="0" fontId="0" fillId="0" borderId="4" xfId="0" applyBorder="1"/>
    <xf numFmtId="44" fontId="0" fillId="0" borderId="4" xfId="0" applyNumberFormat="1" applyBorder="1"/>
    <xf numFmtId="6" fontId="0" fillId="0" borderId="4" xfId="0" applyNumberFormat="1" applyBorder="1"/>
    <xf numFmtId="8" fontId="0" fillId="0" borderId="4" xfId="0" applyNumberFormat="1" applyBorder="1"/>
    <xf numFmtId="43" fontId="1" fillId="6" borderId="0" xfId="6" applyNumberFormat="1" applyFill="1" applyBorder="1"/>
    <xf numFmtId="0" fontId="20" fillId="6" borderId="15" xfId="6" applyFont="1" applyFill="1" applyBorder="1" applyAlignment="1">
      <alignment horizontal="center"/>
    </xf>
    <xf numFmtId="0" fontId="20" fillId="6" borderId="0" xfId="6" applyFont="1" applyFill="1" applyBorder="1" applyAlignment="1">
      <alignment horizontal="center"/>
    </xf>
    <xf numFmtId="0" fontId="20" fillId="6" borderId="16" xfId="6" applyFont="1" applyFill="1" applyBorder="1" applyAlignment="1">
      <alignment horizontal="center"/>
    </xf>
    <xf numFmtId="0" fontId="21" fillId="6" borderId="15" xfId="6" applyFont="1" applyFill="1" applyBorder="1" applyAlignment="1">
      <alignment horizontal="center"/>
    </xf>
    <xf numFmtId="0" fontId="21" fillId="6" borderId="0" xfId="6" applyFont="1" applyFill="1" applyBorder="1" applyAlignment="1">
      <alignment horizontal="center"/>
    </xf>
    <xf numFmtId="0" fontId="21" fillId="6" borderId="16" xfId="6" applyFont="1" applyFill="1" applyBorder="1" applyAlignment="1">
      <alignment horizontal="center"/>
    </xf>
  </cellXfs>
  <cellStyles count="13">
    <cellStyle name="Comma" xfId="1" builtinId="3"/>
    <cellStyle name="Comma 2" xfId="12"/>
    <cellStyle name="Comma 3 2" xfId="8"/>
    <cellStyle name="Currency" xfId="2" builtinId="4"/>
    <cellStyle name="Currency 2" xfId="10"/>
    <cellStyle name="Currency 3 2" xfId="7"/>
    <cellStyle name="Normal" xfId="0" builtinId="0"/>
    <cellStyle name="Normal 2" xfId="9"/>
    <cellStyle name="Normal 2 3" xfId="6"/>
    <cellStyle name="Normal_98REC_CR" xfId="3"/>
    <cellStyle name="Note" xfId="4" builtinId="10"/>
    <cellStyle name="Percent" xfId="5"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35</xdr:row>
      <xdr:rowOff>0</xdr:rowOff>
    </xdr:from>
    <xdr:to>
      <xdr:col>11</xdr:col>
      <xdr:colOff>9525</xdr:colOff>
      <xdr:row>35</xdr:row>
      <xdr:rowOff>9525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143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0</xdr:colOff>
      <xdr:row>35</xdr:row>
      <xdr:rowOff>0</xdr:rowOff>
    </xdr:from>
    <xdr:ext cx="9525" cy="9525"/>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5667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waldren\AppData\Local\Microsoft\Windows\Temporary%20Internet%20Files\Content.Outlook\4RO9G3TQ\181018%20Lynnwood%20Multi%20Family%20Commodity%20Credit%20Template%20-%20Dec%20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72-01\Share\District\Accounting\WUTC%20Files\RSA\2015-2017%20Plan%20Year\2014-2015%20Additional%20passback%20to%20customer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waldren\AppData\Local\Microsoft\Windows\Temporary%20Internet%20Files\Content.Outlook\4RO9G3TQ\181018%20Lynnwood%20Single%20Family%20Commodity%20Credit%20Template%20-%20Dec%2020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istrict\Accounting\WUTC%20Files\RSA\2015-2017%20Plan%20Year\2014-2015%20Additional%20passback%20to%20custom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Lynnwood_MF"/>
      <sheetName val="Value"/>
      <sheetName val="Pricing"/>
      <sheetName val="Commodity Tonnages"/>
      <sheetName val="Multi_Family"/>
    </sheetNames>
    <sheetDataSet>
      <sheetData sheetId="0">
        <row r="1">
          <cell r="A1" t="str">
            <v>Rabanco Ltd (dba Allied Waste of Lynnwood)</v>
          </cell>
        </row>
      </sheetData>
      <sheetData sheetId="1">
        <row r="6">
          <cell r="A6">
            <v>43221</v>
          </cell>
          <cell r="C6">
            <v>588.79968749999989</v>
          </cell>
          <cell r="D6">
            <v>-323.78268000000003</v>
          </cell>
          <cell r="E6">
            <v>0</v>
          </cell>
          <cell r="F6">
            <v>108.4281</v>
          </cell>
          <cell r="G6">
            <v>0</v>
          </cell>
          <cell r="H6">
            <v>-536.16708000000006</v>
          </cell>
          <cell r="I6">
            <v>163.52748375000002</v>
          </cell>
          <cell r="J6">
            <v>163.52748375000002</v>
          </cell>
          <cell r="K6">
            <v>562.25663999999995</v>
          </cell>
          <cell r="L6">
            <v>-578.63605750000136</v>
          </cell>
          <cell r="M6">
            <v>147.95357749999846</v>
          </cell>
          <cell r="O6">
            <v>73.97678874999923</v>
          </cell>
        </row>
        <row r="7">
          <cell r="A7">
            <v>43281</v>
          </cell>
          <cell r="C7">
            <v>551.09564250000005</v>
          </cell>
          <cell r="D7">
            <v>-222.04037960000002</v>
          </cell>
          <cell r="E7">
            <v>0</v>
          </cell>
          <cell r="F7">
            <v>100.81575075000001</v>
          </cell>
          <cell r="G7">
            <v>0</v>
          </cell>
          <cell r="H7">
            <v>67.855840000000015</v>
          </cell>
          <cell r="I7">
            <v>129.63918630000001</v>
          </cell>
          <cell r="J7">
            <v>129.63918630000001</v>
          </cell>
          <cell r="K7">
            <v>703.21667130000003</v>
          </cell>
          <cell r="L7">
            <v>-523.96492655000122</v>
          </cell>
          <cell r="M7">
            <v>936.25697099999877</v>
          </cell>
          <cell r="O7">
            <v>468.12848549999939</v>
          </cell>
        </row>
        <row r="8">
          <cell r="A8">
            <v>43312</v>
          </cell>
          <cell r="C8">
            <v>653.05783125000005</v>
          </cell>
          <cell r="D8">
            <v>-51.598638000000008</v>
          </cell>
          <cell r="E8">
            <v>0</v>
          </cell>
          <cell r="F8">
            <v>122.8285575</v>
          </cell>
          <cell r="G8">
            <v>0</v>
          </cell>
          <cell r="H8">
            <v>177.02079600000002</v>
          </cell>
          <cell r="I8">
            <v>200.46845362500002</v>
          </cell>
          <cell r="J8">
            <v>200.46845362500002</v>
          </cell>
          <cell r="K8">
            <v>996.14958299999989</v>
          </cell>
          <cell r="L8">
            <v>-652.46203725000146</v>
          </cell>
          <cell r="M8">
            <v>1645.9329997499983</v>
          </cell>
          <cell r="O8">
            <v>822.96649987499916</v>
          </cell>
        </row>
        <row r="9">
          <cell r="A9">
            <v>43343</v>
          </cell>
          <cell r="C9">
            <v>641.15500350000002</v>
          </cell>
          <cell r="D9">
            <v>10.500576320000002</v>
          </cell>
          <cell r="E9">
            <v>0</v>
          </cell>
          <cell r="F9">
            <v>81.907336500000014</v>
          </cell>
          <cell r="G9">
            <v>0</v>
          </cell>
          <cell r="H9">
            <v>349.24785856</v>
          </cell>
          <cell r="I9">
            <v>303.6095345</v>
          </cell>
          <cell r="J9">
            <v>303.6095345</v>
          </cell>
          <cell r="K9">
            <v>867.29341248000003</v>
          </cell>
          <cell r="L9">
            <v>-640.57006862000151</v>
          </cell>
          <cell r="M9">
            <v>1916.7531877399983</v>
          </cell>
          <cell r="O9">
            <v>958.37659386999917</v>
          </cell>
        </row>
        <row r="10">
          <cell r="A10">
            <v>43373</v>
          </cell>
          <cell r="C10">
            <v>563.14876049999998</v>
          </cell>
          <cell r="D10">
            <v>-206.48700072</v>
          </cell>
          <cell r="E10">
            <v>0</v>
          </cell>
          <cell r="F10">
            <v>91.742631750000015</v>
          </cell>
          <cell r="G10">
            <v>0</v>
          </cell>
          <cell r="H10">
            <v>1109.7902735999999</v>
          </cell>
          <cell r="I10">
            <v>141.27782530500002</v>
          </cell>
          <cell r="J10">
            <v>141.27782530500002</v>
          </cell>
          <cell r="K10">
            <v>908.31132809999997</v>
          </cell>
          <cell r="L10">
            <v>-637.13815821000139</v>
          </cell>
          <cell r="M10">
            <v>2111.923485629999</v>
          </cell>
          <cell r="O10">
            <v>1055.9617428149995</v>
          </cell>
        </row>
        <row r="11">
          <cell r="A11">
            <v>43404</v>
          </cell>
          <cell r="C11">
            <v>926.53998150000007</v>
          </cell>
          <cell r="D11">
            <v>-396.52382224000002</v>
          </cell>
          <cell r="E11">
            <v>0</v>
          </cell>
          <cell r="F11">
            <v>173.55256380000003</v>
          </cell>
          <cell r="G11">
            <v>0</v>
          </cell>
          <cell r="H11">
            <v>1791.7951094399998</v>
          </cell>
          <cell r="I11">
            <v>227.31703498000002</v>
          </cell>
          <cell r="J11">
            <v>227.31703498000002</v>
          </cell>
          <cell r="K11">
            <v>1718.5300070400001</v>
          </cell>
          <cell r="L11">
            <v>-1073.7888989800024</v>
          </cell>
          <cell r="M11">
            <v>3594.7390105199975</v>
          </cell>
          <cell r="O11">
            <v>1797.3695052599987</v>
          </cell>
        </row>
        <row r="12">
          <cell r="A12">
            <v>43434</v>
          </cell>
          <cell r="C12">
            <v>0</v>
          </cell>
          <cell r="D12">
            <v>0</v>
          </cell>
          <cell r="E12">
            <v>0</v>
          </cell>
          <cell r="F12">
            <v>0</v>
          </cell>
          <cell r="G12">
            <v>0</v>
          </cell>
          <cell r="H12">
            <v>0</v>
          </cell>
          <cell r="I12">
            <v>0</v>
          </cell>
          <cell r="J12">
            <v>0</v>
          </cell>
          <cell r="K12">
            <v>0</v>
          </cell>
          <cell r="L12">
            <v>0</v>
          </cell>
          <cell r="M12">
            <v>0</v>
          </cell>
          <cell r="O12">
            <v>0</v>
          </cell>
        </row>
        <row r="13">
          <cell r="A13">
            <v>43465</v>
          </cell>
          <cell r="C13">
            <v>0</v>
          </cell>
          <cell r="D13">
            <v>0</v>
          </cell>
          <cell r="E13">
            <v>0</v>
          </cell>
          <cell r="F13">
            <v>0</v>
          </cell>
          <cell r="G13">
            <v>0</v>
          </cell>
          <cell r="H13">
            <v>0</v>
          </cell>
          <cell r="I13">
            <v>0</v>
          </cell>
          <cell r="J13">
            <v>0</v>
          </cell>
          <cell r="K13">
            <v>0</v>
          </cell>
          <cell r="L13">
            <v>0</v>
          </cell>
          <cell r="M13">
            <v>0</v>
          </cell>
          <cell r="O13">
            <v>0</v>
          </cell>
        </row>
        <row r="14">
          <cell r="A14">
            <v>43496</v>
          </cell>
          <cell r="C14">
            <v>0</v>
          </cell>
          <cell r="D14">
            <v>0</v>
          </cell>
          <cell r="E14">
            <v>0</v>
          </cell>
          <cell r="F14">
            <v>0</v>
          </cell>
          <cell r="G14">
            <v>0</v>
          </cell>
          <cell r="H14">
            <v>0</v>
          </cell>
          <cell r="I14">
            <v>0</v>
          </cell>
          <cell r="J14">
            <v>0</v>
          </cell>
          <cell r="K14">
            <v>0</v>
          </cell>
          <cell r="L14">
            <v>0</v>
          </cell>
          <cell r="M14">
            <v>0</v>
          </cell>
          <cell r="O14">
            <v>0</v>
          </cell>
        </row>
        <row r="15">
          <cell r="A15">
            <v>43524</v>
          </cell>
          <cell r="C15">
            <v>0</v>
          </cell>
          <cell r="D15">
            <v>0</v>
          </cell>
          <cell r="E15">
            <v>0</v>
          </cell>
          <cell r="F15">
            <v>0</v>
          </cell>
          <cell r="G15">
            <v>0</v>
          </cell>
          <cell r="H15">
            <v>0</v>
          </cell>
          <cell r="I15">
            <v>0</v>
          </cell>
          <cell r="J15">
            <v>0</v>
          </cell>
          <cell r="K15">
            <v>0</v>
          </cell>
          <cell r="L15">
            <v>0</v>
          </cell>
          <cell r="M15">
            <v>0</v>
          </cell>
          <cell r="O15">
            <v>0</v>
          </cell>
        </row>
        <row r="16">
          <cell r="A16">
            <v>43555</v>
          </cell>
          <cell r="C16">
            <v>0</v>
          </cell>
          <cell r="D16">
            <v>0</v>
          </cell>
          <cell r="E16">
            <v>0</v>
          </cell>
          <cell r="F16">
            <v>0</v>
          </cell>
          <cell r="G16">
            <v>0</v>
          </cell>
          <cell r="H16">
            <v>0</v>
          </cell>
          <cell r="I16">
            <v>0</v>
          </cell>
          <cell r="J16">
            <v>0</v>
          </cell>
          <cell r="K16">
            <v>0</v>
          </cell>
          <cell r="L16">
            <v>0</v>
          </cell>
          <cell r="M16">
            <v>0</v>
          </cell>
          <cell r="O16">
            <v>0</v>
          </cell>
        </row>
        <row r="17">
          <cell r="A17">
            <v>43585</v>
          </cell>
          <cell r="C17">
            <v>0</v>
          </cell>
          <cell r="D17">
            <v>0</v>
          </cell>
          <cell r="E17">
            <v>0</v>
          </cell>
          <cell r="F17">
            <v>0</v>
          </cell>
          <cell r="G17">
            <v>0</v>
          </cell>
          <cell r="H17">
            <v>0</v>
          </cell>
          <cell r="I17">
            <v>0</v>
          </cell>
          <cell r="J17">
            <v>0</v>
          </cell>
          <cell r="K17">
            <v>0</v>
          </cell>
          <cell r="L17">
            <v>0</v>
          </cell>
          <cell r="M17">
            <v>0</v>
          </cell>
          <cell r="O17">
            <v>0</v>
          </cell>
        </row>
        <row r="18">
          <cell r="P18">
            <v>0.5</v>
          </cell>
        </row>
      </sheetData>
      <sheetData sheetId="2">
        <row r="4">
          <cell r="A4">
            <v>43221</v>
          </cell>
          <cell r="C4">
            <v>1082.8499999999999</v>
          </cell>
          <cell r="D4">
            <v>-25.26</v>
          </cell>
          <cell r="E4">
            <v>0</v>
          </cell>
          <cell r="F4">
            <v>90.64</v>
          </cell>
          <cell r="G4">
            <v>0</v>
          </cell>
          <cell r="H4">
            <v>-14.309999999999999</v>
          </cell>
          <cell r="I4">
            <v>100.47</v>
          </cell>
          <cell r="J4">
            <v>100.47</v>
          </cell>
          <cell r="K4">
            <v>43.519999999999996</v>
          </cell>
          <cell r="L4">
            <v>-134.59</v>
          </cell>
        </row>
        <row r="5">
          <cell r="A5">
            <v>43281</v>
          </cell>
          <cell r="C5">
            <v>1119.26</v>
          </cell>
          <cell r="D5">
            <v>-19.13</v>
          </cell>
          <cell r="E5">
            <v>0</v>
          </cell>
          <cell r="F5">
            <v>93.07</v>
          </cell>
          <cell r="G5">
            <v>0</v>
          </cell>
          <cell r="H5">
            <v>2</v>
          </cell>
          <cell r="I5">
            <v>87.96</v>
          </cell>
          <cell r="J5">
            <v>87.96</v>
          </cell>
          <cell r="K5">
            <v>60.11</v>
          </cell>
          <cell r="L5">
            <v>-134.59</v>
          </cell>
        </row>
        <row r="6">
          <cell r="A6">
            <v>43312</v>
          </cell>
          <cell r="C6">
            <v>1065.1300000000001</v>
          </cell>
          <cell r="D6">
            <v>-3.5700000000000003</v>
          </cell>
          <cell r="E6">
            <v>0</v>
          </cell>
          <cell r="F6">
            <v>91.06</v>
          </cell>
          <cell r="G6">
            <v>0</v>
          </cell>
          <cell r="H6">
            <v>4.1900000000000004</v>
          </cell>
          <cell r="I6">
            <v>109.23</v>
          </cell>
          <cell r="J6">
            <v>109.23</v>
          </cell>
          <cell r="K6">
            <v>68.38</v>
          </cell>
          <cell r="L6">
            <v>-134.59</v>
          </cell>
        </row>
        <row r="7">
          <cell r="A7">
            <v>43343</v>
          </cell>
          <cell r="C7">
            <v>1065.1300000000001</v>
          </cell>
          <cell r="D7">
            <v>0.74</v>
          </cell>
          <cell r="E7">
            <v>0</v>
          </cell>
          <cell r="F7">
            <v>61.85</v>
          </cell>
          <cell r="G7">
            <v>0</v>
          </cell>
          <cell r="H7">
            <v>8.42</v>
          </cell>
          <cell r="I7">
            <v>168.5</v>
          </cell>
          <cell r="J7">
            <v>168.5</v>
          </cell>
          <cell r="K7">
            <v>60.64</v>
          </cell>
          <cell r="L7">
            <v>-134.59</v>
          </cell>
        </row>
        <row r="8">
          <cell r="A8">
            <v>43373</v>
          </cell>
          <cell r="C8">
            <v>940.58</v>
          </cell>
          <cell r="D8">
            <v>-14.63</v>
          </cell>
          <cell r="E8">
            <v>0</v>
          </cell>
          <cell r="F8">
            <v>69.650000000000006</v>
          </cell>
          <cell r="G8">
            <v>0</v>
          </cell>
          <cell r="H8">
            <v>26.9</v>
          </cell>
          <cell r="I8">
            <v>78.83</v>
          </cell>
          <cell r="J8">
            <v>78.83</v>
          </cell>
          <cell r="K8">
            <v>63.85</v>
          </cell>
          <cell r="L8">
            <v>-134.59</v>
          </cell>
        </row>
        <row r="9">
          <cell r="A9">
            <v>43404</v>
          </cell>
          <cell r="C9">
            <v>918.23</v>
          </cell>
          <cell r="D9">
            <v>-16.670000000000002</v>
          </cell>
          <cell r="E9">
            <v>0</v>
          </cell>
          <cell r="F9">
            <v>78.180000000000007</v>
          </cell>
          <cell r="G9">
            <v>0</v>
          </cell>
          <cell r="H9">
            <v>25.77</v>
          </cell>
          <cell r="I9">
            <v>75.260000000000005</v>
          </cell>
          <cell r="J9">
            <v>75.260000000000005</v>
          </cell>
          <cell r="K9">
            <v>71.680000000000007</v>
          </cell>
          <cell r="L9">
            <v>-134.59</v>
          </cell>
        </row>
        <row r="10">
          <cell r="A10">
            <v>43434</v>
          </cell>
          <cell r="C10">
            <v>0</v>
          </cell>
          <cell r="D10">
            <v>0</v>
          </cell>
          <cell r="E10">
            <v>0</v>
          </cell>
          <cell r="F10">
            <v>0</v>
          </cell>
          <cell r="G10">
            <v>0</v>
          </cell>
          <cell r="H10">
            <v>0</v>
          </cell>
          <cell r="I10">
            <v>0</v>
          </cell>
          <cell r="J10">
            <v>0</v>
          </cell>
          <cell r="K10">
            <v>0</v>
          </cell>
          <cell r="L10">
            <v>0</v>
          </cell>
        </row>
        <row r="11">
          <cell r="A11">
            <v>43465</v>
          </cell>
          <cell r="C11">
            <v>0</v>
          </cell>
          <cell r="D11">
            <v>0</v>
          </cell>
          <cell r="E11">
            <v>0</v>
          </cell>
          <cell r="F11">
            <v>0</v>
          </cell>
          <cell r="G11">
            <v>0</v>
          </cell>
          <cell r="H11">
            <v>0</v>
          </cell>
          <cell r="I11">
            <v>0</v>
          </cell>
          <cell r="J11">
            <v>0</v>
          </cell>
          <cell r="K11">
            <v>0</v>
          </cell>
          <cell r="L11">
            <v>0</v>
          </cell>
        </row>
        <row r="12">
          <cell r="A12">
            <v>43496</v>
          </cell>
          <cell r="C12">
            <v>0</v>
          </cell>
          <cell r="D12">
            <v>0</v>
          </cell>
          <cell r="E12">
            <v>0</v>
          </cell>
          <cell r="F12">
            <v>0</v>
          </cell>
          <cell r="G12">
            <v>0</v>
          </cell>
          <cell r="H12">
            <v>0</v>
          </cell>
          <cell r="I12">
            <v>0</v>
          </cell>
          <cell r="J12">
            <v>0</v>
          </cell>
          <cell r="K12">
            <v>0</v>
          </cell>
          <cell r="L12">
            <v>0</v>
          </cell>
        </row>
        <row r="13">
          <cell r="A13">
            <v>43524</v>
          </cell>
          <cell r="C13">
            <v>0</v>
          </cell>
          <cell r="D13">
            <v>0</v>
          </cell>
          <cell r="E13">
            <v>0</v>
          </cell>
          <cell r="F13">
            <v>0</v>
          </cell>
          <cell r="G13">
            <v>0</v>
          </cell>
          <cell r="H13">
            <v>0</v>
          </cell>
          <cell r="I13">
            <v>0</v>
          </cell>
          <cell r="J13">
            <v>0</v>
          </cell>
          <cell r="K13">
            <v>0</v>
          </cell>
          <cell r="L13">
            <v>0</v>
          </cell>
        </row>
        <row r="14">
          <cell r="A14">
            <v>43555</v>
          </cell>
          <cell r="C14">
            <v>0</v>
          </cell>
          <cell r="D14">
            <v>0</v>
          </cell>
          <cell r="E14">
            <v>0</v>
          </cell>
          <cell r="F14">
            <v>0</v>
          </cell>
          <cell r="G14">
            <v>0</v>
          </cell>
          <cell r="H14">
            <v>0</v>
          </cell>
          <cell r="I14">
            <v>0</v>
          </cell>
          <cell r="J14">
            <v>0</v>
          </cell>
          <cell r="K14">
            <v>0</v>
          </cell>
          <cell r="L14">
            <v>0</v>
          </cell>
        </row>
        <row r="15">
          <cell r="A15">
            <v>43585</v>
          </cell>
          <cell r="C15">
            <v>0</v>
          </cell>
          <cell r="D15">
            <v>0</v>
          </cell>
          <cell r="E15">
            <v>0</v>
          </cell>
          <cell r="F15">
            <v>0</v>
          </cell>
          <cell r="H15">
            <v>0</v>
          </cell>
          <cell r="I15">
            <v>0</v>
          </cell>
          <cell r="J15">
            <v>0</v>
          </cell>
          <cell r="K15">
            <v>0</v>
          </cell>
          <cell r="L15">
            <v>0</v>
          </cell>
        </row>
      </sheetData>
      <sheetData sheetId="3">
        <row r="6">
          <cell r="C6">
            <v>0.54374999999999996</v>
          </cell>
          <cell r="D6">
            <v>12.818000000000001</v>
          </cell>
          <cell r="E6">
            <v>0</v>
          </cell>
          <cell r="F6">
            <v>1.19625</v>
          </cell>
          <cell r="G6">
            <v>0</v>
          </cell>
          <cell r="H6">
            <v>37.468000000000004</v>
          </cell>
          <cell r="I6">
            <v>1.6276250000000001</v>
          </cell>
          <cell r="J6">
            <v>1.6276250000000001</v>
          </cell>
          <cell r="K6">
            <v>12.919499999999999</v>
          </cell>
          <cell r="L6">
            <v>4.2992500000000096</v>
          </cell>
        </row>
        <row r="7">
          <cell r="C7">
            <v>0.49237500000000001</v>
          </cell>
          <cell r="D7">
            <v>11.606920000000002</v>
          </cell>
          <cell r="E7">
            <v>0</v>
          </cell>
          <cell r="F7">
            <v>1.0832250000000001</v>
          </cell>
          <cell r="G7">
            <v>0</v>
          </cell>
          <cell r="H7">
            <v>33.927920000000007</v>
          </cell>
          <cell r="I7">
            <v>1.4738425000000002</v>
          </cell>
          <cell r="J7">
            <v>1.4738425000000002</v>
          </cell>
          <cell r="K7">
            <v>11.698830000000001</v>
          </cell>
          <cell r="L7">
            <v>3.8930450000000087</v>
          </cell>
        </row>
        <row r="8">
          <cell r="C8">
            <v>0.61312500000000003</v>
          </cell>
          <cell r="D8">
            <v>14.4534</v>
          </cell>
          <cell r="E8">
            <v>0</v>
          </cell>
          <cell r="F8">
            <v>1.348875</v>
          </cell>
          <cell r="G8">
            <v>0</v>
          </cell>
          <cell r="H8">
            <v>42.248400000000004</v>
          </cell>
          <cell r="I8">
            <v>1.8352875000000002</v>
          </cell>
          <cell r="J8">
            <v>1.8352875000000002</v>
          </cell>
          <cell r="K8">
            <v>14.56785</v>
          </cell>
          <cell r="L8">
            <v>4.847775000000011</v>
          </cell>
        </row>
        <row r="9">
          <cell r="C9">
            <v>0.60194999999999999</v>
          </cell>
          <cell r="D9">
            <v>14.189968000000002</v>
          </cell>
          <cell r="E9">
            <v>0</v>
          </cell>
          <cell r="F9">
            <v>1.3242900000000002</v>
          </cell>
          <cell r="G9">
            <v>0</v>
          </cell>
          <cell r="H9">
            <v>41.478368000000003</v>
          </cell>
          <cell r="I9">
            <v>1.8018370000000001</v>
          </cell>
          <cell r="J9">
            <v>1.8018370000000001</v>
          </cell>
          <cell r="K9">
            <v>14.302332</v>
          </cell>
          <cell r="L9">
            <v>4.7594180000000108</v>
          </cell>
        </row>
        <row r="10">
          <cell r="C10">
            <v>0.59872499999999995</v>
          </cell>
          <cell r="D10">
            <v>14.113944</v>
          </cell>
          <cell r="E10">
            <v>0</v>
          </cell>
          <cell r="F10">
            <v>1.3171950000000001</v>
          </cell>
          <cell r="G10">
            <v>0</v>
          </cell>
          <cell r="H10">
            <v>41.256143999999999</v>
          </cell>
          <cell r="I10">
            <v>1.7921835000000002</v>
          </cell>
          <cell r="J10">
            <v>1.7921835000000002</v>
          </cell>
          <cell r="K10">
            <v>14.225705999999999</v>
          </cell>
          <cell r="L10">
            <v>4.73391900000001</v>
          </cell>
        </row>
        <row r="11">
          <cell r="C11">
            <v>1.00905</v>
          </cell>
          <cell r="D11">
            <v>23.786671999999999</v>
          </cell>
          <cell r="E11">
            <v>0</v>
          </cell>
          <cell r="F11">
            <v>2.21991</v>
          </cell>
          <cell r="G11">
            <v>0</v>
          </cell>
          <cell r="H11">
            <v>69.530271999999997</v>
          </cell>
          <cell r="I11">
            <v>3.0204230000000001</v>
          </cell>
          <cell r="J11">
            <v>3.0204230000000001</v>
          </cell>
          <cell r="K11">
            <v>23.975027999999998</v>
          </cell>
          <cell r="L11">
            <v>7.9782220000000175</v>
          </cell>
        </row>
        <row r="12">
          <cell r="C12">
            <v>0</v>
          </cell>
          <cell r="D12">
            <v>0</v>
          </cell>
          <cell r="E12">
            <v>0</v>
          </cell>
          <cell r="F12">
            <v>0</v>
          </cell>
          <cell r="G12">
            <v>0</v>
          </cell>
          <cell r="H12">
            <v>0</v>
          </cell>
          <cell r="I12">
            <v>0</v>
          </cell>
          <cell r="J12">
            <v>0</v>
          </cell>
          <cell r="K12">
            <v>0</v>
          </cell>
          <cell r="L12">
            <v>0</v>
          </cell>
        </row>
        <row r="13">
          <cell r="C13">
            <v>0</v>
          </cell>
          <cell r="D13">
            <v>0</v>
          </cell>
          <cell r="E13">
            <v>0</v>
          </cell>
          <cell r="F13">
            <v>0</v>
          </cell>
          <cell r="G13">
            <v>0</v>
          </cell>
          <cell r="H13">
            <v>0</v>
          </cell>
          <cell r="I13">
            <v>0</v>
          </cell>
          <cell r="J13">
            <v>0</v>
          </cell>
          <cell r="K13">
            <v>0</v>
          </cell>
          <cell r="L13">
            <v>0</v>
          </cell>
        </row>
        <row r="14">
          <cell r="C14">
            <v>0</v>
          </cell>
          <cell r="D14">
            <v>0</v>
          </cell>
          <cell r="E14">
            <v>0</v>
          </cell>
          <cell r="F14">
            <v>0</v>
          </cell>
          <cell r="G14">
            <v>0</v>
          </cell>
          <cell r="H14">
            <v>0</v>
          </cell>
          <cell r="I14">
            <v>0</v>
          </cell>
          <cell r="J14">
            <v>0</v>
          </cell>
          <cell r="K14">
            <v>0</v>
          </cell>
          <cell r="L14">
            <v>0</v>
          </cell>
        </row>
        <row r="15">
          <cell r="C15">
            <v>0</v>
          </cell>
          <cell r="D15">
            <v>0</v>
          </cell>
          <cell r="E15">
            <v>0</v>
          </cell>
          <cell r="F15">
            <v>0</v>
          </cell>
          <cell r="G15">
            <v>0</v>
          </cell>
          <cell r="H15">
            <v>0</v>
          </cell>
          <cell r="I15">
            <v>0</v>
          </cell>
          <cell r="J15">
            <v>0</v>
          </cell>
          <cell r="K15">
            <v>0</v>
          </cell>
          <cell r="L15">
            <v>0</v>
          </cell>
        </row>
        <row r="16">
          <cell r="C16">
            <v>0</v>
          </cell>
          <cell r="D16">
            <v>0</v>
          </cell>
          <cell r="E16">
            <v>0</v>
          </cell>
          <cell r="F16">
            <v>0</v>
          </cell>
          <cell r="G16">
            <v>0</v>
          </cell>
          <cell r="H16">
            <v>0</v>
          </cell>
          <cell r="I16">
            <v>0</v>
          </cell>
          <cell r="J16">
            <v>0</v>
          </cell>
          <cell r="K16">
            <v>0</v>
          </cell>
          <cell r="L16">
            <v>0</v>
          </cell>
        </row>
        <row r="17">
          <cell r="C17">
            <v>0</v>
          </cell>
          <cell r="D17">
            <v>0</v>
          </cell>
          <cell r="E17">
            <v>0</v>
          </cell>
          <cell r="F17">
            <v>0</v>
          </cell>
          <cell r="H17">
            <v>0</v>
          </cell>
          <cell r="I17">
            <v>0</v>
          </cell>
          <cell r="J17">
            <v>0</v>
          </cell>
          <cell r="K17">
            <v>0</v>
          </cell>
          <cell r="L17">
            <v>0</v>
          </cell>
        </row>
      </sheetData>
      <sheetData sheetId="4">
        <row r="6">
          <cell r="C6">
            <v>43221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2015"/>
      <sheetName val="2013-2014"/>
      <sheetName val="Sheet3"/>
    </sheetNames>
    <sheetDataSet>
      <sheetData sheetId="0">
        <row r="14">
          <cell r="C14">
            <v>0</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LYNNWOOD_SF"/>
      <sheetName val="WUTC_AW of Lynnwood_SF"/>
      <sheetName val="Value"/>
      <sheetName val="Commodity Tonnages"/>
      <sheetName val="Pricing"/>
      <sheetName val="Single Family"/>
    </sheetNames>
    <sheetDataSet>
      <sheetData sheetId="0" refreshError="1"/>
      <sheetData sheetId="1">
        <row r="1">
          <cell r="A1" t="str">
            <v>Rabanco Ltd (dba Allied Waste of Lynnwood)</v>
          </cell>
        </row>
      </sheetData>
      <sheetData sheetId="2">
        <row r="6">
          <cell r="A6">
            <v>43221</v>
          </cell>
          <cell r="C6">
            <v>4455.1426837499994</v>
          </cell>
          <cell r="D6">
            <v>-2449.8960657600005</v>
          </cell>
          <cell r="E6">
            <v>0</v>
          </cell>
          <cell r="F6">
            <v>820.41934920000006</v>
          </cell>
          <cell r="G6">
            <v>0</v>
          </cell>
          <cell r="H6">
            <v>-4056.8989665600002</v>
          </cell>
          <cell r="I6">
            <v>1237.3278863550001</v>
          </cell>
          <cell r="J6">
            <v>1237.3278863550001</v>
          </cell>
          <cell r="K6">
            <v>4254.3051724799998</v>
          </cell>
          <cell r="L6">
            <v>-4378.2397525900105</v>
          </cell>
          <cell r="M6">
            <v>1119.4881932299886</v>
          </cell>
          <cell r="O6">
            <v>559.74409661499431</v>
          </cell>
        </row>
        <row r="7">
          <cell r="A7">
            <v>43281</v>
          </cell>
          <cell r="C7">
            <v>4214.8533450000004</v>
          </cell>
          <cell r="D7">
            <v>-1698.1945863999999</v>
          </cell>
          <cell r="E7">
            <v>0</v>
          </cell>
          <cell r="F7">
            <v>771.05237550000004</v>
          </cell>
          <cell r="G7">
            <v>0</v>
          </cell>
          <cell r="H7">
            <v>518.97056000000009</v>
          </cell>
          <cell r="I7">
            <v>991.49787420000007</v>
          </cell>
          <cell r="J7">
            <v>991.49787420000007</v>
          </cell>
          <cell r="K7">
            <v>5378.2953642000002</v>
          </cell>
          <cell r="L7">
            <v>-4007.3539927000088</v>
          </cell>
          <cell r="M7">
            <v>7160.6188139999922</v>
          </cell>
          <cell r="O7">
            <v>3580.3094069999961</v>
          </cell>
        </row>
        <row r="8">
          <cell r="A8">
            <v>43312</v>
          </cell>
          <cell r="C8">
            <v>4198.5028057500003</v>
          </cell>
          <cell r="D8">
            <v>-331.72717032000008</v>
          </cell>
          <cell r="E8">
            <v>0</v>
          </cell>
          <cell r="F8">
            <v>789.66366930000004</v>
          </cell>
          <cell r="G8">
            <v>0</v>
          </cell>
          <cell r="H8">
            <v>1138.0650734400003</v>
          </cell>
          <cell r="I8">
            <v>1288.8098491950002</v>
          </cell>
          <cell r="J8">
            <v>1288.8098491950002</v>
          </cell>
          <cell r="K8">
            <v>6404.2365301199998</v>
          </cell>
          <cell r="L8">
            <v>-4194.6724515900096</v>
          </cell>
          <cell r="M8">
            <v>10581.688155089993</v>
          </cell>
          <cell r="O8">
            <v>5290.8440775449963</v>
          </cell>
        </row>
        <row r="9">
          <cell r="A9">
            <v>43343</v>
          </cell>
          <cell r="C9">
            <v>3504.6238672499999</v>
          </cell>
          <cell r="D9">
            <v>57.397306720000003</v>
          </cell>
          <cell r="E9">
            <v>0</v>
          </cell>
          <cell r="F9">
            <v>447.71452275000001</v>
          </cell>
          <cell r="G9">
            <v>0</v>
          </cell>
          <cell r="H9">
            <v>1909.0272617600001</v>
          </cell>
          <cell r="I9">
            <v>1659.5631557500001</v>
          </cell>
          <cell r="J9">
            <v>1659.5631557500001</v>
          </cell>
          <cell r="K9">
            <v>4740.7213180799999</v>
          </cell>
          <cell r="L9">
            <v>-3501.4265487700077</v>
          </cell>
          <cell r="M9">
            <v>10477.184039289994</v>
          </cell>
          <cell r="O9">
            <v>5238.592019644997</v>
          </cell>
        </row>
        <row r="10">
          <cell r="A10">
            <v>43373</v>
          </cell>
          <cell r="C10">
            <v>3228.4938210000005</v>
          </cell>
          <cell r="D10">
            <v>-1183.7760334400002</v>
          </cell>
          <cell r="E10">
            <v>0</v>
          </cell>
          <cell r="F10">
            <v>525.95431350000013</v>
          </cell>
          <cell r="G10">
            <v>0</v>
          </cell>
          <cell r="H10">
            <v>6362.3527072000006</v>
          </cell>
          <cell r="I10">
            <v>809.93623361000004</v>
          </cell>
          <cell r="J10">
            <v>809.93623361000004</v>
          </cell>
          <cell r="K10">
            <v>5207.2875162</v>
          </cell>
          <cell r="L10">
            <v>-3652.6700424200085</v>
          </cell>
          <cell r="M10">
            <v>12107.514749259994</v>
          </cell>
          <cell r="O10">
            <v>6053.7573746299968</v>
          </cell>
        </row>
        <row r="11">
          <cell r="A11">
            <v>43404</v>
          </cell>
          <cell r="C11">
            <v>3875.3667592500005</v>
          </cell>
          <cell r="D11">
            <v>-1658.5093688800002</v>
          </cell>
          <cell r="E11">
            <v>0</v>
          </cell>
          <cell r="F11">
            <v>725.90481810000006</v>
          </cell>
          <cell r="G11">
            <v>0</v>
          </cell>
          <cell r="H11">
            <v>7494.4021252800003</v>
          </cell>
          <cell r="I11">
            <v>950.78129251000007</v>
          </cell>
          <cell r="J11">
            <v>950.78129251000007</v>
          </cell>
          <cell r="K11">
            <v>7187.9618764800007</v>
          </cell>
          <cell r="L11">
            <v>-4491.2533605100098</v>
          </cell>
          <cell r="M11">
            <v>15035.435434739993</v>
          </cell>
          <cell r="O11">
            <v>7517.7177173699965</v>
          </cell>
        </row>
        <row r="12">
          <cell r="A12">
            <v>43434</v>
          </cell>
          <cell r="C12">
            <v>0</v>
          </cell>
          <cell r="D12">
            <v>0</v>
          </cell>
          <cell r="E12">
            <v>0</v>
          </cell>
          <cell r="F12">
            <v>0</v>
          </cell>
          <cell r="G12">
            <v>0</v>
          </cell>
          <cell r="H12">
            <v>0</v>
          </cell>
          <cell r="I12">
            <v>0</v>
          </cell>
          <cell r="J12">
            <v>0</v>
          </cell>
          <cell r="K12">
            <v>0</v>
          </cell>
          <cell r="L12">
            <v>0</v>
          </cell>
          <cell r="M12">
            <v>0</v>
          </cell>
          <cell r="O12">
            <v>0</v>
          </cell>
        </row>
        <row r="13">
          <cell r="A13">
            <v>43465</v>
          </cell>
          <cell r="C13">
            <v>0</v>
          </cell>
          <cell r="D13">
            <v>0</v>
          </cell>
          <cell r="E13">
            <v>0</v>
          </cell>
          <cell r="F13">
            <v>0</v>
          </cell>
          <cell r="G13">
            <v>0</v>
          </cell>
          <cell r="H13">
            <v>0</v>
          </cell>
          <cell r="I13">
            <v>0</v>
          </cell>
          <cell r="J13">
            <v>0</v>
          </cell>
          <cell r="K13">
            <v>0</v>
          </cell>
          <cell r="L13">
            <v>0</v>
          </cell>
          <cell r="M13">
            <v>0</v>
          </cell>
          <cell r="O13">
            <v>0</v>
          </cell>
        </row>
        <row r="14">
          <cell r="A14">
            <v>43496</v>
          </cell>
          <cell r="C14">
            <v>0</v>
          </cell>
          <cell r="D14">
            <v>0</v>
          </cell>
          <cell r="E14">
            <v>0</v>
          </cell>
          <cell r="F14">
            <v>0</v>
          </cell>
          <cell r="G14">
            <v>0</v>
          </cell>
          <cell r="H14">
            <v>0</v>
          </cell>
          <cell r="I14">
            <v>0</v>
          </cell>
          <cell r="J14">
            <v>0</v>
          </cell>
          <cell r="K14">
            <v>0</v>
          </cell>
          <cell r="L14">
            <v>0</v>
          </cell>
          <cell r="M14">
            <v>0</v>
          </cell>
          <cell r="O14">
            <v>0</v>
          </cell>
        </row>
        <row r="15">
          <cell r="A15">
            <v>43524</v>
          </cell>
          <cell r="C15">
            <v>0</v>
          </cell>
          <cell r="D15">
            <v>0</v>
          </cell>
          <cell r="E15">
            <v>0</v>
          </cell>
          <cell r="F15">
            <v>0</v>
          </cell>
          <cell r="G15">
            <v>0</v>
          </cell>
          <cell r="H15">
            <v>0</v>
          </cell>
          <cell r="I15">
            <v>0</v>
          </cell>
          <cell r="J15">
            <v>0</v>
          </cell>
          <cell r="K15">
            <v>0</v>
          </cell>
          <cell r="L15">
            <v>0</v>
          </cell>
          <cell r="M15">
            <v>0</v>
          </cell>
          <cell r="O15">
            <v>0</v>
          </cell>
        </row>
        <row r="16">
          <cell r="A16">
            <v>43555</v>
          </cell>
          <cell r="C16">
            <v>0</v>
          </cell>
          <cell r="D16">
            <v>0</v>
          </cell>
          <cell r="E16">
            <v>0</v>
          </cell>
          <cell r="F16">
            <v>0</v>
          </cell>
          <cell r="G16">
            <v>0</v>
          </cell>
          <cell r="H16">
            <v>0</v>
          </cell>
          <cell r="I16">
            <v>0</v>
          </cell>
          <cell r="J16">
            <v>0</v>
          </cell>
          <cell r="K16">
            <v>0</v>
          </cell>
          <cell r="L16">
            <v>0</v>
          </cell>
          <cell r="M16">
            <v>0</v>
          </cell>
          <cell r="O16">
            <v>0</v>
          </cell>
        </row>
        <row r="17">
          <cell r="A17">
            <v>43585</v>
          </cell>
          <cell r="C17">
            <v>0</v>
          </cell>
          <cell r="D17">
            <v>0</v>
          </cell>
          <cell r="E17">
            <v>0</v>
          </cell>
          <cell r="F17">
            <v>0</v>
          </cell>
          <cell r="G17">
            <v>0</v>
          </cell>
          <cell r="H17">
            <v>0</v>
          </cell>
          <cell r="I17">
            <v>0</v>
          </cell>
          <cell r="J17">
            <v>0</v>
          </cell>
          <cell r="K17">
            <v>0</v>
          </cell>
          <cell r="L17">
            <v>0</v>
          </cell>
          <cell r="M17">
            <v>0</v>
          </cell>
          <cell r="O17">
            <v>0</v>
          </cell>
        </row>
        <row r="18">
          <cell r="P18">
            <v>0.5</v>
          </cell>
        </row>
      </sheetData>
      <sheetData sheetId="3">
        <row r="6">
          <cell r="C6">
            <v>4.1142750000000001</v>
          </cell>
          <cell r="D6">
            <v>96.987176000000019</v>
          </cell>
          <cell r="E6">
            <v>0</v>
          </cell>
          <cell r="F6">
            <v>9.0514050000000008</v>
          </cell>
          <cell r="G6">
            <v>0</v>
          </cell>
          <cell r="H6">
            <v>283.50097600000004</v>
          </cell>
          <cell r="I6">
            <v>12.315396500000002</v>
          </cell>
          <cell r="J6">
            <v>12.315396500000002</v>
          </cell>
          <cell r="K6">
            <v>97.755174000000011</v>
          </cell>
          <cell r="L6">
            <v>32.530201000000076</v>
          </cell>
        </row>
        <row r="7">
          <cell r="C7">
            <v>3.7657500000000002</v>
          </cell>
          <cell r="D7">
            <v>88.771280000000004</v>
          </cell>
          <cell r="E7">
            <v>0</v>
          </cell>
          <cell r="F7">
            <v>8.284650000000001</v>
          </cell>
          <cell r="G7">
            <v>0</v>
          </cell>
          <cell r="H7">
            <v>259.48528000000005</v>
          </cell>
          <cell r="I7">
            <v>11.272145000000002</v>
          </cell>
          <cell r="J7">
            <v>11.272145000000002</v>
          </cell>
          <cell r="K7">
            <v>89.474220000000003</v>
          </cell>
          <cell r="L7">
            <v>29.774530000000066</v>
          </cell>
        </row>
        <row r="8">
          <cell r="C8">
            <v>3.9417750000000003</v>
          </cell>
          <cell r="D8">
            <v>92.920776000000018</v>
          </cell>
          <cell r="E8">
            <v>0</v>
          </cell>
          <cell r="F8">
            <v>8.6719050000000006</v>
          </cell>
          <cell r="G8">
            <v>0</v>
          </cell>
          <cell r="H8">
            <v>271.61457600000006</v>
          </cell>
          <cell r="I8">
            <v>11.799046500000001</v>
          </cell>
          <cell r="J8">
            <v>11.799046500000001</v>
          </cell>
          <cell r="K8">
            <v>93.656574000000006</v>
          </cell>
          <cell r="L8">
            <v>31.166301000000072</v>
          </cell>
        </row>
        <row r="9">
          <cell r="C9">
            <v>3.2903249999999997</v>
          </cell>
          <cell r="D9">
            <v>77.563928000000004</v>
          </cell>
          <cell r="E9">
            <v>0</v>
          </cell>
          <cell r="F9">
            <v>7.238715</v>
          </cell>
          <cell r="G9">
            <v>0</v>
          </cell>
          <cell r="H9">
            <v>226.72532800000002</v>
          </cell>
          <cell r="I9">
            <v>9.8490394999999999</v>
          </cell>
          <cell r="J9">
            <v>9.8490394999999999</v>
          </cell>
          <cell r="K9">
            <v>78.178122000000002</v>
          </cell>
          <cell r="L9">
            <v>26.015503000000056</v>
          </cell>
        </row>
        <row r="10">
          <cell r="C10">
            <v>3.4324500000000002</v>
          </cell>
          <cell r="D10">
            <v>80.914288000000013</v>
          </cell>
          <cell r="E10">
            <v>0</v>
          </cell>
          <cell r="F10">
            <v>7.5513900000000005</v>
          </cell>
          <cell r="G10">
            <v>0</v>
          </cell>
          <cell r="H10">
            <v>236.51868800000003</v>
          </cell>
          <cell r="I10">
            <v>10.274467000000001</v>
          </cell>
          <cell r="J10">
            <v>10.274467000000001</v>
          </cell>
          <cell r="K10">
            <v>81.555012000000005</v>
          </cell>
          <cell r="L10">
            <v>27.139238000000063</v>
          </cell>
        </row>
        <row r="11">
          <cell r="C11">
            <v>4.2204750000000004</v>
          </cell>
          <cell r="D11">
            <v>99.49066400000001</v>
          </cell>
          <cell r="E11">
            <v>0</v>
          </cell>
          <cell r="F11">
            <v>9.2850450000000002</v>
          </cell>
          <cell r="G11">
            <v>0</v>
          </cell>
          <cell r="H11">
            <v>290.81886400000002</v>
          </cell>
          <cell r="I11">
            <v>12.633288500000001</v>
          </cell>
          <cell r="J11">
            <v>12.633288500000001</v>
          </cell>
          <cell r="K11">
            <v>100.278486</v>
          </cell>
          <cell r="L11">
            <v>33.369889000000072</v>
          </cell>
        </row>
        <row r="12">
          <cell r="C12">
            <v>0</v>
          </cell>
          <cell r="D12">
            <v>0</v>
          </cell>
          <cell r="E12">
            <v>0</v>
          </cell>
          <cell r="F12">
            <v>0</v>
          </cell>
          <cell r="G12">
            <v>0</v>
          </cell>
          <cell r="H12">
            <v>0</v>
          </cell>
          <cell r="I12">
            <v>0</v>
          </cell>
          <cell r="J12">
            <v>0</v>
          </cell>
          <cell r="K12">
            <v>0</v>
          </cell>
          <cell r="L12">
            <v>0</v>
          </cell>
        </row>
        <row r="13">
          <cell r="C13">
            <v>0</v>
          </cell>
          <cell r="D13">
            <v>0</v>
          </cell>
          <cell r="E13">
            <v>0</v>
          </cell>
          <cell r="F13">
            <v>0</v>
          </cell>
          <cell r="G13">
            <v>0</v>
          </cell>
          <cell r="H13">
            <v>0</v>
          </cell>
          <cell r="I13">
            <v>0</v>
          </cell>
          <cell r="J13">
            <v>0</v>
          </cell>
          <cell r="K13">
            <v>0</v>
          </cell>
          <cell r="L13">
            <v>0</v>
          </cell>
        </row>
        <row r="14">
          <cell r="C14">
            <v>0</v>
          </cell>
          <cell r="D14">
            <v>0</v>
          </cell>
          <cell r="E14">
            <v>0</v>
          </cell>
          <cell r="F14">
            <v>0</v>
          </cell>
          <cell r="G14">
            <v>0</v>
          </cell>
          <cell r="H14">
            <v>0</v>
          </cell>
          <cell r="I14">
            <v>0</v>
          </cell>
          <cell r="J14">
            <v>0</v>
          </cell>
          <cell r="K14">
            <v>0</v>
          </cell>
          <cell r="L14">
            <v>0</v>
          </cell>
        </row>
        <row r="15">
          <cell r="C15">
            <v>0</v>
          </cell>
          <cell r="D15">
            <v>0</v>
          </cell>
          <cell r="E15">
            <v>0</v>
          </cell>
          <cell r="F15">
            <v>0</v>
          </cell>
          <cell r="G15">
            <v>0</v>
          </cell>
          <cell r="H15">
            <v>0</v>
          </cell>
          <cell r="I15">
            <v>0</v>
          </cell>
          <cell r="J15">
            <v>0</v>
          </cell>
          <cell r="K15">
            <v>0</v>
          </cell>
          <cell r="L15">
            <v>0</v>
          </cell>
        </row>
        <row r="16">
          <cell r="C16">
            <v>0</v>
          </cell>
          <cell r="D16">
            <v>0</v>
          </cell>
          <cell r="E16">
            <v>0</v>
          </cell>
          <cell r="F16">
            <v>0</v>
          </cell>
          <cell r="G16">
            <v>0</v>
          </cell>
          <cell r="H16">
            <v>0</v>
          </cell>
          <cell r="I16">
            <v>0</v>
          </cell>
          <cell r="J16">
            <v>0</v>
          </cell>
          <cell r="K16">
            <v>0</v>
          </cell>
          <cell r="L16">
            <v>0</v>
          </cell>
        </row>
        <row r="17">
          <cell r="C17">
            <v>0</v>
          </cell>
          <cell r="D17">
            <v>0</v>
          </cell>
          <cell r="E17">
            <v>0</v>
          </cell>
          <cell r="F17">
            <v>0</v>
          </cell>
          <cell r="G17">
            <v>0</v>
          </cell>
          <cell r="H17">
            <v>0</v>
          </cell>
          <cell r="I17">
            <v>0</v>
          </cell>
          <cell r="J17">
            <v>0</v>
          </cell>
          <cell r="K17">
            <v>0</v>
          </cell>
          <cell r="L17">
            <v>0</v>
          </cell>
        </row>
      </sheetData>
      <sheetData sheetId="4">
        <row r="6">
          <cell r="A6">
            <v>43221</v>
          </cell>
          <cell r="C6">
            <v>1082.8499999999999</v>
          </cell>
          <cell r="D6">
            <v>-25.26</v>
          </cell>
          <cell r="E6">
            <v>0</v>
          </cell>
          <cell r="F6">
            <v>90.64</v>
          </cell>
          <cell r="G6">
            <v>0</v>
          </cell>
          <cell r="H6">
            <v>-14.309999999999999</v>
          </cell>
          <cell r="I6">
            <v>100.47</v>
          </cell>
          <cell r="J6">
            <v>100.47</v>
          </cell>
          <cell r="K6">
            <v>43.519999999999996</v>
          </cell>
          <cell r="L6">
            <v>-134.59</v>
          </cell>
        </row>
        <row r="7">
          <cell r="A7">
            <v>43281</v>
          </cell>
          <cell r="C7">
            <v>1119.26</v>
          </cell>
          <cell r="D7">
            <v>-19.13</v>
          </cell>
          <cell r="E7">
            <v>0</v>
          </cell>
          <cell r="F7">
            <v>93.07</v>
          </cell>
          <cell r="G7">
            <v>0</v>
          </cell>
          <cell r="H7">
            <v>2</v>
          </cell>
          <cell r="I7">
            <v>87.96</v>
          </cell>
          <cell r="J7">
            <v>87.96</v>
          </cell>
          <cell r="K7">
            <v>60.11</v>
          </cell>
          <cell r="L7">
            <v>-134.59</v>
          </cell>
        </row>
        <row r="8">
          <cell r="A8">
            <v>43312</v>
          </cell>
          <cell r="C8">
            <v>1065.1300000000001</v>
          </cell>
          <cell r="D8">
            <v>-3.5700000000000003</v>
          </cell>
          <cell r="E8">
            <v>0</v>
          </cell>
          <cell r="F8">
            <v>91.06</v>
          </cell>
          <cell r="G8">
            <v>0</v>
          </cell>
          <cell r="H8">
            <v>4.1900000000000004</v>
          </cell>
          <cell r="I8">
            <v>109.23</v>
          </cell>
          <cell r="J8">
            <v>109.23</v>
          </cell>
          <cell r="K8">
            <v>68.38</v>
          </cell>
          <cell r="L8">
            <v>-134.59</v>
          </cell>
        </row>
        <row r="9">
          <cell r="A9">
            <v>43343</v>
          </cell>
          <cell r="C9">
            <v>1065.1300000000001</v>
          </cell>
          <cell r="D9">
            <v>0.74</v>
          </cell>
          <cell r="E9">
            <v>0</v>
          </cell>
          <cell r="F9">
            <v>61.85</v>
          </cell>
          <cell r="G9">
            <v>0</v>
          </cell>
          <cell r="H9">
            <v>8.42</v>
          </cell>
          <cell r="I9">
            <v>168.5</v>
          </cell>
          <cell r="J9">
            <v>168.5</v>
          </cell>
          <cell r="K9">
            <v>60.64</v>
          </cell>
          <cell r="L9">
            <v>-134.59</v>
          </cell>
        </row>
        <row r="10">
          <cell r="A10">
            <v>43373</v>
          </cell>
          <cell r="C10">
            <v>940.58</v>
          </cell>
          <cell r="D10">
            <v>-14.63</v>
          </cell>
          <cell r="E10">
            <v>0</v>
          </cell>
          <cell r="F10">
            <v>69.650000000000006</v>
          </cell>
          <cell r="G10">
            <v>0</v>
          </cell>
          <cell r="H10">
            <v>26.9</v>
          </cell>
          <cell r="I10">
            <v>78.83</v>
          </cell>
          <cell r="J10">
            <v>78.83</v>
          </cell>
          <cell r="K10">
            <v>63.85</v>
          </cell>
          <cell r="L10">
            <v>-134.59</v>
          </cell>
        </row>
        <row r="11">
          <cell r="A11">
            <v>43404</v>
          </cell>
          <cell r="C11">
            <v>918.23</v>
          </cell>
          <cell r="D11">
            <v>-16.670000000000002</v>
          </cell>
          <cell r="E11">
            <v>0</v>
          </cell>
          <cell r="F11">
            <v>78.180000000000007</v>
          </cell>
          <cell r="G11">
            <v>0</v>
          </cell>
          <cell r="H11">
            <v>25.77</v>
          </cell>
          <cell r="I11">
            <v>75.260000000000005</v>
          </cell>
          <cell r="J11">
            <v>75.260000000000005</v>
          </cell>
          <cell r="K11">
            <v>71.680000000000007</v>
          </cell>
          <cell r="L11">
            <v>-134.59</v>
          </cell>
        </row>
        <row r="12">
          <cell r="A12">
            <v>43434</v>
          </cell>
          <cell r="C12">
            <v>0</v>
          </cell>
          <cell r="D12">
            <v>0</v>
          </cell>
          <cell r="E12">
            <v>0</v>
          </cell>
          <cell r="F12">
            <v>0</v>
          </cell>
          <cell r="G12">
            <v>0</v>
          </cell>
          <cell r="H12">
            <v>0</v>
          </cell>
          <cell r="I12">
            <v>0</v>
          </cell>
          <cell r="J12">
            <v>0</v>
          </cell>
          <cell r="K12">
            <v>0</v>
          </cell>
          <cell r="L12">
            <v>0</v>
          </cell>
        </row>
        <row r="13">
          <cell r="A13">
            <v>43465</v>
          </cell>
          <cell r="C13">
            <v>0</v>
          </cell>
          <cell r="D13">
            <v>0</v>
          </cell>
          <cell r="E13">
            <v>0</v>
          </cell>
          <cell r="F13">
            <v>0</v>
          </cell>
          <cell r="G13">
            <v>0</v>
          </cell>
          <cell r="H13">
            <v>0</v>
          </cell>
          <cell r="I13">
            <v>0</v>
          </cell>
          <cell r="J13">
            <v>0</v>
          </cell>
          <cell r="K13">
            <v>0</v>
          </cell>
          <cell r="L13">
            <v>0</v>
          </cell>
        </row>
        <row r="14">
          <cell r="A14">
            <v>43496</v>
          </cell>
          <cell r="C14">
            <v>0</v>
          </cell>
          <cell r="D14">
            <v>0</v>
          </cell>
          <cell r="E14">
            <v>0</v>
          </cell>
          <cell r="F14">
            <v>0</v>
          </cell>
          <cell r="G14">
            <v>0</v>
          </cell>
          <cell r="H14">
            <v>0</v>
          </cell>
          <cell r="I14">
            <v>0</v>
          </cell>
          <cell r="J14">
            <v>0</v>
          </cell>
          <cell r="K14">
            <v>0</v>
          </cell>
          <cell r="L14">
            <v>0</v>
          </cell>
        </row>
        <row r="15">
          <cell r="A15">
            <v>43524</v>
          </cell>
          <cell r="C15">
            <v>0</v>
          </cell>
          <cell r="D15">
            <v>0</v>
          </cell>
          <cell r="E15">
            <v>0</v>
          </cell>
          <cell r="F15">
            <v>0</v>
          </cell>
          <cell r="G15">
            <v>0</v>
          </cell>
          <cell r="H15">
            <v>0</v>
          </cell>
          <cell r="I15">
            <v>0</v>
          </cell>
          <cell r="J15">
            <v>0</v>
          </cell>
          <cell r="K15">
            <v>0</v>
          </cell>
          <cell r="L15">
            <v>0</v>
          </cell>
        </row>
        <row r="16">
          <cell r="A16">
            <v>43555</v>
          </cell>
          <cell r="C16">
            <v>0</v>
          </cell>
          <cell r="D16">
            <v>0</v>
          </cell>
          <cell r="E16">
            <v>0</v>
          </cell>
          <cell r="F16">
            <v>0</v>
          </cell>
          <cell r="G16">
            <v>0</v>
          </cell>
          <cell r="H16">
            <v>0</v>
          </cell>
          <cell r="I16">
            <v>0</v>
          </cell>
          <cell r="J16">
            <v>0</v>
          </cell>
          <cell r="K16">
            <v>0</v>
          </cell>
          <cell r="L16">
            <v>0</v>
          </cell>
        </row>
        <row r="17">
          <cell r="A17">
            <v>43585</v>
          </cell>
          <cell r="C17">
            <v>0</v>
          </cell>
          <cell r="D17">
            <v>0</v>
          </cell>
          <cell r="E17">
            <v>0</v>
          </cell>
          <cell r="F17">
            <v>0</v>
          </cell>
          <cell r="G17">
            <v>0</v>
          </cell>
          <cell r="H17">
            <v>0</v>
          </cell>
          <cell r="I17">
            <v>0</v>
          </cell>
          <cell r="J17">
            <v>0</v>
          </cell>
          <cell r="K17">
            <v>0</v>
          </cell>
          <cell r="L17">
            <v>0</v>
          </cell>
        </row>
      </sheetData>
      <sheetData sheetId="5">
        <row r="6">
          <cell r="C6">
            <v>43221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2015"/>
      <sheetName val="2013-2014"/>
      <sheetName val="Sheet3"/>
    </sheetNames>
    <sheetDataSet>
      <sheetData sheetId="0">
        <row r="14">
          <cell r="C14">
            <v>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7"/>
  <sheetViews>
    <sheetView tabSelected="1" zoomScale="80" zoomScaleNormal="80" workbookViewId="0">
      <selection activeCell="B16" sqref="B16"/>
    </sheetView>
  </sheetViews>
  <sheetFormatPr defaultColWidth="8.85546875" defaultRowHeight="12.75" x14ac:dyDescent="0.2"/>
  <cols>
    <col min="1" max="1" width="38.140625" style="123" customWidth="1"/>
    <col min="2" max="2" width="22.28515625" style="123" customWidth="1"/>
    <col min="3" max="3" width="13.7109375" style="123" customWidth="1"/>
    <col min="4" max="4" width="8.85546875" style="123"/>
    <col min="5" max="5" width="13.7109375" style="123" customWidth="1"/>
    <col min="6" max="6" width="14.28515625" style="123" customWidth="1"/>
    <col min="7" max="7" width="38.140625" style="123" customWidth="1"/>
    <col min="8" max="8" width="22.28515625" style="123" customWidth="1"/>
    <col min="9" max="9" width="13.7109375" style="123" customWidth="1"/>
    <col min="10" max="10" width="8.85546875" style="123"/>
    <col min="11" max="11" width="13.7109375" style="123" customWidth="1"/>
    <col min="12" max="12" width="14.28515625" style="123" customWidth="1"/>
    <col min="13" max="13" width="65.85546875" style="123" bestFit="1" customWidth="1"/>
    <col min="14" max="14" width="8.85546875" style="123"/>
    <col min="15" max="15" width="33.42578125" style="123" bestFit="1" customWidth="1"/>
    <col min="16" max="16" width="12.7109375" style="123" bestFit="1" customWidth="1"/>
    <col min="17" max="17" width="10.42578125" style="123" customWidth="1"/>
    <col min="18" max="18" width="11.7109375" style="123" customWidth="1"/>
    <col min="19" max="16384" width="8.85546875" style="123"/>
  </cols>
  <sheetData>
    <row r="1" spans="1:18" ht="19.5" customHeight="1" x14ac:dyDescent="0.4">
      <c r="A1" s="119" t="s">
        <v>99</v>
      </c>
      <c r="B1" s="120"/>
      <c r="C1" s="121"/>
      <c r="D1" s="121"/>
      <c r="E1" s="121"/>
      <c r="F1" s="122"/>
      <c r="G1" s="119" t="s">
        <v>99</v>
      </c>
      <c r="H1" s="120"/>
      <c r="I1" s="121"/>
      <c r="J1" s="121"/>
      <c r="K1" s="121"/>
      <c r="L1" s="122"/>
      <c r="M1" s="119" t="s">
        <v>99</v>
      </c>
      <c r="N1" s="120"/>
      <c r="O1" s="121"/>
      <c r="P1" s="121"/>
      <c r="Q1" s="121"/>
      <c r="R1" s="122"/>
    </row>
    <row r="2" spans="1:18" ht="18" x14ac:dyDescent="0.35">
      <c r="A2" s="124" t="s">
        <v>75</v>
      </c>
      <c r="B2" s="125"/>
      <c r="C2" s="126" t="s">
        <v>76</v>
      </c>
      <c r="D2" s="127"/>
      <c r="E2" s="127"/>
      <c r="F2" s="128"/>
      <c r="G2" s="124" t="s">
        <v>75</v>
      </c>
      <c r="H2" s="125"/>
      <c r="I2" s="126" t="s">
        <v>76</v>
      </c>
      <c r="J2" s="127"/>
      <c r="K2" s="127"/>
      <c r="L2" s="128"/>
      <c r="M2" s="124" t="s">
        <v>75</v>
      </c>
      <c r="N2" s="125"/>
      <c r="O2" s="126" t="s">
        <v>76</v>
      </c>
      <c r="P2" s="127"/>
      <c r="Q2" s="127"/>
      <c r="R2" s="128"/>
    </row>
    <row r="3" spans="1:18" x14ac:dyDescent="0.2">
      <c r="A3" s="129" t="s">
        <v>100</v>
      </c>
      <c r="B3" s="130"/>
      <c r="C3" s="127"/>
      <c r="D3" s="127"/>
      <c r="E3" s="127"/>
      <c r="F3" s="128"/>
      <c r="G3" s="129" t="s">
        <v>100</v>
      </c>
      <c r="H3" s="130"/>
      <c r="I3" s="127"/>
      <c r="J3" s="127"/>
      <c r="K3" s="127"/>
      <c r="L3" s="128"/>
      <c r="M3" s="129" t="s">
        <v>101</v>
      </c>
      <c r="N3" s="130"/>
      <c r="O3" s="127"/>
      <c r="P3" s="127"/>
      <c r="Q3" s="127"/>
      <c r="R3" s="128"/>
    </row>
    <row r="4" spans="1:18" ht="20.25" x14ac:dyDescent="0.3">
      <c r="A4" s="276" t="s">
        <v>141</v>
      </c>
      <c r="B4" s="277"/>
      <c r="C4" s="277"/>
      <c r="D4" s="277"/>
      <c r="E4" s="277"/>
      <c r="F4" s="278"/>
      <c r="G4" s="276" t="s">
        <v>95</v>
      </c>
      <c r="H4" s="277"/>
      <c r="I4" s="277"/>
      <c r="J4" s="277"/>
      <c r="K4" s="277"/>
      <c r="L4" s="278"/>
      <c r="M4" s="276" t="s">
        <v>92</v>
      </c>
      <c r="N4" s="277"/>
      <c r="O4" s="277"/>
      <c r="P4" s="277"/>
      <c r="Q4" s="277"/>
      <c r="R4" s="278"/>
    </row>
    <row r="5" spans="1:18" x14ac:dyDescent="0.2">
      <c r="A5" s="131"/>
      <c r="B5" s="127"/>
      <c r="C5" s="127"/>
      <c r="D5" s="127"/>
      <c r="E5" s="127"/>
      <c r="F5" s="128"/>
      <c r="G5" s="131"/>
      <c r="H5" s="127"/>
      <c r="I5" s="127"/>
      <c r="J5" s="127"/>
      <c r="K5" s="127"/>
      <c r="L5" s="128"/>
      <c r="M5" s="131"/>
      <c r="N5" s="127"/>
      <c r="O5" s="127"/>
      <c r="P5" s="127"/>
      <c r="Q5" s="127"/>
      <c r="R5" s="128"/>
    </row>
    <row r="6" spans="1:18" ht="19.5" x14ac:dyDescent="0.4">
      <c r="A6" s="279" t="s">
        <v>77</v>
      </c>
      <c r="B6" s="280"/>
      <c r="C6" s="280"/>
      <c r="D6" s="280"/>
      <c r="E6" s="280"/>
      <c r="F6" s="281"/>
      <c r="G6" s="279" t="s">
        <v>77</v>
      </c>
      <c r="H6" s="280"/>
      <c r="I6" s="280"/>
      <c r="J6" s="280"/>
      <c r="K6" s="280"/>
      <c r="L6" s="281"/>
      <c r="M6" s="279" t="s">
        <v>77</v>
      </c>
      <c r="N6" s="280"/>
      <c r="O6" s="280"/>
      <c r="P6" s="280"/>
      <c r="Q6" s="280"/>
      <c r="R6" s="281"/>
    </row>
    <row r="7" spans="1:18" ht="15.75" x14ac:dyDescent="0.25">
      <c r="A7" s="131"/>
      <c r="B7" s="127"/>
      <c r="C7" s="127"/>
      <c r="D7" s="127"/>
      <c r="E7" s="127"/>
      <c r="F7" s="128"/>
      <c r="G7" s="131"/>
      <c r="H7" s="127"/>
      <c r="I7" s="127"/>
      <c r="J7" s="127"/>
      <c r="K7" s="127"/>
      <c r="L7" s="128"/>
      <c r="M7" s="205" t="s">
        <v>102</v>
      </c>
      <c r="N7" s="127"/>
      <c r="O7" s="127"/>
      <c r="P7" s="127"/>
      <c r="Q7" s="127"/>
      <c r="R7" s="128"/>
    </row>
    <row r="8" spans="1:18" x14ac:dyDescent="0.2">
      <c r="A8" s="131"/>
      <c r="B8" s="127"/>
      <c r="C8" s="132"/>
      <c r="D8" s="132" t="s">
        <v>2</v>
      </c>
      <c r="E8" s="132" t="s">
        <v>28</v>
      </c>
      <c r="F8" s="128"/>
      <c r="G8" s="131"/>
      <c r="H8" s="127"/>
      <c r="I8" s="132"/>
      <c r="J8" s="132" t="s">
        <v>2</v>
      </c>
      <c r="K8" s="132" t="s">
        <v>28</v>
      </c>
      <c r="L8" s="128"/>
      <c r="M8" s="131"/>
      <c r="N8" s="127"/>
      <c r="O8" s="132"/>
      <c r="P8" s="132" t="s">
        <v>2</v>
      </c>
      <c r="Q8" s="132" t="s">
        <v>28</v>
      </c>
      <c r="R8" s="128"/>
    </row>
    <row r="9" spans="1:18" x14ac:dyDescent="0.2">
      <c r="A9" s="131"/>
      <c r="B9" s="127"/>
      <c r="C9" s="133" t="s">
        <v>6</v>
      </c>
      <c r="D9" s="133" t="s">
        <v>78</v>
      </c>
      <c r="E9" s="133" t="s">
        <v>79</v>
      </c>
      <c r="F9" s="128"/>
      <c r="G9" s="131"/>
      <c r="H9" s="127"/>
      <c r="I9" s="133" t="s">
        <v>6</v>
      </c>
      <c r="J9" s="133" t="s">
        <v>78</v>
      </c>
      <c r="K9" s="133" t="s">
        <v>79</v>
      </c>
      <c r="L9" s="128"/>
      <c r="M9" s="131"/>
      <c r="N9" s="127"/>
      <c r="O9" s="133" t="s">
        <v>6</v>
      </c>
      <c r="P9" s="133" t="s">
        <v>78</v>
      </c>
      <c r="Q9" s="133" t="s">
        <v>79</v>
      </c>
      <c r="R9" s="128"/>
    </row>
    <row r="10" spans="1:18" ht="16.5" x14ac:dyDescent="0.35">
      <c r="A10" s="134" t="s">
        <v>94</v>
      </c>
      <c r="B10" s="135"/>
      <c r="C10" s="136"/>
      <c r="D10" s="136"/>
      <c r="E10" s="136"/>
      <c r="F10" s="128"/>
      <c r="G10" s="134" t="s">
        <v>94</v>
      </c>
      <c r="H10" s="135"/>
      <c r="I10" s="136"/>
      <c r="J10" s="136"/>
      <c r="K10" s="136"/>
      <c r="L10" s="128"/>
      <c r="M10" s="134" t="s">
        <v>93</v>
      </c>
      <c r="N10" s="135"/>
      <c r="O10" s="136"/>
      <c r="P10" s="136"/>
      <c r="Q10" s="136"/>
      <c r="R10" s="128"/>
    </row>
    <row r="11" spans="1:18" x14ac:dyDescent="0.2">
      <c r="A11" s="137" t="s">
        <v>80</v>
      </c>
      <c r="B11" s="127"/>
      <c r="C11" s="138">
        <f>'181018 WUTC_AW of Lynnwood_SF'!B12</f>
        <v>55432</v>
      </c>
      <c r="D11" s="139">
        <f>J12</f>
        <v>1.0353467436170412</v>
      </c>
      <c r="E11" s="138">
        <f>C11*D11</f>
        <v>57391.340692179823</v>
      </c>
      <c r="F11" s="128"/>
      <c r="G11" s="137" t="s">
        <v>80</v>
      </c>
      <c r="H11" s="127"/>
      <c r="I11" s="138">
        <f>'WUTC_AW of Lynnwood_SF'!B12</f>
        <v>54068</v>
      </c>
      <c r="J11" s="139">
        <f>P12</f>
        <v>0.85</v>
      </c>
      <c r="K11" s="138">
        <f>I11*J11</f>
        <v>45957.799999999996</v>
      </c>
      <c r="L11" s="128"/>
      <c r="M11" s="137" t="s">
        <v>80</v>
      </c>
      <c r="N11" s="127"/>
      <c r="O11" s="138">
        <v>53329</v>
      </c>
      <c r="P11" s="139">
        <v>0.9</v>
      </c>
      <c r="Q11" s="138">
        <f>O11*P11</f>
        <v>47996.1</v>
      </c>
      <c r="R11" s="128"/>
    </row>
    <row r="12" spans="1:18" ht="15" x14ac:dyDescent="0.35">
      <c r="A12" s="140" t="s">
        <v>81</v>
      </c>
      <c r="B12" s="141"/>
      <c r="C12" s="142">
        <f>'181018 WUTC_AW of Lynnwood_SF'!B24</f>
        <v>55449</v>
      </c>
      <c r="D12" s="139">
        <f>L25</f>
        <v>0.5273687830845597</v>
      </c>
      <c r="E12" s="142">
        <f>C12*D12</f>
        <v>29242.071653255753</v>
      </c>
      <c r="F12" s="128"/>
      <c r="G12" s="140" t="s">
        <v>81</v>
      </c>
      <c r="H12" s="141"/>
      <c r="I12" s="142">
        <f>'WUTC_AW of Lynnwood_SF'!B24</f>
        <v>164246</v>
      </c>
      <c r="J12" s="139">
        <f>R25</f>
        <v>1.0353467436170412</v>
      </c>
      <c r="K12" s="142">
        <f>I12*J12</f>
        <v>170051.56125212455</v>
      </c>
      <c r="L12" s="128"/>
      <c r="M12" s="140" t="s">
        <v>81</v>
      </c>
      <c r="N12" s="141"/>
      <c r="O12" s="142">
        <v>160835</v>
      </c>
      <c r="P12" s="139">
        <v>0.85</v>
      </c>
      <c r="Q12" s="142">
        <f>O12*P12</f>
        <v>136709.75</v>
      </c>
      <c r="R12" s="128"/>
    </row>
    <row r="13" spans="1:18" x14ac:dyDescent="0.2">
      <c r="A13" s="131" t="s">
        <v>28</v>
      </c>
      <c r="B13" s="127"/>
      <c r="C13" s="138">
        <f>SUM(C11:C12)</f>
        <v>110881</v>
      </c>
      <c r="D13" s="127"/>
      <c r="E13" s="138">
        <f>SUM(E11:E12)</f>
        <v>86633.412345435572</v>
      </c>
      <c r="F13" s="128"/>
      <c r="G13" s="131" t="s">
        <v>28</v>
      </c>
      <c r="H13" s="127"/>
      <c r="I13" s="138">
        <f>SUM(I11:I12)</f>
        <v>218314</v>
      </c>
      <c r="J13" s="127"/>
      <c r="K13" s="138">
        <f>SUM(K11:K12)</f>
        <v>216009.36125212454</v>
      </c>
      <c r="L13" s="128"/>
      <c r="M13" s="131" t="s">
        <v>28</v>
      </c>
      <c r="N13" s="127"/>
      <c r="O13" s="138">
        <f>SUM(O11:O12)</f>
        <v>214164</v>
      </c>
      <c r="P13" s="127"/>
      <c r="Q13" s="138">
        <f>SUM(Q11:Q12)</f>
        <v>184705.85</v>
      </c>
      <c r="R13" s="128"/>
    </row>
    <row r="14" spans="1:18" x14ac:dyDescent="0.2">
      <c r="A14" s="131"/>
      <c r="B14" s="127"/>
      <c r="C14" s="127"/>
      <c r="D14" s="127"/>
      <c r="E14" s="127"/>
      <c r="F14" s="128"/>
      <c r="G14" s="131"/>
      <c r="H14" s="127"/>
      <c r="I14" s="127"/>
      <c r="J14" s="127"/>
      <c r="K14" s="127"/>
      <c r="L14" s="128"/>
      <c r="M14" s="131"/>
      <c r="N14" s="127"/>
      <c r="O14" s="127"/>
      <c r="P14" s="127"/>
      <c r="Q14" s="127"/>
      <c r="R14" s="128"/>
    </row>
    <row r="15" spans="1:18" x14ac:dyDescent="0.2">
      <c r="A15" s="131" t="s">
        <v>82</v>
      </c>
      <c r="B15" s="127"/>
      <c r="C15" s="127"/>
      <c r="D15" s="127"/>
      <c r="E15" s="138">
        <f>'181018 SF Value'!M18</f>
        <v>56481.929385609954</v>
      </c>
      <c r="F15" s="128"/>
      <c r="G15" s="131" t="s">
        <v>82</v>
      </c>
      <c r="H15" s="127"/>
      <c r="I15" s="127"/>
      <c r="J15" s="127"/>
      <c r="K15" s="138">
        <f>'WUTC_AW of Lynnwood_SF'!D26</f>
        <v>148095.09788280493</v>
      </c>
      <c r="L15" s="128"/>
      <c r="M15" s="131" t="s">
        <v>82</v>
      </c>
      <c r="N15" s="127"/>
      <c r="O15" s="127"/>
      <c r="P15" s="127"/>
      <c r="Q15" s="138">
        <v>221734</v>
      </c>
      <c r="R15" s="128"/>
    </row>
    <row r="16" spans="1:18" x14ac:dyDescent="0.2">
      <c r="A16" s="131" t="s">
        <v>152</v>
      </c>
      <c r="B16" s="127"/>
      <c r="C16" s="127"/>
      <c r="D16" s="127"/>
      <c r="E16" s="275">
        <f>'181018 SF Value'!O18</f>
        <v>28240.964692804977</v>
      </c>
      <c r="F16" s="128"/>
      <c r="G16" s="131"/>
      <c r="H16" s="127"/>
      <c r="I16" s="127"/>
      <c r="J16" s="127"/>
      <c r="K16" s="127"/>
      <c r="L16" s="128"/>
      <c r="M16" s="131"/>
      <c r="N16" s="127"/>
      <c r="O16" s="127"/>
      <c r="P16" s="127"/>
      <c r="Q16" s="127"/>
      <c r="R16" s="128"/>
    </row>
    <row r="17" spans="1:18" x14ac:dyDescent="0.2">
      <c r="A17" s="131" t="s">
        <v>83</v>
      </c>
      <c r="B17" s="127"/>
      <c r="C17" s="127"/>
      <c r="D17" s="127"/>
      <c r="E17" s="138">
        <f>E15-E13-E16</f>
        <v>-58392.447652630595</v>
      </c>
      <c r="F17" s="128"/>
      <c r="G17" s="131" t="s">
        <v>83</v>
      </c>
      <c r="H17" s="127"/>
      <c r="I17" s="127"/>
      <c r="J17" s="127"/>
      <c r="K17" s="138">
        <f>K15-K13</f>
        <v>-67914.263369319611</v>
      </c>
      <c r="L17" s="128"/>
      <c r="M17" s="131" t="s">
        <v>83</v>
      </c>
      <c r="N17" s="127"/>
      <c r="O17" s="127"/>
      <c r="P17" s="127"/>
      <c r="Q17" s="138">
        <f>Q15-Q13</f>
        <v>37028.149999999994</v>
      </c>
      <c r="R17" s="128"/>
    </row>
    <row r="18" spans="1:18" x14ac:dyDescent="0.2">
      <c r="A18" s="131"/>
      <c r="B18" s="127"/>
      <c r="C18" s="127"/>
      <c r="D18" s="127"/>
      <c r="E18" s="127"/>
      <c r="F18" s="128"/>
      <c r="G18" s="131"/>
      <c r="H18" s="127"/>
      <c r="I18" s="127"/>
      <c r="J18" s="127"/>
      <c r="K18" s="127"/>
      <c r="L18" s="128"/>
      <c r="M18" s="131"/>
      <c r="N18" s="127"/>
      <c r="O18" s="127"/>
      <c r="P18" s="127"/>
      <c r="Q18" s="127"/>
      <c r="R18" s="128"/>
    </row>
    <row r="19" spans="1:18" x14ac:dyDescent="0.2">
      <c r="A19" s="131" t="s">
        <v>84</v>
      </c>
      <c r="B19" s="127"/>
      <c r="C19" s="127"/>
      <c r="D19" s="127"/>
      <c r="E19" s="138">
        <f>+C13</f>
        <v>110881</v>
      </c>
      <c r="F19" s="128"/>
      <c r="G19" s="131" t="s">
        <v>84</v>
      </c>
      <c r="H19" s="127"/>
      <c r="I19" s="127"/>
      <c r="J19" s="127"/>
      <c r="K19" s="138">
        <f>+I13</f>
        <v>218314</v>
      </c>
      <c r="L19" s="128"/>
      <c r="M19" s="131" t="s">
        <v>84</v>
      </c>
      <c r="N19" s="127"/>
      <c r="O19" s="127"/>
      <c r="P19" s="127"/>
      <c r="Q19" s="138">
        <f>+O13</f>
        <v>214164</v>
      </c>
      <c r="R19" s="128"/>
    </row>
    <row r="20" spans="1:18" x14ac:dyDescent="0.2">
      <c r="A20" s="131"/>
      <c r="B20" s="127"/>
      <c r="C20" s="127"/>
      <c r="D20" s="127"/>
      <c r="E20" s="127"/>
      <c r="F20" s="128"/>
      <c r="G20" s="131"/>
      <c r="H20" s="127"/>
      <c r="I20" s="127"/>
      <c r="J20" s="127"/>
      <c r="K20" s="127"/>
      <c r="L20" s="128"/>
      <c r="M20" s="131"/>
      <c r="N20" s="127"/>
      <c r="O20" s="127"/>
      <c r="P20" s="127"/>
      <c r="Q20" s="127"/>
      <c r="R20" s="128"/>
    </row>
    <row r="21" spans="1:18" x14ac:dyDescent="0.2">
      <c r="A21" s="131" t="s">
        <v>85</v>
      </c>
      <c r="B21" s="127"/>
      <c r="C21" s="127"/>
      <c r="D21" s="127"/>
      <c r="E21" s="127"/>
      <c r="F21" s="143">
        <f>(E17/E19)</f>
        <v>-0.52662266441167194</v>
      </c>
      <c r="G21" s="131" t="s">
        <v>85</v>
      </c>
      <c r="H21" s="127"/>
      <c r="I21" s="127"/>
      <c r="J21" s="127"/>
      <c r="K21" s="127"/>
      <c r="L21" s="143">
        <f>(K17/K19)</f>
        <v>-0.31108524130069354</v>
      </c>
      <c r="M21" s="131" t="s">
        <v>85</v>
      </c>
      <c r="N21" s="127"/>
      <c r="O21" s="127"/>
      <c r="P21" s="127"/>
      <c r="Q21" s="127"/>
      <c r="R21" s="143">
        <f>(Q17/Q19)</f>
        <v>0.17289623839674265</v>
      </c>
    </row>
    <row r="22" spans="1:18" x14ac:dyDescent="0.2">
      <c r="A22" s="131"/>
      <c r="B22" s="127"/>
      <c r="C22" s="127"/>
      <c r="D22" s="127"/>
      <c r="E22" s="127"/>
      <c r="F22" s="143"/>
      <c r="G22" s="131"/>
      <c r="H22" s="127"/>
      <c r="I22" s="127"/>
      <c r="J22" s="127"/>
      <c r="K22" s="127"/>
      <c r="L22" s="143"/>
      <c r="M22" s="131"/>
      <c r="N22" s="127"/>
      <c r="O22" s="127"/>
      <c r="P22" s="127"/>
      <c r="Q22" s="127"/>
      <c r="R22" s="143"/>
    </row>
    <row r="23" spans="1:18" ht="16.5" x14ac:dyDescent="0.35">
      <c r="A23" s="134" t="s">
        <v>96</v>
      </c>
      <c r="B23" s="135"/>
      <c r="C23" s="127"/>
      <c r="D23" s="127"/>
      <c r="E23" s="144">
        <f>E15</f>
        <v>56481.929385609954</v>
      </c>
      <c r="F23" s="143"/>
      <c r="G23" s="134" t="s">
        <v>96</v>
      </c>
      <c r="H23" s="135"/>
      <c r="I23" s="127"/>
      <c r="J23" s="127"/>
      <c r="K23" s="144">
        <f>'WUTC_AW of Lynnwood_SF'!D28+'Staff Calc return of carryover'!I5</f>
        <v>57887.161844059781</v>
      </c>
      <c r="L23" s="143"/>
      <c r="M23" s="134" t="s">
        <v>94</v>
      </c>
      <c r="N23" s="135"/>
      <c r="O23" s="127"/>
      <c r="P23" s="127"/>
      <c r="Q23" s="144">
        <f>Q15</f>
        <v>221734</v>
      </c>
      <c r="R23" s="143"/>
    </row>
    <row r="24" spans="1:18" x14ac:dyDescent="0.2">
      <c r="A24" s="131" t="s">
        <v>84</v>
      </c>
      <c r="B24" s="127"/>
      <c r="C24" s="127"/>
      <c r="D24" s="127"/>
      <c r="E24" s="138">
        <f>E19</f>
        <v>110881</v>
      </c>
      <c r="F24" s="143"/>
      <c r="G24" s="131" t="s">
        <v>84</v>
      </c>
      <c r="H24" s="127"/>
      <c r="I24" s="127"/>
      <c r="J24" s="127"/>
      <c r="K24" s="138">
        <f>'WUTC_AW of Lynnwood_SF'!B28</f>
        <v>109766</v>
      </c>
      <c r="L24" s="143"/>
      <c r="M24" s="131" t="s">
        <v>84</v>
      </c>
      <c r="N24" s="127"/>
      <c r="O24" s="127"/>
      <c r="P24" s="127"/>
      <c r="Q24" s="138">
        <f>O13</f>
        <v>214164</v>
      </c>
      <c r="R24" s="143"/>
    </row>
    <row r="25" spans="1:18" ht="15" x14ac:dyDescent="0.35">
      <c r="A25" s="131" t="s">
        <v>86</v>
      </c>
      <c r="B25" s="127"/>
      <c r="C25" s="127"/>
      <c r="D25" s="127"/>
      <c r="E25" s="127"/>
      <c r="F25" s="145">
        <f>(E23/E24)</f>
        <v>0.50939231595683621</v>
      </c>
      <c r="G25" s="131" t="s">
        <v>86</v>
      </c>
      <c r="H25" s="127"/>
      <c r="I25" s="127"/>
      <c r="J25" s="127"/>
      <c r="K25" s="127"/>
      <c r="L25" s="145">
        <f>(K23/K24)</f>
        <v>0.5273687830845597</v>
      </c>
      <c r="M25" s="131" t="s">
        <v>86</v>
      </c>
      <c r="N25" s="127"/>
      <c r="O25" s="127"/>
      <c r="P25" s="127"/>
      <c r="Q25" s="127"/>
      <c r="R25" s="145">
        <f>(Q23/Q24)</f>
        <v>1.0353467436170412</v>
      </c>
    </row>
    <row r="26" spans="1:18" x14ac:dyDescent="0.2">
      <c r="A26" s="131"/>
      <c r="B26" s="127"/>
      <c r="C26" s="127"/>
      <c r="D26" s="127"/>
      <c r="E26" s="127"/>
      <c r="F26" s="143"/>
      <c r="G26" s="131"/>
      <c r="H26" s="127"/>
      <c r="I26" s="127"/>
      <c r="J26" s="127"/>
      <c r="K26" s="127"/>
      <c r="L26" s="143"/>
      <c r="M26" s="131"/>
      <c r="N26" s="127"/>
      <c r="O26" s="127"/>
      <c r="P26" s="127"/>
      <c r="Q26" s="127"/>
      <c r="R26" s="143"/>
    </row>
    <row r="27" spans="1:18" ht="18.75" thickBot="1" x14ac:dyDescent="0.4">
      <c r="A27" s="124" t="s">
        <v>87</v>
      </c>
      <c r="B27" s="125"/>
      <c r="C27" s="127"/>
      <c r="D27" s="127"/>
      <c r="E27" s="127"/>
      <c r="F27" s="146">
        <f>+F21+F25</f>
        <v>-1.7230348454835731E-2</v>
      </c>
      <c r="G27" s="124" t="s">
        <v>87</v>
      </c>
      <c r="H27" s="125"/>
      <c r="I27" s="127"/>
      <c r="J27" s="127"/>
      <c r="K27" s="127"/>
      <c r="L27" s="146">
        <f>+L21+L25</f>
        <v>0.21628354178386616</v>
      </c>
      <c r="M27" s="124" t="s">
        <v>87</v>
      </c>
      <c r="N27" s="125"/>
      <c r="O27" s="127"/>
      <c r="P27" s="127"/>
      <c r="Q27" s="127"/>
      <c r="R27" s="146">
        <f>+R21+R25</f>
        <v>1.2082429820137839</v>
      </c>
    </row>
    <row r="28" spans="1:18" ht="18.75" thickTop="1" x14ac:dyDescent="0.35">
      <c r="A28" s="137" t="s">
        <v>88</v>
      </c>
      <c r="B28" s="127"/>
      <c r="C28" s="159">
        <v>0</v>
      </c>
      <c r="D28" s="127"/>
      <c r="E28" s="127"/>
      <c r="F28" s="147">
        <v>0</v>
      </c>
      <c r="G28" s="137" t="s">
        <v>88</v>
      </c>
      <c r="H28" s="127"/>
      <c r="I28" s="159">
        <v>0</v>
      </c>
      <c r="J28" s="127"/>
      <c r="K28" s="127"/>
      <c r="L28" s="147">
        <v>0</v>
      </c>
      <c r="M28" s="137" t="s">
        <v>88</v>
      </c>
      <c r="N28" s="127"/>
      <c r="O28" s="159">
        <v>0</v>
      </c>
      <c r="P28" s="127"/>
      <c r="Q28" s="127"/>
      <c r="R28" s="147">
        <v>0.2</v>
      </c>
    </row>
    <row r="29" spans="1:18" ht="18" x14ac:dyDescent="0.35">
      <c r="A29" s="131"/>
      <c r="B29" s="127"/>
      <c r="C29" s="148">
        <f>C28/E24</f>
        <v>0</v>
      </c>
      <c r="D29" s="127"/>
      <c r="E29" s="127"/>
      <c r="F29" s="149"/>
      <c r="G29" s="131"/>
      <c r="H29" s="127"/>
      <c r="I29" s="148">
        <f>I28/K24</f>
        <v>0</v>
      </c>
      <c r="J29" s="127"/>
      <c r="K29" s="127"/>
      <c r="L29" s="149"/>
      <c r="M29" s="131"/>
      <c r="N29" s="127"/>
      <c r="O29" s="148">
        <f>O28/Q24</f>
        <v>0</v>
      </c>
      <c r="P29" s="127"/>
      <c r="Q29" s="127"/>
      <c r="R29" s="149"/>
    </row>
    <row r="30" spans="1:18" ht="18.75" thickBot="1" x14ac:dyDescent="0.4">
      <c r="A30" s="140" t="s">
        <v>153</v>
      </c>
      <c r="B30" s="127"/>
      <c r="C30" s="127"/>
      <c r="D30" s="150"/>
      <c r="E30" s="127"/>
      <c r="F30" s="146">
        <f>ROUND(SUM(F27:F29),2)</f>
        <v>-0.02</v>
      </c>
      <c r="G30" s="137" t="s">
        <v>89</v>
      </c>
      <c r="H30" s="127"/>
      <c r="I30" s="127"/>
      <c r="J30" s="150"/>
      <c r="K30" s="127"/>
      <c r="L30" s="146">
        <f>ROUND(SUM(L27:L29),2)</f>
        <v>0.22</v>
      </c>
      <c r="M30" s="137" t="s">
        <v>89</v>
      </c>
      <c r="N30" s="127"/>
      <c r="O30" s="127"/>
      <c r="P30" s="150"/>
      <c r="Q30" s="127"/>
      <c r="R30" s="146">
        <f>ROUND(SUM(R27:R29),2)</f>
        <v>1.41</v>
      </c>
    </row>
    <row r="31" spans="1:18" ht="13.5" thickTop="1" x14ac:dyDescent="0.2">
      <c r="A31" s="131"/>
      <c r="B31" s="127"/>
      <c r="C31" s="127"/>
      <c r="D31" s="150"/>
      <c r="E31" s="127"/>
      <c r="F31" s="128"/>
      <c r="G31" s="131"/>
      <c r="H31" s="127"/>
      <c r="I31" s="127"/>
      <c r="J31" s="150"/>
      <c r="K31" s="127"/>
      <c r="L31" s="128"/>
      <c r="M31" s="131"/>
      <c r="N31" s="127"/>
      <c r="O31" s="127"/>
      <c r="P31" s="150"/>
      <c r="Q31" s="127"/>
      <c r="R31" s="128"/>
    </row>
    <row r="32" spans="1:18" x14ac:dyDescent="0.2">
      <c r="A32" s="131"/>
      <c r="B32" s="127"/>
      <c r="C32" s="127"/>
      <c r="D32" s="127"/>
      <c r="E32" s="127"/>
      <c r="F32" s="128"/>
      <c r="G32" s="131"/>
      <c r="H32" s="127"/>
      <c r="I32" s="127"/>
      <c r="J32" s="127"/>
      <c r="K32" s="127"/>
      <c r="L32" s="128"/>
      <c r="M32" s="131"/>
      <c r="N32" s="127"/>
      <c r="O32" s="127"/>
      <c r="P32" s="127"/>
      <c r="Q32" s="127"/>
      <c r="R32" s="128"/>
    </row>
    <row r="33" spans="1:18" ht="19.5" x14ac:dyDescent="0.4">
      <c r="A33" s="279" t="s">
        <v>90</v>
      </c>
      <c r="B33" s="280"/>
      <c r="C33" s="280"/>
      <c r="D33" s="280"/>
      <c r="E33" s="280"/>
      <c r="F33" s="281"/>
      <c r="G33" s="279" t="s">
        <v>90</v>
      </c>
      <c r="H33" s="280"/>
      <c r="I33" s="280"/>
      <c r="J33" s="280"/>
      <c r="K33" s="280"/>
      <c r="L33" s="281"/>
      <c r="M33" s="279" t="s">
        <v>90</v>
      </c>
      <c r="N33" s="280"/>
      <c r="O33" s="280"/>
      <c r="P33" s="280"/>
      <c r="Q33" s="280"/>
      <c r="R33" s="281"/>
    </row>
    <row r="34" spans="1:18" x14ac:dyDescent="0.2">
      <c r="A34" s="131"/>
      <c r="B34" s="127"/>
      <c r="C34" s="127"/>
      <c r="D34" s="127"/>
      <c r="E34" s="127"/>
      <c r="F34" s="128"/>
      <c r="G34" s="131"/>
      <c r="H34" s="127"/>
      <c r="I34" s="127"/>
      <c r="J34" s="127"/>
      <c r="K34" s="127"/>
      <c r="L34" s="128"/>
      <c r="M34" s="131"/>
      <c r="N34" s="127"/>
      <c r="O34" s="127"/>
      <c r="P34" s="127"/>
      <c r="Q34" s="127"/>
      <c r="R34" s="128"/>
    </row>
    <row r="35" spans="1:18" x14ac:dyDescent="0.2">
      <c r="A35" s="131"/>
      <c r="B35" s="127"/>
      <c r="C35" s="132"/>
      <c r="D35" s="132" t="s">
        <v>2</v>
      </c>
      <c r="E35" s="132" t="s">
        <v>28</v>
      </c>
      <c r="F35" s="128"/>
      <c r="G35" s="131"/>
      <c r="H35" s="127"/>
      <c r="I35" s="132"/>
      <c r="J35" s="132" t="s">
        <v>2</v>
      </c>
      <c r="K35" s="132" t="s">
        <v>28</v>
      </c>
      <c r="L35" s="128"/>
      <c r="M35" s="131"/>
      <c r="N35" s="127"/>
      <c r="O35" s="132"/>
      <c r="P35" s="132" t="s">
        <v>2</v>
      </c>
      <c r="Q35" s="132" t="s">
        <v>28</v>
      </c>
      <c r="R35" s="128"/>
    </row>
    <row r="36" spans="1:18" x14ac:dyDescent="0.2">
      <c r="A36" s="131"/>
      <c r="B36" s="127"/>
      <c r="C36" s="151" t="s">
        <v>64</v>
      </c>
      <c r="D36" s="151" t="s">
        <v>78</v>
      </c>
      <c r="E36" s="151" t="s">
        <v>79</v>
      </c>
      <c r="F36" s="128"/>
      <c r="G36" s="131"/>
      <c r="H36" s="127"/>
      <c r="I36" s="151" t="s">
        <v>64</v>
      </c>
      <c r="J36" s="151" t="s">
        <v>78</v>
      </c>
      <c r="K36" s="151" t="s">
        <v>79</v>
      </c>
      <c r="L36" s="128"/>
      <c r="M36" s="131"/>
      <c r="N36" s="127"/>
      <c r="O36" s="151" t="s">
        <v>64</v>
      </c>
      <c r="P36" s="151" t="s">
        <v>78</v>
      </c>
      <c r="Q36" s="151" t="s">
        <v>79</v>
      </c>
      <c r="R36" s="128"/>
    </row>
    <row r="37" spans="1:18" ht="16.5" x14ac:dyDescent="0.35">
      <c r="A37" s="134" t="str">
        <f>A10</f>
        <v>Projected Revenue May 2017-April 2018</v>
      </c>
      <c r="B37" s="135"/>
      <c r="C37" s="136"/>
      <c r="D37" s="136"/>
      <c r="E37" s="136"/>
      <c r="F37" s="128"/>
      <c r="G37" s="134" t="str">
        <f>G10</f>
        <v>Projected Revenue May 2017-April 2018</v>
      </c>
      <c r="H37" s="135"/>
      <c r="I37" s="136"/>
      <c r="J37" s="136"/>
      <c r="K37" s="136"/>
      <c r="L37" s="128"/>
      <c r="M37" s="134" t="str">
        <f>M10</f>
        <v>Projected Revenue May 2016-April 2017</v>
      </c>
      <c r="N37" s="135"/>
      <c r="O37" s="136"/>
      <c r="P37" s="136"/>
      <c r="Q37" s="136"/>
      <c r="R37" s="128"/>
    </row>
    <row r="38" spans="1:18" x14ac:dyDescent="0.2">
      <c r="A38" s="131" t="str">
        <f>A11</f>
        <v>May-Jul projected value without adjustment factor</v>
      </c>
      <c r="B38" s="141"/>
      <c r="C38" s="138">
        <f>'181018 WUTC_AW of Lynnwood_MF'!B12</f>
        <v>23247.45</v>
      </c>
      <c r="D38" s="139">
        <f>J39</f>
        <v>0.37559369459811603</v>
      </c>
      <c r="E38" s="138">
        <f>D38*C38</f>
        <v>8731.5956354849732</v>
      </c>
      <c r="F38" s="128"/>
      <c r="G38" s="131" t="str">
        <f>G11</f>
        <v>May-Jul projected value without adjustment factor</v>
      </c>
      <c r="H38" s="141"/>
      <c r="I38" s="138">
        <f>'WUTC_AW of Lynnwood_MF'!B12</f>
        <v>23406</v>
      </c>
      <c r="J38" s="139">
        <f>P39</f>
        <v>0.34</v>
      </c>
      <c r="K38" s="138">
        <f>J38*I38</f>
        <v>7958.0400000000009</v>
      </c>
      <c r="L38" s="128"/>
      <c r="M38" s="131" t="str">
        <f>M11</f>
        <v>May-Jul projected value without adjustment factor</v>
      </c>
      <c r="N38" s="141"/>
      <c r="O38" s="138">
        <v>23495</v>
      </c>
      <c r="P38" s="139">
        <v>0.36</v>
      </c>
      <c r="Q38" s="138">
        <f>P38*O38</f>
        <v>8458.1999999999989</v>
      </c>
      <c r="R38" s="128"/>
    </row>
    <row r="39" spans="1:18" ht="15" x14ac:dyDescent="0.35">
      <c r="A39" s="140" t="str">
        <f>A12</f>
        <v>Aug-April projected value without adjustment factor</v>
      </c>
      <c r="B39" s="141"/>
      <c r="C39" s="142">
        <f>'181018 WUTC_AW of Lynnwood_MF'!B24</f>
        <v>23201.73</v>
      </c>
      <c r="D39" s="139">
        <f>L52</f>
        <v>0.20377843401869689</v>
      </c>
      <c r="E39" s="142">
        <f>D39*C39</f>
        <v>4728.0122059246196</v>
      </c>
      <c r="F39" s="128"/>
      <c r="G39" s="140" t="str">
        <f>G12</f>
        <v>Aug-April projected value without adjustment factor</v>
      </c>
      <c r="H39" s="141"/>
      <c r="I39" s="142">
        <f>'WUTC_AW of Lynnwood_MF'!B24</f>
        <v>69709</v>
      </c>
      <c r="J39" s="139">
        <f>R52</f>
        <v>0.37559369459811603</v>
      </c>
      <c r="K39" s="142">
        <f>J39*I39</f>
        <v>26182.260856740071</v>
      </c>
      <c r="L39" s="128"/>
      <c r="M39" s="140" t="str">
        <f>M12</f>
        <v>Aug-April projected value without adjustment factor</v>
      </c>
      <c r="N39" s="141"/>
      <c r="O39" s="142">
        <v>70139</v>
      </c>
      <c r="P39" s="139">
        <v>0.34</v>
      </c>
      <c r="Q39" s="142">
        <f>P39*O39</f>
        <v>23847.260000000002</v>
      </c>
      <c r="R39" s="128"/>
    </row>
    <row r="40" spans="1:18" x14ac:dyDescent="0.2">
      <c r="A40" s="131" t="s">
        <v>28</v>
      </c>
      <c r="B40" s="127"/>
      <c r="C40" s="138">
        <f>SUM(C38:C39)</f>
        <v>46449.18</v>
      </c>
      <c r="D40" s="127"/>
      <c r="E40" s="138">
        <f>SUM(E38:E39)</f>
        <v>13459.607841409594</v>
      </c>
      <c r="F40" s="128"/>
      <c r="G40" s="131" t="s">
        <v>28</v>
      </c>
      <c r="H40" s="127"/>
      <c r="I40" s="138">
        <f>SUM(I38:I39)</f>
        <v>93115</v>
      </c>
      <c r="J40" s="127"/>
      <c r="K40" s="138">
        <f>SUM(K38:K39)</f>
        <v>34140.300856740068</v>
      </c>
      <c r="L40" s="128"/>
      <c r="M40" s="131" t="s">
        <v>28</v>
      </c>
      <c r="N40" s="127"/>
      <c r="O40" s="138">
        <f>SUM(O38:O39)</f>
        <v>93634</v>
      </c>
      <c r="P40" s="127"/>
      <c r="Q40" s="138">
        <f>SUM(Q38:Q39)</f>
        <v>32305.46</v>
      </c>
      <c r="R40" s="128"/>
    </row>
    <row r="41" spans="1:18" x14ac:dyDescent="0.2">
      <c r="A41" s="131"/>
      <c r="B41" s="127"/>
      <c r="C41" s="127"/>
      <c r="D41" s="127"/>
      <c r="E41" s="127"/>
      <c r="F41" s="128"/>
      <c r="G41" s="131"/>
      <c r="H41" s="127"/>
      <c r="I41" s="127"/>
      <c r="J41" s="127"/>
      <c r="K41" s="127"/>
      <c r="L41" s="128"/>
      <c r="M41" s="131"/>
      <c r="N41" s="127"/>
      <c r="O41" s="127"/>
      <c r="P41" s="127"/>
      <c r="Q41" s="127"/>
      <c r="R41" s="128"/>
    </row>
    <row r="42" spans="1:18" x14ac:dyDescent="0.2">
      <c r="A42" s="131" t="s">
        <v>82</v>
      </c>
      <c r="B42" s="127"/>
      <c r="C42" s="127"/>
      <c r="D42" s="127"/>
      <c r="E42" s="138">
        <f>'181018 MF Value'!M18</f>
        <v>10353.559232139991</v>
      </c>
      <c r="F42" s="128"/>
      <c r="G42" s="131" t="s">
        <v>82</v>
      </c>
      <c r="H42" s="127"/>
      <c r="I42" s="127"/>
      <c r="J42" s="127"/>
      <c r="K42" s="138">
        <f>'WUTC_AW of Lynnwood_MF'!D26</f>
        <v>23784.740117789992</v>
      </c>
      <c r="L42" s="128"/>
      <c r="M42" s="131" t="s">
        <v>82</v>
      </c>
      <c r="N42" s="127"/>
      <c r="O42" s="127"/>
      <c r="P42" s="127"/>
      <c r="Q42" s="138">
        <v>35168.339999999997</v>
      </c>
      <c r="R42" s="128"/>
    </row>
    <row r="43" spans="1:18" x14ac:dyDescent="0.2">
      <c r="A43" s="131" t="s">
        <v>152</v>
      </c>
      <c r="B43" s="127"/>
      <c r="C43" s="127"/>
      <c r="D43" s="127"/>
      <c r="E43" s="275">
        <f>'181018 MF Value'!O18</f>
        <v>5176.7796160699954</v>
      </c>
      <c r="F43" s="128"/>
      <c r="G43" s="131"/>
      <c r="H43" s="127"/>
      <c r="I43" s="127"/>
      <c r="J43" s="127"/>
      <c r="K43" s="127"/>
      <c r="L43" s="128"/>
      <c r="M43" s="131"/>
      <c r="N43" s="127"/>
      <c r="O43" s="127"/>
      <c r="P43" s="127"/>
      <c r="Q43" s="127"/>
      <c r="R43" s="128"/>
    </row>
    <row r="44" spans="1:18" x14ac:dyDescent="0.2">
      <c r="A44" s="131" t="s">
        <v>83</v>
      </c>
      <c r="B44" s="127"/>
      <c r="C44" s="127"/>
      <c r="D44" s="127"/>
      <c r="E44" s="138">
        <f>(E42-E43)-E40</f>
        <v>-8282.8282253395992</v>
      </c>
      <c r="F44" s="128"/>
      <c r="G44" s="131" t="s">
        <v>83</v>
      </c>
      <c r="H44" s="127"/>
      <c r="I44" s="127"/>
      <c r="J44" s="127"/>
      <c r="K44" s="138">
        <f>K42-K40</f>
        <v>-10355.560738950076</v>
      </c>
      <c r="L44" s="128"/>
      <c r="M44" s="131" t="s">
        <v>83</v>
      </c>
      <c r="N44" s="127"/>
      <c r="O44" s="127"/>
      <c r="P44" s="127"/>
      <c r="Q44" s="138">
        <f>Q42-Q40</f>
        <v>2862.8799999999974</v>
      </c>
      <c r="R44" s="128"/>
    </row>
    <row r="45" spans="1:18" x14ac:dyDescent="0.2">
      <c r="A45" s="131"/>
      <c r="B45" s="127"/>
      <c r="C45" s="127"/>
      <c r="D45" s="127"/>
      <c r="E45" s="127"/>
      <c r="F45" s="128"/>
      <c r="G45" s="131"/>
      <c r="H45" s="127"/>
      <c r="I45" s="127"/>
      <c r="J45" s="127"/>
      <c r="K45" s="127"/>
      <c r="L45" s="128"/>
      <c r="M45" s="131"/>
      <c r="N45" s="127"/>
      <c r="O45" s="127"/>
      <c r="P45" s="127"/>
      <c r="Q45" s="127"/>
      <c r="R45" s="128"/>
    </row>
    <row r="46" spans="1:18" x14ac:dyDescent="0.2">
      <c r="A46" s="131" t="s">
        <v>84</v>
      </c>
      <c r="B46" s="127"/>
      <c r="C46" s="127"/>
      <c r="D46" s="127"/>
      <c r="E46" s="138">
        <f>+C40</f>
        <v>46449.18</v>
      </c>
      <c r="F46" s="128"/>
      <c r="G46" s="131" t="s">
        <v>84</v>
      </c>
      <c r="H46" s="127"/>
      <c r="I46" s="127"/>
      <c r="J46" s="127"/>
      <c r="K46" s="138">
        <f>+I40</f>
        <v>93115</v>
      </c>
      <c r="L46" s="128"/>
      <c r="M46" s="131" t="s">
        <v>84</v>
      </c>
      <c r="N46" s="127"/>
      <c r="O46" s="127"/>
      <c r="P46" s="127"/>
      <c r="Q46" s="138">
        <f>+O40</f>
        <v>93634</v>
      </c>
      <c r="R46" s="128"/>
    </row>
    <row r="47" spans="1:18" x14ac:dyDescent="0.2">
      <c r="A47" s="131"/>
      <c r="B47" s="127"/>
      <c r="C47" s="127"/>
      <c r="D47" s="127"/>
      <c r="E47" s="127"/>
      <c r="F47" s="128"/>
      <c r="G47" s="131"/>
      <c r="H47" s="127"/>
      <c r="I47" s="127"/>
      <c r="J47" s="127"/>
      <c r="K47" s="127"/>
      <c r="L47" s="128"/>
      <c r="M47" s="131"/>
      <c r="N47" s="127"/>
      <c r="O47" s="127"/>
      <c r="P47" s="127"/>
      <c r="Q47" s="127"/>
      <c r="R47" s="128"/>
    </row>
    <row r="48" spans="1:18" x14ac:dyDescent="0.2">
      <c r="A48" s="131" t="s">
        <v>85</v>
      </c>
      <c r="B48" s="127"/>
      <c r="C48" s="127"/>
      <c r="D48" s="127"/>
      <c r="E48" s="127"/>
      <c r="F48" s="152">
        <f>(E44/E46)</f>
        <v>-0.178320224928397</v>
      </c>
      <c r="G48" s="131" t="s">
        <v>85</v>
      </c>
      <c r="H48" s="127"/>
      <c r="I48" s="127"/>
      <c r="J48" s="127"/>
      <c r="K48" s="127"/>
      <c r="L48" s="152">
        <f>(K44/K46)</f>
        <v>-0.11121259452236563</v>
      </c>
      <c r="M48" s="131" t="s">
        <v>85</v>
      </c>
      <c r="N48" s="127"/>
      <c r="O48" s="127"/>
      <c r="P48" s="127"/>
      <c r="Q48" s="127"/>
      <c r="R48" s="152">
        <f>(Q44/Q46)</f>
        <v>3.0575218403571323E-2</v>
      </c>
    </row>
    <row r="49" spans="1:18" x14ac:dyDescent="0.2">
      <c r="A49" s="131"/>
      <c r="B49" s="127"/>
      <c r="C49" s="127"/>
      <c r="D49" s="127"/>
      <c r="E49" s="138"/>
      <c r="F49" s="128"/>
      <c r="G49" s="131"/>
      <c r="H49" s="127"/>
      <c r="I49" s="127"/>
      <c r="J49" s="127"/>
      <c r="K49" s="138"/>
      <c r="L49" s="128"/>
      <c r="M49" s="131"/>
      <c r="N49" s="127"/>
      <c r="O49" s="127"/>
      <c r="P49" s="127"/>
      <c r="Q49" s="138"/>
      <c r="R49" s="128"/>
    </row>
    <row r="50" spans="1:18" ht="16.5" x14ac:dyDescent="0.35">
      <c r="A50" s="134" t="str">
        <f>A23</f>
        <v>Projected Revenue November 2017-April 2018</v>
      </c>
      <c r="B50" s="135"/>
      <c r="C50" s="127"/>
      <c r="D50" s="127"/>
      <c r="E50" s="144">
        <f>E42</f>
        <v>10353.559232139991</v>
      </c>
      <c r="F50" s="128"/>
      <c r="G50" s="134" t="str">
        <f>G23</f>
        <v>Projected Revenue November 2017-April 2018</v>
      </c>
      <c r="H50" s="135"/>
      <c r="I50" s="127"/>
      <c r="J50" s="127"/>
      <c r="K50" s="144">
        <f>'WUTC_AW of Lynnwood_MF'!D29+'Staff Calc return of carryover'!I6</f>
        <v>9450.6324344851055</v>
      </c>
      <c r="L50" s="128"/>
      <c r="M50" s="134" t="str">
        <f>M23</f>
        <v>Projected Revenue May 2017-April 2018</v>
      </c>
      <c r="N50" s="135"/>
      <c r="O50" s="127"/>
      <c r="P50" s="127"/>
      <c r="Q50" s="144">
        <f>Q42</f>
        <v>35168.339999999997</v>
      </c>
      <c r="R50" s="128"/>
    </row>
    <row r="51" spans="1:18" x14ac:dyDescent="0.2">
      <c r="A51" s="131" t="s">
        <v>84</v>
      </c>
      <c r="B51" s="127"/>
      <c r="C51" s="127"/>
      <c r="D51" s="127"/>
      <c r="E51" s="138">
        <f>E46</f>
        <v>46449.18</v>
      </c>
      <c r="F51" s="128"/>
      <c r="G51" s="131" t="s">
        <v>84</v>
      </c>
      <c r="H51" s="127"/>
      <c r="I51" s="127"/>
      <c r="J51" s="127"/>
      <c r="K51" s="138">
        <f>'WUTC_AW of Lynnwood_MF'!B29</f>
        <v>46377</v>
      </c>
      <c r="L51" s="128"/>
      <c r="M51" s="131" t="s">
        <v>84</v>
      </c>
      <c r="N51" s="127"/>
      <c r="O51" s="127"/>
      <c r="P51" s="127"/>
      <c r="Q51" s="138">
        <f>Q46</f>
        <v>93634</v>
      </c>
      <c r="R51" s="128"/>
    </row>
    <row r="52" spans="1:18" ht="15" x14ac:dyDescent="0.35">
      <c r="A52" s="131" t="s">
        <v>86</v>
      </c>
      <c r="B52" s="127"/>
      <c r="C52" s="127"/>
      <c r="D52" s="127"/>
      <c r="E52" s="127"/>
      <c r="F52" s="153">
        <f>(E50/E51)</f>
        <v>0.222900796787801</v>
      </c>
      <c r="G52" s="131" t="s">
        <v>86</v>
      </c>
      <c r="H52" s="127"/>
      <c r="I52" s="127"/>
      <c r="J52" s="127"/>
      <c r="K52" s="127"/>
      <c r="L52" s="153">
        <f>(K50/K51)</f>
        <v>0.20377843401869689</v>
      </c>
      <c r="M52" s="131" t="s">
        <v>86</v>
      </c>
      <c r="N52" s="127"/>
      <c r="O52" s="127"/>
      <c r="P52" s="127"/>
      <c r="Q52" s="127"/>
      <c r="R52" s="153">
        <f>(Q50/Q51)</f>
        <v>0.37559369459811603</v>
      </c>
    </row>
    <row r="53" spans="1:18" x14ac:dyDescent="0.2">
      <c r="A53" s="131"/>
      <c r="B53" s="127"/>
      <c r="C53" s="127"/>
      <c r="D53" s="127"/>
      <c r="E53" s="127"/>
      <c r="F53" s="128"/>
      <c r="G53" s="131"/>
      <c r="H53" s="127"/>
      <c r="I53" s="127"/>
      <c r="J53" s="127"/>
      <c r="K53" s="127"/>
      <c r="L53" s="128"/>
      <c r="M53" s="131"/>
      <c r="N53" s="127"/>
      <c r="O53" s="127"/>
      <c r="P53" s="127"/>
      <c r="Q53" s="127"/>
      <c r="R53" s="128"/>
    </row>
    <row r="54" spans="1:18" ht="18.75" thickBot="1" x14ac:dyDescent="0.4">
      <c r="A54" s="124" t="s">
        <v>91</v>
      </c>
      <c r="B54" s="125"/>
      <c r="C54" s="127"/>
      <c r="D54" s="127"/>
      <c r="E54" s="127"/>
      <c r="F54" s="146">
        <f>ROUND(+F52+F48,2)</f>
        <v>0.04</v>
      </c>
      <c r="G54" s="124" t="s">
        <v>91</v>
      </c>
      <c r="H54" s="125"/>
      <c r="I54" s="127"/>
      <c r="J54" s="127"/>
      <c r="K54" s="127"/>
      <c r="L54" s="146">
        <f>ROUND(+L52+L48,2)</f>
        <v>0.09</v>
      </c>
      <c r="M54" s="124" t="s">
        <v>91</v>
      </c>
      <c r="N54" s="125"/>
      <c r="O54" s="127"/>
      <c r="P54" s="127"/>
      <c r="Q54" s="127"/>
      <c r="R54" s="146">
        <f>ROUND(+R52+R48,2)</f>
        <v>0.41</v>
      </c>
    </row>
    <row r="55" spans="1:18" ht="18.75" thickTop="1" x14ac:dyDescent="0.35">
      <c r="A55" s="137" t="s">
        <v>88</v>
      </c>
      <c r="B55" s="125"/>
      <c r="C55" s="158">
        <v>0</v>
      </c>
      <c r="D55" s="127"/>
      <c r="E55" s="127"/>
      <c r="F55" s="149">
        <v>0</v>
      </c>
      <c r="G55" s="137" t="s">
        <v>88</v>
      </c>
      <c r="H55" s="125"/>
      <c r="I55" s="158">
        <v>0</v>
      </c>
      <c r="J55" s="127"/>
      <c r="K55" s="127"/>
      <c r="L55" s="149">
        <v>0</v>
      </c>
      <c r="M55" s="137" t="s">
        <v>88</v>
      </c>
      <c r="N55" s="125"/>
      <c r="O55" s="158">
        <v>0</v>
      </c>
      <c r="P55" s="127"/>
      <c r="Q55" s="127"/>
      <c r="R55" s="149">
        <v>7.0000000000000007E-2</v>
      </c>
    </row>
    <row r="56" spans="1:18" ht="15" x14ac:dyDescent="0.35">
      <c r="A56" s="131"/>
      <c r="B56" s="127"/>
      <c r="C56" s="148">
        <f>C55/E51</f>
        <v>0</v>
      </c>
      <c r="D56" s="127"/>
      <c r="E56" s="127"/>
      <c r="F56" s="154"/>
      <c r="G56" s="131"/>
      <c r="H56" s="127"/>
      <c r="I56" s="148">
        <f>I55/K51</f>
        <v>0</v>
      </c>
      <c r="J56" s="127"/>
      <c r="K56" s="127"/>
      <c r="L56" s="154"/>
      <c r="M56" s="131"/>
      <c r="N56" s="127"/>
      <c r="O56" s="148">
        <f>O55/Q51</f>
        <v>0</v>
      </c>
      <c r="P56" s="127"/>
      <c r="Q56" s="127"/>
      <c r="R56" s="154"/>
    </row>
    <row r="57" spans="1:18" ht="18" x14ac:dyDescent="0.35">
      <c r="A57" s="155" t="s">
        <v>89</v>
      </c>
      <c r="B57" s="156"/>
      <c r="C57" s="156"/>
      <c r="D57" s="156"/>
      <c r="E57" s="156"/>
      <c r="F57" s="157">
        <f>ROUND(SUM(F54:F56),2)</f>
        <v>0.04</v>
      </c>
      <c r="G57" s="155" t="s">
        <v>89</v>
      </c>
      <c r="H57" s="156"/>
      <c r="I57" s="156"/>
      <c r="J57" s="156"/>
      <c r="K57" s="156"/>
      <c r="L57" s="157">
        <f>ROUND(SUM(L54:L56),2)</f>
        <v>0.09</v>
      </c>
      <c r="M57" s="155" t="s">
        <v>89</v>
      </c>
      <c r="N57" s="156"/>
      <c r="O57" s="156"/>
      <c r="P57" s="156"/>
      <c r="Q57" s="156"/>
      <c r="R57" s="157">
        <f>ROUND(SUM(R54:R56),2)</f>
        <v>0.48</v>
      </c>
    </row>
  </sheetData>
  <mergeCells count="9">
    <mergeCell ref="M4:R4"/>
    <mergeCell ref="M6:R6"/>
    <mergeCell ref="M33:R33"/>
    <mergeCell ref="A4:F4"/>
    <mergeCell ref="A6:F6"/>
    <mergeCell ref="A33:F33"/>
    <mergeCell ref="G4:L4"/>
    <mergeCell ref="G6:L6"/>
    <mergeCell ref="G33:L33"/>
  </mergeCells>
  <pageMargins left="0.25" right="0.25" top="0.25" bottom="0.25" header="0" footer="0"/>
  <pageSetup scale="93" fitToWidth="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zoomScaleNormal="100" workbookViewId="0">
      <selection activeCell="L14" sqref="L14"/>
    </sheetView>
  </sheetViews>
  <sheetFormatPr defaultRowHeight="12.75" x14ac:dyDescent="0.2"/>
  <cols>
    <col min="1" max="1" width="9.140625" style="123"/>
    <col min="2" max="2" width="2.28515625" style="123" bestFit="1" customWidth="1"/>
    <col min="3" max="12" width="11.7109375" style="123" customWidth="1"/>
    <col min="13" max="16384" width="9.140625" style="123"/>
  </cols>
  <sheetData>
    <row r="1" spans="1:13" x14ac:dyDescent="0.2">
      <c r="A1" s="176" t="str">
        <f>"Commodity Pricing ("&amp;TEXT(A6,"mmmm yyyy")&amp;" through "&amp;TEXT(A17,"mmmm yyyy")&amp;")"</f>
        <v>Commodity Pricing (May 2017 through April 2018)</v>
      </c>
      <c r="B1" s="175"/>
    </row>
    <row r="2" spans="1:13" x14ac:dyDescent="0.2">
      <c r="A2" s="174" t="str">
        <f>'Value (3)'!A2</f>
        <v>Rabanco Ltd (dba Allied Waste of Lynnwood)</v>
      </c>
      <c r="B2" s="174"/>
    </row>
    <row r="3" spans="1:13" x14ac:dyDescent="0.2">
      <c r="A3" s="174"/>
      <c r="B3" s="174"/>
    </row>
    <row r="4" spans="1:13" x14ac:dyDescent="0.2">
      <c r="A4" s="174"/>
      <c r="B4" s="174"/>
    </row>
    <row r="5" spans="1:13" x14ac:dyDescent="0.2">
      <c r="B5" s="171"/>
      <c r="C5" s="172" t="s">
        <v>19</v>
      </c>
      <c r="D5" s="172" t="s">
        <v>20</v>
      </c>
      <c r="E5" s="172" t="s">
        <v>111</v>
      </c>
      <c r="F5" s="172" t="s">
        <v>21</v>
      </c>
      <c r="G5" s="172" t="s">
        <v>22</v>
      </c>
      <c r="H5" s="172" t="s">
        <v>23</v>
      </c>
      <c r="I5" s="172" t="s">
        <v>24</v>
      </c>
      <c r="J5" s="172" t="s">
        <v>25</v>
      </c>
      <c r="K5" s="172" t="s">
        <v>26</v>
      </c>
      <c r="L5" s="172" t="s">
        <v>27</v>
      </c>
      <c r="M5" s="172"/>
    </row>
    <row r="6" spans="1:13" ht="15.75" customHeight="1" x14ac:dyDescent="0.2">
      <c r="A6" s="228">
        <f>'Single Family (3)'!$C$6</f>
        <v>42856</v>
      </c>
      <c r="B6" s="163" t="s">
        <v>124</v>
      </c>
      <c r="C6" s="230">
        <f>'Single Family (3)'!C74</f>
        <v>905.35</v>
      </c>
      <c r="D6" s="229">
        <f>'Single Family (3)'!C76</f>
        <v>-15.91</v>
      </c>
      <c r="E6" s="229">
        <f>'Single Family (3)'!C77</f>
        <v>0</v>
      </c>
      <c r="F6" s="226">
        <f>'Single Family (3)'!C72</f>
        <v>71.989999999999995</v>
      </c>
      <c r="G6" s="230">
        <f>'Single Family (3)'!C69</f>
        <v>65.3</v>
      </c>
      <c r="H6" s="230">
        <f>'Single Family (3)'!C79</f>
        <v>60.14</v>
      </c>
      <c r="I6" s="230">
        <f>'Single Family (3)'!C73</f>
        <v>92.51</v>
      </c>
      <c r="J6" s="230">
        <f>'Single Family (3)'!C73</f>
        <v>92.51</v>
      </c>
      <c r="K6" s="230">
        <f>'Single Family (3)'!C70</f>
        <v>132.68</v>
      </c>
      <c r="L6" s="229">
        <f>'Single Family (3)'!C78</f>
        <v>-134.59</v>
      </c>
      <c r="M6" s="171"/>
    </row>
    <row r="7" spans="1:13" ht="15.75" customHeight="1" x14ac:dyDescent="0.2">
      <c r="A7" s="170">
        <f>+'Commodity Tonnages (3)'!A7</f>
        <v>42916</v>
      </c>
      <c r="B7" s="163" t="s">
        <v>123</v>
      </c>
      <c r="C7" s="230">
        <f>'Single Family (3)'!D74</f>
        <v>894.34</v>
      </c>
      <c r="D7" s="229">
        <f>'Single Family (3)'!D76</f>
        <v>-6.4</v>
      </c>
      <c r="E7" s="229">
        <f>'Single Family (3)'!D77</f>
        <v>0</v>
      </c>
      <c r="F7" s="226">
        <f>'Single Family (3)'!D72</f>
        <v>69.08</v>
      </c>
      <c r="G7" s="230">
        <f>'Single Family (3)'!D69</f>
        <v>85.06</v>
      </c>
      <c r="H7" s="230">
        <f>'Single Family (3)'!D79</f>
        <v>78.88</v>
      </c>
      <c r="I7" s="230">
        <f>'Single Family (3)'!D73</f>
        <v>70.599999999999994</v>
      </c>
      <c r="J7" s="230">
        <f>'Single Family (3)'!D73</f>
        <v>70.599999999999994</v>
      </c>
      <c r="K7" s="230">
        <f>'Single Family (3)'!D70</f>
        <v>159.52000000000001</v>
      </c>
      <c r="L7" s="229">
        <f>'Single Family (3)'!D78</f>
        <v>-134.59</v>
      </c>
      <c r="M7" s="171"/>
    </row>
    <row r="8" spans="1:13" ht="15.75" customHeight="1" x14ac:dyDescent="0.2">
      <c r="A8" s="170">
        <f>+'Commodity Tonnages (3)'!A8</f>
        <v>42947</v>
      </c>
      <c r="B8" s="163" t="s">
        <v>122</v>
      </c>
      <c r="C8" s="230">
        <f>'Single Family (3)'!E74</f>
        <v>871.1</v>
      </c>
      <c r="D8" s="229">
        <f>'Single Family (3)'!E76</f>
        <v>-6.61</v>
      </c>
      <c r="E8" s="229">
        <f>'Single Family (3)'!E77</f>
        <v>0</v>
      </c>
      <c r="F8" s="226">
        <f>'Single Family (3)'!E72</f>
        <v>67.63</v>
      </c>
      <c r="G8" s="230">
        <f>'Single Family (3)'!E69</f>
        <v>98.56</v>
      </c>
      <c r="H8" s="230">
        <f>'Single Family (3)'!E79</f>
        <v>93.44</v>
      </c>
      <c r="I8" s="230">
        <f>'Single Family (3)'!E73</f>
        <v>62.55</v>
      </c>
      <c r="J8" s="230">
        <f>'Single Family (3)'!E73</f>
        <v>62.55</v>
      </c>
      <c r="K8" s="230">
        <f>'Single Family (3)'!E70</f>
        <v>163.29</v>
      </c>
      <c r="L8" s="229">
        <f>'Single Family (3)'!E78</f>
        <v>-134.59</v>
      </c>
      <c r="M8" s="164"/>
    </row>
    <row r="9" spans="1:13" ht="15.75" customHeight="1" x14ac:dyDescent="0.2">
      <c r="A9" s="170">
        <f>+'Commodity Tonnages (3)'!A9</f>
        <v>42978</v>
      </c>
      <c r="B9" s="163" t="s">
        <v>121</v>
      </c>
      <c r="C9" s="230">
        <f>'Single Family (3)'!F74</f>
        <v>905.36</v>
      </c>
      <c r="D9" s="229">
        <f>'Single Family (3)'!F76</f>
        <v>-4.34</v>
      </c>
      <c r="E9" s="229">
        <f>'Single Family (3)'!F77</f>
        <v>0</v>
      </c>
      <c r="F9" s="226">
        <f>'Single Family (3)'!F72</f>
        <v>78.11</v>
      </c>
      <c r="G9" s="230">
        <f>'Single Family (3)'!F69</f>
        <v>81.63</v>
      </c>
      <c r="H9" s="230">
        <f>'Single Family (3)'!F79</f>
        <v>77.209999999999994</v>
      </c>
      <c r="I9" s="230">
        <f>'Single Family (3)'!F73</f>
        <v>83.03</v>
      </c>
      <c r="J9" s="230">
        <f>'Single Family (3)'!F73</f>
        <v>83.03</v>
      </c>
      <c r="K9" s="230">
        <f>'Single Family (3)'!F70</f>
        <v>145.72999999999999</v>
      </c>
      <c r="L9" s="229">
        <f>'Single Family (3)'!F78</f>
        <v>-134.59</v>
      </c>
      <c r="M9" s="164"/>
    </row>
    <row r="10" spans="1:13" ht="15.75" customHeight="1" x14ac:dyDescent="0.2">
      <c r="A10" s="170">
        <f>+'Commodity Tonnages (3)'!A10</f>
        <v>43008</v>
      </c>
      <c r="B10" s="163" t="s">
        <v>120</v>
      </c>
      <c r="C10" s="230">
        <f>'Single Family (3)'!G74</f>
        <v>953.11</v>
      </c>
      <c r="D10" s="229">
        <f>'Single Family (3)'!G76</f>
        <v>-5.61</v>
      </c>
      <c r="E10" s="229">
        <f>'Single Family (3)'!G77</f>
        <v>0</v>
      </c>
      <c r="F10" s="226">
        <f>'Single Family (3)'!G72</f>
        <v>86.53</v>
      </c>
      <c r="G10" s="230">
        <f>'Single Family (3)'!G69</f>
        <v>63.02</v>
      </c>
      <c r="H10" s="230">
        <f>'Single Family (3)'!G79</f>
        <v>57.85</v>
      </c>
      <c r="I10" s="230">
        <f>'Single Family (3)'!G73</f>
        <v>72.099999999999994</v>
      </c>
      <c r="J10" s="230">
        <f>'Single Family (3)'!G73</f>
        <v>72.099999999999994</v>
      </c>
      <c r="K10" s="230">
        <f>'Single Family (3)'!G70</f>
        <v>110.68</v>
      </c>
      <c r="L10" s="229">
        <f>'Single Family (3)'!G78</f>
        <v>-134.59</v>
      </c>
      <c r="M10" s="164"/>
    </row>
    <row r="11" spans="1:13" ht="15.75" customHeight="1" x14ac:dyDescent="0.2">
      <c r="A11" s="170">
        <f>+'Commodity Tonnages (3)'!A11</f>
        <v>43039</v>
      </c>
      <c r="B11" s="163" t="s">
        <v>119</v>
      </c>
      <c r="C11" s="230">
        <f>'Single Family (3)'!H74</f>
        <v>980.71</v>
      </c>
      <c r="D11" s="229">
        <f>'Single Family (3)'!H76</f>
        <v>-8.7799999999999994</v>
      </c>
      <c r="E11" s="229">
        <f>'Single Family (3)'!H77</f>
        <v>0</v>
      </c>
      <c r="F11" s="226">
        <f>'Single Family (3)'!H72</f>
        <v>76.06</v>
      </c>
      <c r="G11" s="230">
        <f>'Single Family (3)'!H69</f>
        <v>60.33</v>
      </c>
      <c r="H11" s="230">
        <f>'Single Family (3)'!H79</f>
        <v>55.22</v>
      </c>
      <c r="I11" s="230">
        <f>'Single Family (3)'!H73</f>
        <v>48.29</v>
      </c>
      <c r="J11" s="230">
        <f>'Single Family (3)'!H73</f>
        <v>48.29</v>
      </c>
      <c r="K11" s="230">
        <f>'Single Family (3)'!H70</f>
        <v>81.77</v>
      </c>
      <c r="L11" s="229">
        <f>'Single Family (3)'!H78</f>
        <v>-134.59</v>
      </c>
      <c r="M11" s="164"/>
    </row>
    <row r="12" spans="1:13" ht="15.75" customHeight="1" x14ac:dyDescent="0.2">
      <c r="A12" s="170">
        <f>+'Commodity Tonnages (3)'!A12</f>
        <v>43069</v>
      </c>
      <c r="B12" s="163" t="s">
        <v>118</v>
      </c>
      <c r="C12" s="230">
        <f>'Single Family (3)'!I74</f>
        <v>971.66</v>
      </c>
      <c r="D12" s="229">
        <f>'Single Family (3)'!I76</f>
        <v>-2.5099999999999998</v>
      </c>
      <c r="E12" s="229">
        <f>'Single Family (3)'!I77</f>
        <v>0</v>
      </c>
      <c r="F12" s="226">
        <f>'Single Family (3)'!I72</f>
        <v>78.08</v>
      </c>
      <c r="G12" s="230">
        <f>'Single Family (3)'!I69</f>
        <v>65.930000000000007</v>
      </c>
      <c r="H12" s="230">
        <f>'Single Family (3)'!I79</f>
        <v>52.85</v>
      </c>
      <c r="I12" s="230">
        <f>'Single Family (3)'!I73</f>
        <v>50.05</v>
      </c>
      <c r="J12" s="230">
        <f>'Single Family (3)'!I73</f>
        <v>50.05</v>
      </c>
      <c r="K12" s="230">
        <f>'Single Family (3)'!I70</f>
        <v>114.18</v>
      </c>
      <c r="L12" s="229">
        <f>'Single Family (3)'!I78</f>
        <v>-134.59</v>
      </c>
      <c r="M12" s="164"/>
    </row>
    <row r="13" spans="1:13" ht="15.75" customHeight="1" x14ac:dyDescent="0.2">
      <c r="A13" s="170">
        <f>+'Commodity Tonnages (3)'!A13</f>
        <v>43100</v>
      </c>
      <c r="B13" s="163" t="s">
        <v>117</v>
      </c>
      <c r="C13" s="230">
        <f>'Single Family (3)'!J74</f>
        <v>973.36</v>
      </c>
      <c r="D13" s="229">
        <f>'Single Family (3)'!J76</f>
        <v>-9.4600000000000009</v>
      </c>
      <c r="E13" s="229">
        <f>'Single Family (3)'!J77</f>
        <v>0</v>
      </c>
      <c r="F13" s="226">
        <f>'Single Family (3)'!J72</f>
        <v>88.61</v>
      </c>
      <c r="G13" s="230">
        <f>'Single Family (3)'!J69</f>
        <v>63.69</v>
      </c>
      <c r="H13" s="230">
        <f>'Single Family (3)'!J79</f>
        <v>49.88</v>
      </c>
      <c r="I13" s="230">
        <f>'Single Family (3)'!J73</f>
        <v>51.67</v>
      </c>
      <c r="J13" s="230">
        <f>'Single Family (3)'!J73</f>
        <v>51.67</v>
      </c>
      <c r="K13" s="230">
        <f>'Single Family (3)'!J70</f>
        <v>107.57</v>
      </c>
      <c r="L13" s="229">
        <f>'Single Family (3)'!J78</f>
        <v>-134.59</v>
      </c>
      <c r="M13" s="164"/>
    </row>
    <row r="14" spans="1:13" ht="15.75" customHeight="1" x14ac:dyDescent="0.2">
      <c r="A14" s="170">
        <f>+'Commodity Tonnages (3)'!A14</f>
        <v>43131</v>
      </c>
      <c r="B14" s="163" t="s">
        <v>116</v>
      </c>
      <c r="C14" s="230">
        <f>'Single Family (3)'!K74</f>
        <v>1013.02</v>
      </c>
      <c r="D14" s="229">
        <f>'Single Family (3)'!K76</f>
        <v>-9.98</v>
      </c>
      <c r="E14" s="229">
        <f>'Single Family (3)'!K77</f>
        <v>0</v>
      </c>
      <c r="F14" s="226">
        <f>'Single Family (3)'!K72</f>
        <v>102.96</v>
      </c>
      <c r="G14" s="230">
        <f>'Single Family (3)'!K69</f>
        <v>39.799999999999997</v>
      </c>
      <c r="H14" s="230">
        <f>'Single Family (3)'!K79</f>
        <v>40.17</v>
      </c>
      <c r="I14" s="230">
        <f>'Single Family (3)'!K73</f>
        <v>53.44</v>
      </c>
      <c r="J14" s="230">
        <f>'Single Family (3)'!K73</f>
        <v>53.44</v>
      </c>
      <c r="K14" s="230">
        <f>'Single Family (3)'!K70</f>
        <v>105.09</v>
      </c>
      <c r="L14" s="229">
        <f>'Single Family (3)'!K78</f>
        <v>-134.59</v>
      </c>
      <c r="M14" s="164"/>
    </row>
    <row r="15" spans="1:13" ht="15.75" customHeight="1" x14ac:dyDescent="0.2">
      <c r="A15" s="170">
        <f>+'Commodity Tonnages (3)'!A15</f>
        <v>43159</v>
      </c>
      <c r="B15" s="163" t="s">
        <v>115</v>
      </c>
      <c r="C15" s="230">
        <f>'Single Family (3)'!L74</f>
        <v>988.19</v>
      </c>
      <c r="D15" s="229">
        <f>'Single Family (3)'!L76</f>
        <v>-8.01</v>
      </c>
      <c r="E15" s="229">
        <f>'Single Family (3)'!L77</f>
        <v>0</v>
      </c>
      <c r="F15" s="226">
        <f>'Single Family (3)'!L72</f>
        <v>92.72</v>
      </c>
      <c r="G15" s="230">
        <f>'Single Family (3)'!L69</f>
        <v>-18.13</v>
      </c>
      <c r="H15" s="230">
        <f>'Single Family (3)'!L79</f>
        <v>-21.81</v>
      </c>
      <c r="I15" s="230">
        <f>'Single Family (3)'!L73</f>
        <v>85.33</v>
      </c>
      <c r="J15" s="230">
        <f>'Single Family (3)'!L73</f>
        <v>85.33</v>
      </c>
      <c r="K15" s="230">
        <f>'Single Family (3)'!L70</f>
        <v>62.76</v>
      </c>
      <c r="L15" s="229">
        <f>'Single Family (3)'!L78</f>
        <v>-134.59</v>
      </c>
      <c r="M15" s="164"/>
    </row>
    <row r="16" spans="1:13" ht="15.75" customHeight="1" x14ac:dyDescent="0.2">
      <c r="A16" s="170">
        <f>+'Commodity Tonnages (3)'!A16</f>
        <v>43190</v>
      </c>
      <c r="B16" s="163" t="s">
        <v>114</v>
      </c>
      <c r="C16" s="230">
        <f>'Single Family (3)'!M74</f>
        <v>977.91</v>
      </c>
      <c r="D16" s="229">
        <f>'Single Family (3)'!M76</f>
        <v>-9</v>
      </c>
      <c r="E16" s="229">
        <f>'Single Family (3)'!M77</f>
        <v>0</v>
      </c>
      <c r="F16" s="226">
        <f>'Single Family (3)'!M72</f>
        <v>106.7</v>
      </c>
      <c r="G16" s="230">
        <f>'Single Family (3)'!M69</f>
        <v>-16.23</v>
      </c>
      <c r="H16" s="230">
        <f>'Single Family (3)'!M79</f>
        <v>-21.39</v>
      </c>
      <c r="I16" s="230">
        <f>'Single Family (3)'!M73</f>
        <v>105.24</v>
      </c>
      <c r="J16" s="230">
        <f>'Single Family (3)'!M73</f>
        <v>105.24</v>
      </c>
      <c r="K16" s="230">
        <f>'Single Family (3)'!M70</f>
        <v>56.69</v>
      </c>
      <c r="L16" s="229">
        <f>'Single Family (3)'!M78</f>
        <v>-134.59</v>
      </c>
      <c r="M16" s="164"/>
    </row>
    <row r="17" spans="1:14" ht="15.75" customHeight="1" x14ac:dyDescent="0.2">
      <c r="A17" s="170">
        <f>+'Commodity Tonnages (3)'!A17</f>
        <v>43220</v>
      </c>
      <c r="B17" s="163" t="s">
        <v>113</v>
      </c>
      <c r="C17" s="230">
        <f>'Single Family (3)'!N74</f>
        <v>989.87</v>
      </c>
      <c r="D17" s="229">
        <f>'Single Family (3)'!N76</f>
        <v>-10.23</v>
      </c>
      <c r="E17" s="229">
        <f>'Single Family (3)'!N77</f>
        <v>0</v>
      </c>
      <c r="F17" s="226">
        <f>'Single Family (3)'!N72</f>
        <v>109.51</v>
      </c>
      <c r="G17" s="230">
        <f>'Single Family (3)'!N69</f>
        <v>0</v>
      </c>
      <c r="H17" s="230">
        <f>'Single Family (3)'!N79</f>
        <v>-20.59</v>
      </c>
      <c r="I17" s="230">
        <f>'Single Family (3)'!N73</f>
        <v>107.91</v>
      </c>
      <c r="J17" s="230">
        <f>'Single Family (3)'!N73</f>
        <v>107.91</v>
      </c>
      <c r="K17" s="230">
        <f>'Single Family (3)'!N70</f>
        <v>57.61</v>
      </c>
      <c r="L17" s="229">
        <f>'Single Family (3)'!N78</f>
        <v>-134.59</v>
      </c>
      <c r="M17" s="164"/>
    </row>
    <row r="18" spans="1:14" x14ac:dyDescent="0.2">
      <c r="A18" s="163"/>
      <c r="B18" s="163"/>
      <c r="C18" s="164"/>
      <c r="D18" s="164"/>
      <c r="E18" s="164"/>
      <c r="F18" s="164"/>
      <c r="G18" s="164"/>
      <c r="H18" s="164"/>
      <c r="I18" s="164"/>
      <c r="J18" s="164"/>
      <c r="K18" s="164"/>
      <c r="L18" s="163"/>
      <c r="M18" s="164"/>
    </row>
    <row r="19" spans="1:14" x14ac:dyDescent="0.2">
      <c r="A19" s="168"/>
      <c r="B19" s="163"/>
      <c r="C19" s="164"/>
      <c r="D19" s="164"/>
      <c r="E19" s="164"/>
      <c r="F19" s="164"/>
      <c r="G19" s="164"/>
      <c r="H19" s="164"/>
      <c r="I19" s="164"/>
      <c r="J19" s="164"/>
      <c r="K19" s="164"/>
      <c r="L19" s="164"/>
      <c r="M19" s="164"/>
      <c r="N19" s="164" t="s">
        <v>29</v>
      </c>
    </row>
    <row r="20" spans="1:14" x14ac:dyDescent="0.2">
      <c r="A20" s="163"/>
      <c r="B20" s="163"/>
      <c r="C20" s="163"/>
      <c r="D20" s="163"/>
      <c r="E20" s="163"/>
      <c r="F20" s="163"/>
      <c r="G20" s="163"/>
      <c r="H20" s="163"/>
      <c r="I20" s="163"/>
      <c r="J20" s="163"/>
      <c r="K20" s="163"/>
      <c r="L20" s="163"/>
      <c r="M20" s="164"/>
    </row>
    <row r="21" spans="1:14" x14ac:dyDescent="0.2">
      <c r="A21" s="163"/>
      <c r="B21" s="163"/>
      <c r="C21" s="163"/>
      <c r="D21" s="163"/>
      <c r="E21" s="163"/>
      <c r="F21" s="163"/>
      <c r="G21" s="163"/>
      <c r="H21" s="163"/>
      <c r="I21" s="163"/>
      <c r="J21" s="163"/>
      <c r="K21" s="163"/>
      <c r="L21" s="163"/>
      <c r="M21" s="164"/>
    </row>
    <row r="22" spans="1:14" x14ac:dyDescent="0.2">
      <c r="A22" s="163"/>
      <c r="B22" s="163"/>
      <c r="C22" s="163"/>
      <c r="D22" s="163"/>
      <c r="F22" s="163"/>
      <c r="G22" s="163"/>
      <c r="H22" s="163"/>
      <c r="I22" s="163"/>
      <c r="J22" s="163"/>
      <c r="K22" s="163"/>
      <c r="L22" s="163"/>
      <c r="M22" s="164"/>
    </row>
    <row r="23" spans="1:14" x14ac:dyDescent="0.2">
      <c r="A23" s="163"/>
      <c r="B23" s="163"/>
      <c r="C23" s="163"/>
      <c r="D23" s="163"/>
      <c r="F23" s="163"/>
      <c r="G23" s="163"/>
      <c r="H23" s="163"/>
      <c r="I23" s="163"/>
      <c r="J23" s="163"/>
      <c r="K23" s="163"/>
      <c r="L23" s="163"/>
      <c r="M23" s="164"/>
    </row>
    <row r="24" spans="1:14" x14ac:dyDescent="0.2">
      <c r="A24" s="163"/>
      <c r="B24" s="163"/>
      <c r="C24" s="163"/>
      <c r="D24" s="163"/>
      <c r="G24" s="163"/>
      <c r="H24" s="163"/>
      <c r="I24" s="163"/>
      <c r="J24" s="163"/>
      <c r="K24" s="163"/>
      <c r="L24" s="163"/>
      <c r="M24" s="164"/>
    </row>
    <row r="25" spans="1:14" x14ac:dyDescent="0.2">
      <c r="A25" s="163"/>
      <c r="B25" s="163"/>
      <c r="C25" s="163"/>
      <c r="D25" s="163"/>
      <c r="F25" s="163"/>
      <c r="G25" s="163"/>
      <c r="H25" s="163"/>
      <c r="I25" s="163"/>
      <c r="J25" s="163"/>
      <c r="K25" s="163"/>
      <c r="L25" s="163"/>
      <c r="M25" s="164"/>
    </row>
    <row r="26" spans="1:14" x14ac:dyDescent="0.2">
      <c r="A26" s="163"/>
      <c r="B26" s="163"/>
      <c r="C26" s="163"/>
      <c r="D26" s="163"/>
      <c r="F26" s="163"/>
      <c r="G26" s="163"/>
      <c r="H26" s="163"/>
      <c r="I26" s="163"/>
      <c r="J26" s="163"/>
      <c r="K26" s="163"/>
      <c r="L26" s="163"/>
      <c r="M26" s="164"/>
    </row>
    <row r="27" spans="1:14" x14ac:dyDescent="0.2">
      <c r="A27" s="163"/>
      <c r="B27" s="163"/>
      <c r="C27" s="163"/>
      <c r="D27" s="163"/>
      <c r="F27" s="163"/>
      <c r="G27" s="163"/>
      <c r="H27" s="163"/>
      <c r="I27" s="163"/>
      <c r="J27" s="163"/>
      <c r="K27" s="163"/>
      <c r="L27" s="163"/>
      <c r="M27" s="164"/>
    </row>
    <row r="28" spans="1:14" x14ac:dyDescent="0.2">
      <c r="A28" s="163"/>
      <c r="B28" s="163"/>
      <c r="C28" s="163"/>
      <c r="D28" s="163"/>
      <c r="F28" s="163"/>
      <c r="G28" s="163"/>
      <c r="H28" s="163"/>
      <c r="I28" s="163"/>
      <c r="J28" s="163"/>
      <c r="K28" s="163"/>
      <c r="L28" s="163"/>
      <c r="M28" s="164"/>
    </row>
    <row r="29" spans="1:14" x14ac:dyDescent="0.2">
      <c r="A29" s="163"/>
      <c r="B29" s="163"/>
      <c r="C29" s="163"/>
      <c r="D29" s="163"/>
      <c r="F29" s="163"/>
      <c r="G29" s="163"/>
      <c r="H29" s="163"/>
      <c r="I29" s="163"/>
      <c r="J29" s="163"/>
      <c r="K29" s="163"/>
      <c r="L29" s="163"/>
      <c r="M29" s="164"/>
    </row>
    <row r="30" spans="1:14" x14ac:dyDescent="0.2">
      <c r="A30" s="163"/>
      <c r="B30" s="163"/>
      <c r="C30" s="163"/>
      <c r="D30" s="163"/>
      <c r="F30" s="163"/>
      <c r="G30" s="163"/>
      <c r="H30" s="163"/>
      <c r="I30" s="163"/>
      <c r="J30" s="163"/>
      <c r="K30" s="163"/>
      <c r="L30" s="163"/>
      <c r="M30" s="163"/>
    </row>
    <row r="31" spans="1:14" x14ac:dyDescent="0.2">
      <c r="A31" s="163"/>
      <c r="B31" s="163"/>
      <c r="C31" s="163"/>
      <c r="D31" s="163"/>
      <c r="F31" s="163"/>
      <c r="G31" s="163"/>
      <c r="H31" s="163"/>
      <c r="I31" s="163"/>
      <c r="J31" s="163"/>
      <c r="K31" s="163"/>
      <c r="L31" s="163"/>
      <c r="M31" s="163"/>
    </row>
    <row r="32" spans="1:14" x14ac:dyDescent="0.2">
      <c r="A32" s="163"/>
      <c r="B32" s="163"/>
      <c r="C32" s="163"/>
      <c r="D32" s="163"/>
      <c r="F32" s="163"/>
      <c r="G32" s="163"/>
      <c r="H32" s="163"/>
      <c r="I32" s="163"/>
      <c r="J32" s="163"/>
      <c r="K32" s="163"/>
      <c r="L32" s="163"/>
      <c r="M32" s="163"/>
    </row>
    <row r="33" spans="1:13" x14ac:dyDescent="0.2">
      <c r="A33" s="163"/>
      <c r="B33" s="163"/>
      <c r="C33" s="163"/>
      <c r="D33" s="163"/>
      <c r="F33" s="163"/>
      <c r="G33" s="163"/>
      <c r="H33" s="163"/>
      <c r="I33" s="163"/>
      <c r="J33" s="163"/>
      <c r="K33" s="163"/>
      <c r="L33" s="163"/>
      <c r="M33" s="163"/>
    </row>
    <row r="34" spans="1:13" x14ac:dyDescent="0.2">
      <c r="A34" s="163"/>
      <c r="B34" s="163"/>
      <c r="C34" s="163"/>
      <c r="D34" s="163"/>
      <c r="E34" s="163"/>
      <c r="F34" s="163"/>
      <c r="G34" s="163"/>
      <c r="H34" s="163"/>
      <c r="I34" s="163"/>
      <c r="J34" s="163"/>
      <c r="K34" s="163"/>
      <c r="L34" s="163"/>
      <c r="M34" s="163"/>
    </row>
    <row r="35" spans="1:13" x14ac:dyDescent="0.2">
      <c r="A35" s="163"/>
      <c r="B35" s="163"/>
      <c r="C35" s="163"/>
      <c r="D35" s="163"/>
      <c r="E35" s="163"/>
      <c r="F35" s="163"/>
      <c r="G35" s="163"/>
      <c r="H35" s="163"/>
      <c r="I35" s="163"/>
      <c r="J35" s="163"/>
      <c r="K35" s="163"/>
      <c r="L35" s="163"/>
      <c r="M35" s="163"/>
    </row>
    <row r="36" spans="1:13" x14ac:dyDescent="0.2">
      <c r="A36" s="163"/>
      <c r="B36" s="163"/>
      <c r="C36" s="163"/>
      <c r="D36" s="163"/>
      <c r="E36" s="163"/>
      <c r="F36" s="163"/>
      <c r="G36" s="163"/>
      <c r="H36" s="163"/>
      <c r="I36" s="163"/>
      <c r="J36" s="163"/>
      <c r="K36" s="163"/>
      <c r="L36" s="163"/>
      <c r="M36" s="163"/>
    </row>
    <row r="37" spans="1:13" x14ac:dyDescent="0.2">
      <c r="A37" s="163"/>
      <c r="B37" s="163"/>
      <c r="C37" s="163"/>
      <c r="D37" s="163"/>
      <c r="E37" s="163"/>
      <c r="F37" s="163"/>
      <c r="G37" s="163"/>
      <c r="H37" s="163"/>
      <c r="I37" s="163"/>
      <c r="J37" s="163"/>
      <c r="K37" s="163"/>
      <c r="L37" s="163"/>
      <c r="M37" s="163"/>
    </row>
    <row r="38" spans="1:13" x14ac:dyDescent="0.2">
      <c r="A38" s="163"/>
      <c r="B38" s="163"/>
      <c r="C38" s="163"/>
      <c r="D38" s="163"/>
      <c r="E38" s="163"/>
      <c r="F38" s="163"/>
      <c r="G38" s="163"/>
      <c r="H38" s="163"/>
      <c r="I38" s="163"/>
      <c r="J38" s="163"/>
      <c r="K38" s="163"/>
      <c r="L38" s="163"/>
      <c r="M38" s="163"/>
    </row>
    <row r="39" spans="1:13" x14ac:dyDescent="0.2">
      <c r="A39" s="163"/>
      <c r="B39" s="163"/>
      <c r="C39" s="163"/>
      <c r="D39" s="163"/>
      <c r="E39" s="163"/>
      <c r="F39" s="163"/>
      <c r="G39" s="163"/>
      <c r="H39" s="163"/>
      <c r="I39" s="163"/>
      <c r="J39" s="163"/>
      <c r="K39" s="163"/>
      <c r="L39" s="163"/>
      <c r="M39" s="163"/>
    </row>
    <row r="40" spans="1:13" x14ac:dyDescent="0.2">
      <c r="A40" s="163"/>
      <c r="B40" s="163"/>
      <c r="C40" s="163"/>
      <c r="D40" s="163"/>
      <c r="E40" s="163"/>
      <c r="F40" s="163"/>
      <c r="G40" s="163"/>
      <c r="H40" s="163"/>
      <c r="I40" s="163"/>
      <c r="J40" s="163"/>
      <c r="K40" s="163"/>
      <c r="L40" s="163"/>
      <c r="M40" s="163"/>
    </row>
    <row r="41" spans="1:13" x14ac:dyDescent="0.2">
      <c r="A41" s="163"/>
      <c r="B41" s="163"/>
      <c r="C41" s="163"/>
      <c r="D41" s="163"/>
      <c r="E41" s="163"/>
      <c r="F41" s="163"/>
      <c r="G41" s="163"/>
      <c r="H41" s="163"/>
      <c r="I41" s="163"/>
      <c r="J41" s="163"/>
      <c r="K41" s="163"/>
      <c r="L41" s="163"/>
      <c r="M41" s="163"/>
    </row>
    <row r="42" spans="1:13" x14ac:dyDescent="0.2">
      <c r="A42" s="163"/>
      <c r="B42" s="163"/>
      <c r="C42" s="163"/>
      <c r="D42" s="163"/>
      <c r="E42" s="163"/>
      <c r="F42" s="163"/>
      <c r="G42" s="163"/>
      <c r="H42" s="163"/>
      <c r="I42" s="163"/>
      <c r="J42" s="163"/>
      <c r="K42" s="163"/>
      <c r="L42" s="163"/>
      <c r="M42" s="163"/>
    </row>
    <row r="43" spans="1:13" x14ac:dyDescent="0.2">
      <c r="A43" s="163"/>
      <c r="B43" s="163"/>
      <c r="C43" s="163"/>
      <c r="D43" s="163"/>
      <c r="E43" s="163"/>
      <c r="F43" s="163"/>
      <c r="G43" s="163"/>
      <c r="H43" s="163"/>
      <c r="I43" s="163"/>
      <c r="J43" s="163"/>
      <c r="K43" s="163"/>
      <c r="L43" s="163"/>
      <c r="M43" s="163"/>
    </row>
    <row r="44" spans="1:13" x14ac:dyDescent="0.2">
      <c r="A44" s="163"/>
      <c r="B44" s="163"/>
      <c r="C44" s="163"/>
      <c r="D44" s="163"/>
      <c r="E44" s="163"/>
      <c r="F44" s="163"/>
      <c r="G44" s="163"/>
      <c r="H44" s="163"/>
      <c r="I44" s="163"/>
      <c r="J44" s="163"/>
      <c r="K44" s="163"/>
      <c r="L44" s="163"/>
      <c r="M44" s="163"/>
    </row>
    <row r="45" spans="1:13" x14ac:dyDescent="0.2">
      <c r="A45" s="163"/>
      <c r="B45" s="163"/>
      <c r="C45" s="163"/>
      <c r="D45" s="163"/>
      <c r="E45" s="163"/>
      <c r="F45" s="163"/>
      <c r="G45" s="163"/>
      <c r="H45" s="163"/>
      <c r="I45" s="163"/>
      <c r="J45" s="163"/>
      <c r="K45" s="163"/>
      <c r="L45" s="163"/>
      <c r="M45" s="163"/>
    </row>
    <row r="46" spans="1:13" x14ac:dyDescent="0.2">
      <c r="A46" s="163"/>
      <c r="B46" s="163"/>
      <c r="C46" s="163"/>
      <c r="D46" s="163"/>
      <c r="E46" s="163"/>
      <c r="F46" s="163"/>
      <c r="G46" s="163"/>
      <c r="H46" s="163"/>
      <c r="I46" s="163"/>
      <c r="J46" s="163"/>
      <c r="K46" s="163"/>
      <c r="L46" s="163"/>
      <c r="M46" s="163"/>
    </row>
    <row r="47" spans="1:13" x14ac:dyDescent="0.2">
      <c r="A47" s="163"/>
      <c r="B47" s="163"/>
      <c r="C47" s="163"/>
      <c r="D47" s="163"/>
      <c r="E47" s="163"/>
      <c r="F47" s="163"/>
      <c r="G47" s="163"/>
      <c r="H47" s="163"/>
      <c r="I47" s="163"/>
      <c r="J47" s="163"/>
      <c r="K47" s="163"/>
      <c r="L47" s="163"/>
      <c r="M47" s="163"/>
    </row>
    <row r="48" spans="1:13" x14ac:dyDescent="0.2">
      <c r="A48" s="163"/>
      <c r="B48" s="163"/>
      <c r="C48" s="163"/>
      <c r="D48" s="163"/>
      <c r="E48" s="163"/>
      <c r="F48" s="163"/>
      <c r="G48" s="163"/>
      <c r="H48" s="163"/>
      <c r="I48" s="163"/>
      <c r="J48" s="163"/>
      <c r="K48" s="163"/>
      <c r="L48" s="163"/>
      <c r="M48" s="163"/>
    </row>
    <row r="49" spans="1:13" x14ac:dyDescent="0.2">
      <c r="A49" s="163"/>
      <c r="B49" s="163"/>
      <c r="C49" s="163"/>
      <c r="D49" s="163"/>
      <c r="E49" s="163"/>
      <c r="F49" s="163"/>
      <c r="G49" s="163"/>
      <c r="H49" s="163"/>
      <c r="I49" s="163"/>
      <c r="J49" s="163"/>
      <c r="K49" s="163"/>
      <c r="L49" s="163"/>
      <c r="M49" s="163"/>
    </row>
    <row r="50" spans="1:13" x14ac:dyDescent="0.2">
      <c r="A50" s="163"/>
      <c r="B50" s="163"/>
      <c r="C50" s="163"/>
      <c r="D50" s="163"/>
      <c r="E50" s="163"/>
      <c r="F50" s="163"/>
      <c r="G50" s="163"/>
      <c r="H50" s="163"/>
      <c r="I50" s="163"/>
      <c r="J50" s="163"/>
      <c r="K50" s="163"/>
      <c r="L50" s="163"/>
      <c r="M50" s="163"/>
    </row>
    <row r="51" spans="1:13" x14ac:dyDescent="0.2">
      <c r="A51" s="163"/>
      <c r="B51" s="163"/>
      <c r="C51" s="163"/>
      <c r="D51" s="163"/>
      <c r="E51" s="163"/>
      <c r="F51" s="163"/>
      <c r="G51" s="163"/>
      <c r="H51" s="163"/>
      <c r="I51" s="163"/>
      <c r="J51" s="163"/>
      <c r="K51" s="163"/>
      <c r="L51" s="163"/>
      <c r="M51" s="163"/>
    </row>
    <row r="52" spans="1:13" x14ac:dyDescent="0.2">
      <c r="A52" s="163"/>
      <c r="B52" s="163"/>
      <c r="C52" s="163"/>
      <c r="D52" s="163"/>
      <c r="E52" s="163"/>
      <c r="F52" s="163"/>
      <c r="G52" s="163"/>
      <c r="H52" s="163"/>
      <c r="I52" s="163"/>
      <c r="J52" s="163"/>
      <c r="K52" s="163"/>
      <c r="L52" s="163"/>
      <c r="M52" s="163"/>
    </row>
    <row r="53" spans="1:13" x14ac:dyDescent="0.2">
      <c r="A53" s="163"/>
      <c r="B53" s="163"/>
      <c r="C53" s="163"/>
      <c r="D53" s="163"/>
      <c r="E53" s="163"/>
      <c r="F53" s="163"/>
      <c r="G53" s="163"/>
      <c r="H53" s="163"/>
      <c r="I53" s="163"/>
      <c r="J53" s="163"/>
      <c r="K53" s="163"/>
      <c r="L53" s="163"/>
      <c r="M53" s="163"/>
    </row>
    <row r="54" spans="1:13" x14ac:dyDescent="0.2">
      <c r="A54" s="163"/>
      <c r="B54" s="163"/>
      <c r="C54" s="163"/>
      <c r="D54" s="163"/>
      <c r="E54" s="163"/>
      <c r="F54" s="163"/>
      <c r="G54" s="163"/>
      <c r="H54" s="163"/>
      <c r="I54" s="163"/>
      <c r="J54" s="163"/>
      <c r="K54" s="163"/>
      <c r="L54" s="163"/>
      <c r="M54" s="163"/>
    </row>
    <row r="55" spans="1:13" x14ac:dyDescent="0.2">
      <c r="A55" s="163"/>
      <c r="B55" s="163"/>
      <c r="C55" s="163"/>
      <c r="D55" s="163"/>
      <c r="E55" s="163"/>
      <c r="F55" s="163"/>
      <c r="G55" s="163"/>
      <c r="H55" s="163"/>
      <c r="I55" s="163"/>
      <c r="J55" s="163"/>
      <c r="K55" s="163"/>
      <c r="L55" s="163"/>
      <c r="M55" s="163"/>
    </row>
    <row r="56" spans="1:13" x14ac:dyDescent="0.2">
      <c r="A56" s="163"/>
      <c r="B56" s="163"/>
      <c r="C56" s="163"/>
      <c r="D56" s="163"/>
      <c r="E56" s="163"/>
      <c r="F56" s="163"/>
      <c r="G56" s="163"/>
      <c r="H56" s="163"/>
      <c r="I56" s="163"/>
      <c r="J56" s="163"/>
      <c r="K56" s="163"/>
      <c r="L56" s="163"/>
      <c r="M56" s="163"/>
    </row>
    <row r="57" spans="1:13" x14ac:dyDescent="0.2">
      <c r="A57" s="163"/>
      <c r="B57" s="163"/>
      <c r="C57" s="163"/>
      <c r="D57" s="163"/>
      <c r="E57" s="163"/>
      <c r="F57" s="163"/>
      <c r="G57" s="163"/>
      <c r="H57" s="163"/>
      <c r="I57" s="163"/>
      <c r="J57" s="163"/>
      <c r="K57" s="163"/>
      <c r="L57" s="163"/>
      <c r="M57" s="163"/>
    </row>
    <row r="58" spans="1:13" x14ac:dyDescent="0.2">
      <c r="A58" s="163"/>
      <c r="B58" s="163"/>
      <c r="C58" s="163"/>
      <c r="D58" s="163"/>
      <c r="E58" s="163"/>
      <c r="F58" s="163"/>
      <c r="G58" s="163"/>
      <c r="H58" s="163"/>
      <c r="I58" s="163"/>
      <c r="J58" s="163"/>
      <c r="K58" s="163"/>
      <c r="L58" s="163"/>
      <c r="M58" s="163"/>
    </row>
    <row r="59" spans="1:13" x14ac:dyDescent="0.2">
      <c r="A59" s="163"/>
      <c r="B59" s="163"/>
      <c r="C59" s="163"/>
      <c r="D59" s="163"/>
      <c r="E59" s="163"/>
      <c r="F59" s="163"/>
      <c r="G59" s="163"/>
      <c r="H59" s="163"/>
      <c r="I59" s="163"/>
      <c r="J59" s="163"/>
      <c r="K59" s="163"/>
      <c r="L59" s="163"/>
      <c r="M59" s="163"/>
    </row>
    <row r="60" spans="1:13" x14ac:dyDescent="0.2">
      <c r="A60" s="163"/>
      <c r="B60" s="163"/>
      <c r="C60" s="163"/>
      <c r="D60" s="163"/>
      <c r="E60" s="163"/>
      <c r="F60" s="163"/>
      <c r="G60" s="163"/>
      <c r="H60" s="163"/>
      <c r="I60" s="163"/>
      <c r="J60" s="163"/>
      <c r="K60" s="163"/>
      <c r="L60" s="163"/>
      <c r="M60" s="163"/>
    </row>
    <row r="61" spans="1:13" x14ac:dyDescent="0.2">
      <c r="A61" s="163"/>
      <c r="B61" s="163"/>
      <c r="C61" s="163"/>
      <c r="D61" s="163"/>
      <c r="E61" s="163"/>
      <c r="F61" s="163"/>
      <c r="G61" s="163"/>
      <c r="H61" s="163"/>
      <c r="I61" s="163"/>
      <c r="J61" s="163"/>
      <c r="K61" s="163"/>
      <c r="L61" s="163"/>
      <c r="M61" s="163"/>
    </row>
    <row r="62" spans="1:13" x14ac:dyDescent="0.2">
      <c r="A62" s="163"/>
      <c r="B62" s="163"/>
      <c r="C62" s="163"/>
      <c r="D62" s="163"/>
      <c r="E62" s="163"/>
      <c r="F62" s="163"/>
      <c r="G62" s="163"/>
      <c r="H62" s="163"/>
      <c r="I62" s="163"/>
      <c r="J62" s="163"/>
      <c r="K62" s="163"/>
      <c r="L62" s="163"/>
      <c r="M62" s="163"/>
    </row>
    <row r="63" spans="1:13" x14ac:dyDescent="0.2">
      <c r="A63" s="163"/>
      <c r="B63" s="163"/>
      <c r="C63" s="163"/>
      <c r="D63" s="163"/>
      <c r="E63" s="163"/>
      <c r="F63" s="163"/>
      <c r="G63" s="163"/>
      <c r="H63" s="163"/>
      <c r="I63" s="163"/>
      <c r="J63" s="163"/>
      <c r="K63" s="163"/>
      <c r="L63" s="163"/>
      <c r="M63" s="163"/>
    </row>
    <row r="64" spans="1:13" x14ac:dyDescent="0.2">
      <c r="A64" s="163"/>
      <c r="B64" s="163"/>
      <c r="C64" s="163"/>
      <c r="D64" s="163"/>
      <c r="E64" s="163"/>
      <c r="F64" s="163"/>
      <c r="G64" s="163"/>
      <c r="H64" s="163"/>
      <c r="I64" s="163"/>
      <c r="J64" s="163"/>
      <c r="K64" s="163"/>
      <c r="L64" s="163"/>
      <c r="M64" s="163"/>
    </row>
    <row r="65" spans="1:13" x14ac:dyDescent="0.2">
      <c r="A65" s="163"/>
      <c r="B65" s="163"/>
      <c r="C65" s="163"/>
      <c r="D65" s="163"/>
      <c r="E65" s="163"/>
      <c r="F65" s="163"/>
      <c r="G65" s="163"/>
      <c r="H65" s="163"/>
      <c r="I65" s="163"/>
      <c r="J65" s="163"/>
      <c r="K65" s="163"/>
      <c r="L65" s="163"/>
      <c r="M65" s="163"/>
    </row>
    <row r="66" spans="1:13" x14ac:dyDescent="0.2">
      <c r="A66" s="163"/>
      <c r="B66" s="163"/>
      <c r="C66" s="163"/>
      <c r="D66" s="163"/>
      <c r="E66" s="163"/>
      <c r="F66" s="163"/>
      <c r="G66" s="163"/>
      <c r="H66" s="163"/>
      <c r="I66" s="163"/>
      <c r="J66" s="163"/>
      <c r="K66" s="163"/>
      <c r="L66" s="163"/>
      <c r="M66" s="163"/>
    </row>
    <row r="67" spans="1:13" x14ac:dyDescent="0.2">
      <c r="A67" s="163"/>
      <c r="B67" s="163"/>
      <c r="C67" s="163"/>
      <c r="D67" s="163"/>
      <c r="E67" s="163"/>
      <c r="F67" s="163"/>
      <c r="G67" s="163"/>
      <c r="H67" s="163"/>
      <c r="I67" s="163"/>
      <c r="J67" s="163"/>
      <c r="K67" s="163"/>
      <c r="L67" s="163"/>
      <c r="M67" s="163"/>
    </row>
    <row r="68" spans="1:13" x14ac:dyDescent="0.2">
      <c r="A68" s="163"/>
      <c r="B68" s="163"/>
      <c r="C68" s="163"/>
      <c r="D68" s="163"/>
      <c r="E68" s="163"/>
      <c r="F68" s="163"/>
      <c r="G68" s="163"/>
      <c r="H68" s="163"/>
      <c r="I68" s="163"/>
      <c r="J68" s="163"/>
      <c r="K68" s="163"/>
      <c r="L68" s="163"/>
      <c r="M68" s="163"/>
    </row>
    <row r="69" spans="1:13" x14ac:dyDescent="0.2">
      <c r="A69" s="163"/>
      <c r="B69" s="163"/>
      <c r="C69" s="163"/>
      <c r="D69" s="163"/>
      <c r="E69" s="163"/>
      <c r="F69" s="163"/>
      <c r="G69" s="163"/>
      <c r="H69" s="163"/>
      <c r="I69" s="163"/>
      <c r="J69" s="163"/>
      <c r="K69" s="163"/>
      <c r="L69" s="163"/>
      <c r="M69" s="163"/>
    </row>
    <row r="70" spans="1:13" x14ac:dyDescent="0.2">
      <c r="A70" s="163"/>
      <c r="B70" s="163"/>
      <c r="C70" s="163"/>
      <c r="D70" s="163"/>
      <c r="E70" s="163"/>
      <c r="F70" s="163"/>
      <c r="G70" s="163"/>
      <c r="H70" s="163"/>
      <c r="I70" s="163"/>
      <c r="J70" s="163"/>
      <c r="K70" s="163"/>
      <c r="L70" s="163"/>
      <c r="M70" s="163"/>
    </row>
    <row r="71" spans="1:13" x14ac:dyDescent="0.2">
      <c r="A71" s="163"/>
      <c r="B71" s="163"/>
      <c r="C71" s="163"/>
      <c r="D71" s="163"/>
      <c r="E71" s="163"/>
      <c r="F71" s="163"/>
      <c r="G71" s="163"/>
      <c r="H71" s="163"/>
      <c r="I71" s="163"/>
      <c r="J71" s="163"/>
      <c r="K71" s="163"/>
      <c r="L71" s="163"/>
      <c r="M71" s="163"/>
    </row>
    <row r="72" spans="1:13" x14ac:dyDescent="0.2">
      <c r="A72" s="163"/>
      <c r="B72" s="163"/>
      <c r="C72" s="163"/>
      <c r="D72" s="163"/>
      <c r="E72" s="163"/>
      <c r="F72" s="163"/>
      <c r="G72" s="163"/>
      <c r="H72" s="163"/>
      <c r="I72" s="163"/>
      <c r="J72" s="163"/>
      <c r="K72" s="163"/>
      <c r="L72" s="163"/>
      <c r="M72" s="163"/>
    </row>
    <row r="73" spans="1:13" x14ac:dyDescent="0.2">
      <c r="A73" s="163"/>
      <c r="B73" s="163"/>
      <c r="C73" s="163"/>
      <c r="D73" s="163"/>
      <c r="E73" s="163"/>
      <c r="F73" s="163"/>
      <c r="G73" s="163"/>
      <c r="H73" s="163"/>
      <c r="I73" s="163"/>
      <c r="J73" s="163"/>
      <c r="K73" s="163"/>
      <c r="L73" s="163"/>
      <c r="M73" s="163"/>
    </row>
    <row r="74" spans="1:13" x14ac:dyDescent="0.2">
      <c r="A74" s="163"/>
      <c r="B74" s="163"/>
      <c r="C74" s="163"/>
      <c r="D74" s="163"/>
      <c r="E74" s="163"/>
      <c r="F74" s="163"/>
      <c r="G74" s="163"/>
      <c r="H74" s="163"/>
      <c r="I74" s="163"/>
      <c r="J74" s="163"/>
      <c r="K74" s="163"/>
      <c r="L74" s="163"/>
      <c r="M74" s="163"/>
    </row>
    <row r="75" spans="1:13" x14ac:dyDescent="0.2">
      <c r="A75" s="163"/>
      <c r="B75" s="163"/>
      <c r="C75" s="163"/>
      <c r="D75" s="163"/>
      <c r="E75" s="163"/>
      <c r="F75" s="163"/>
      <c r="G75" s="163"/>
      <c r="H75" s="163"/>
      <c r="I75" s="163"/>
      <c r="J75" s="163"/>
      <c r="K75" s="163"/>
      <c r="L75" s="163"/>
      <c r="M75" s="163"/>
    </row>
    <row r="76" spans="1:13" x14ac:dyDescent="0.2">
      <c r="A76" s="163"/>
      <c r="B76" s="163"/>
      <c r="C76" s="163"/>
      <c r="D76" s="163"/>
      <c r="E76" s="163"/>
      <c r="F76" s="163"/>
      <c r="G76" s="163"/>
      <c r="H76" s="163"/>
      <c r="I76" s="163"/>
      <c r="J76" s="163"/>
      <c r="K76" s="163"/>
      <c r="L76" s="163"/>
      <c r="M76" s="163"/>
    </row>
    <row r="77" spans="1:13" x14ac:dyDescent="0.2">
      <c r="A77" s="163"/>
      <c r="B77" s="163"/>
      <c r="C77" s="163"/>
      <c r="D77" s="163"/>
      <c r="E77" s="163"/>
      <c r="F77" s="163"/>
      <c r="G77" s="163"/>
      <c r="H77" s="163"/>
      <c r="I77" s="163"/>
      <c r="J77" s="163"/>
      <c r="K77" s="163"/>
      <c r="L77" s="163"/>
      <c r="M77" s="163"/>
    </row>
    <row r="78" spans="1:13" x14ac:dyDescent="0.2">
      <c r="A78" s="163"/>
      <c r="B78" s="163"/>
      <c r="C78" s="163"/>
      <c r="D78" s="163"/>
      <c r="E78" s="163"/>
      <c r="F78" s="163"/>
      <c r="G78" s="163"/>
      <c r="H78" s="163"/>
      <c r="I78" s="163"/>
      <c r="J78" s="163"/>
      <c r="K78" s="163"/>
      <c r="L78" s="163"/>
      <c r="M78" s="163"/>
    </row>
    <row r="79" spans="1:13" x14ac:dyDescent="0.2">
      <c r="A79" s="163"/>
      <c r="B79" s="163"/>
      <c r="C79" s="163"/>
      <c r="D79" s="163"/>
      <c r="E79" s="163"/>
      <c r="F79" s="163"/>
      <c r="G79" s="163"/>
      <c r="H79" s="163"/>
      <c r="I79" s="163"/>
      <c r="J79" s="163"/>
      <c r="K79" s="163"/>
      <c r="L79" s="163"/>
      <c r="M79" s="163"/>
    </row>
    <row r="80" spans="1:13" x14ac:dyDescent="0.2">
      <c r="A80" s="163"/>
      <c r="B80" s="163"/>
      <c r="C80" s="163"/>
      <c r="D80" s="163"/>
      <c r="E80" s="163"/>
      <c r="F80" s="163"/>
      <c r="G80" s="163"/>
      <c r="H80" s="163"/>
      <c r="I80" s="163"/>
      <c r="J80" s="163"/>
      <c r="K80" s="163"/>
      <c r="L80" s="163"/>
      <c r="M80" s="163"/>
    </row>
    <row r="81" spans="1:13" x14ac:dyDescent="0.2">
      <c r="A81" s="163"/>
      <c r="B81" s="163"/>
      <c r="C81" s="163"/>
      <c r="D81" s="163"/>
      <c r="E81" s="163"/>
      <c r="F81" s="163"/>
      <c r="G81" s="163"/>
      <c r="H81" s="163"/>
      <c r="I81" s="163"/>
      <c r="J81" s="163"/>
      <c r="K81" s="163"/>
      <c r="L81" s="163"/>
      <c r="M81" s="163"/>
    </row>
    <row r="82" spans="1:13" x14ac:dyDescent="0.2">
      <c r="A82" s="163"/>
      <c r="B82" s="163"/>
      <c r="C82" s="163"/>
      <c r="D82" s="163"/>
      <c r="E82" s="163"/>
      <c r="F82" s="163"/>
      <c r="G82" s="163"/>
      <c r="H82" s="163"/>
      <c r="I82" s="163"/>
      <c r="J82" s="163"/>
      <c r="K82" s="163"/>
      <c r="L82" s="163"/>
      <c r="M82" s="163"/>
    </row>
    <row r="83" spans="1:13" x14ac:dyDescent="0.2">
      <c r="A83" s="163"/>
      <c r="B83" s="163"/>
      <c r="C83" s="163"/>
      <c r="D83" s="163"/>
      <c r="E83" s="163"/>
      <c r="F83" s="163"/>
      <c r="G83" s="163"/>
      <c r="H83" s="163"/>
      <c r="I83" s="163"/>
      <c r="J83" s="163"/>
      <c r="K83" s="163"/>
      <c r="L83" s="163"/>
      <c r="M83" s="163"/>
    </row>
    <row r="84" spans="1:13" x14ac:dyDescent="0.2">
      <c r="A84" s="163"/>
      <c r="B84" s="163"/>
      <c r="C84" s="163"/>
      <c r="D84" s="163"/>
      <c r="E84" s="163"/>
      <c r="F84" s="163"/>
      <c r="G84" s="163"/>
      <c r="H84" s="163"/>
      <c r="I84" s="163"/>
      <c r="J84" s="163"/>
      <c r="K84" s="163"/>
      <c r="L84" s="163"/>
      <c r="M84" s="163"/>
    </row>
    <row r="85" spans="1:13" x14ac:dyDescent="0.2">
      <c r="A85" s="163"/>
      <c r="B85" s="163"/>
      <c r="C85" s="163"/>
      <c r="D85" s="163"/>
      <c r="E85" s="163"/>
      <c r="F85" s="163"/>
      <c r="G85" s="163"/>
      <c r="H85" s="163"/>
      <c r="I85" s="163"/>
      <c r="J85" s="163"/>
      <c r="K85" s="163"/>
      <c r="L85" s="163"/>
      <c r="M85" s="163"/>
    </row>
    <row r="86" spans="1:13" x14ac:dyDescent="0.2">
      <c r="A86" s="163"/>
      <c r="B86" s="163"/>
      <c r="C86" s="163"/>
      <c r="D86" s="163"/>
      <c r="E86" s="163"/>
      <c r="F86" s="163"/>
      <c r="G86" s="163"/>
      <c r="H86" s="163"/>
      <c r="I86" s="163"/>
      <c r="J86" s="163"/>
      <c r="K86" s="163"/>
      <c r="L86" s="163"/>
      <c r="M86" s="163"/>
    </row>
    <row r="87" spans="1:13" x14ac:dyDescent="0.2">
      <c r="A87" s="163"/>
      <c r="B87" s="163"/>
      <c r="C87" s="163"/>
      <c r="D87" s="163"/>
      <c r="E87" s="163"/>
      <c r="F87" s="163"/>
      <c r="G87" s="163"/>
      <c r="H87" s="163"/>
      <c r="I87" s="163"/>
      <c r="J87" s="163"/>
      <c r="K87" s="163"/>
      <c r="L87" s="163"/>
      <c r="M87" s="163"/>
    </row>
    <row r="88" spans="1:13" x14ac:dyDescent="0.2">
      <c r="A88" s="163"/>
      <c r="B88" s="163"/>
      <c r="C88" s="163"/>
      <c r="D88" s="163"/>
      <c r="E88" s="163"/>
      <c r="F88" s="163"/>
      <c r="G88" s="163"/>
      <c r="H88" s="163"/>
      <c r="I88" s="163"/>
      <c r="J88" s="163"/>
      <c r="K88" s="163"/>
      <c r="L88" s="163"/>
      <c r="M88" s="163"/>
    </row>
    <row r="89" spans="1:13" x14ac:dyDescent="0.2">
      <c r="A89" s="163"/>
      <c r="B89" s="163"/>
      <c r="C89" s="163"/>
      <c r="D89" s="163"/>
      <c r="E89" s="163"/>
      <c r="F89" s="163"/>
      <c r="G89" s="163"/>
      <c r="H89" s="163"/>
      <c r="I89" s="163"/>
      <c r="J89" s="163"/>
      <c r="K89" s="163"/>
      <c r="L89" s="163"/>
      <c r="M89" s="163"/>
    </row>
    <row r="90" spans="1:13" x14ac:dyDescent="0.2">
      <c r="A90" s="163"/>
      <c r="B90" s="163"/>
      <c r="C90" s="163"/>
      <c r="D90" s="163"/>
      <c r="E90" s="163"/>
      <c r="F90" s="163"/>
      <c r="G90" s="163"/>
      <c r="H90" s="163"/>
      <c r="I90" s="163"/>
      <c r="J90" s="163"/>
      <c r="K90" s="163"/>
      <c r="L90" s="163"/>
      <c r="M90" s="163"/>
    </row>
    <row r="91" spans="1:13" x14ac:dyDescent="0.2">
      <c r="A91" s="163"/>
      <c r="B91" s="163"/>
      <c r="C91" s="163"/>
      <c r="D91" s="163"/>
      <c r="E91" s="163"/>
      <c r="F91" s="163"/>
      <c r="G91" s="163"/>
      <c r="H91" s="163"/>
      <c r="I91" s="163"/>
      <c r="J91" s="163"/>
      <c r="K91" s="163"/>
      <c r="L91" s="163"/>
      <c r="M91" s="163"/>
    </row>
    <row r="92" spans="1:13" x14ac:dyDescent="0.2">
      <c r="A92" s="163"/>
      <c r="B92" s="163"/>
      <c r="C92" s="163"/>
      <c r="D92" s="163"/>
      <c r="E92" s="163"/>
      <c r="F92" s="163"/>
      <c r="G92" s="163"/>
      <c r="H92" s="163"/>
      <c r="I92" s="163"/>
      <c r="J92" s="163"/>
      <c r="K92" s="163"/>
      <c r="L92" s="163"/>
      <c r="M92" s="163"/>
    </row>
    <row r="93" spans="1:13" x14ac:dyDescent="0.2">
      <c r="A93" s="163"/>
      <c r="B93" s="163"/>
      <c r="C93" s="163"/>
      <c r="D93" s="163"/>
      <c r="E93" s="163"/>
      <c r="F93" s="163"/>
      <c r="G93" s="163"/>
      <c r="H93" s="163"/>
      <c r="I93" s="163"/>
      <c r="J93" s="163"/>
      <c r="K93" s="163"/>
      <c r="L93" s="163"/>
      <c r="M93" s="163"/>
    </row>
    <row r="94" spans="1:13" x14ac:dyDescent="0.2">
      <c r="A94" s="163"/>
      <c r="B94" s="163"/>
      <c r="C94" s="163"/>
      <c r="D94" s="163"/>
      <c r="E94" s="163"/>
      <c r="F94" s="163"/>
      <c r="G94" s="163"/>
      <c r="H94" s="163"/>
      <c r="I94" s="163"/>
      <c r="J94" s="163"/>
      <c r="K94" s="163"/>
      <c r="L94" s="163"/>
      <c r="M94" s="163"/>
    </row>
    <row r="95" spans="1:13" x14ac:dyDescent="0.2">
      <c r="A95" s="163"/>
      <c r="B95" s="163"/>
      <c r="C95" s="163"/>
      <c r="D95" s="163"/>
      <c r="E95" s="163"/>
      <c r="F95" s="163"/>
      <c r="G95" s="163"/>
      <c r="H95" s="163"/>
      <c r="I95" s="163"/>
      <c r="J95" s="163"/>
      <c r="K95" s="163"/>
      <c r="L95" s="163"/>
      <c r="M95" s="163"/>
    </row>
    <row r="96" spans="1:13" x14ac:dyDescent="0.2">
      <c r="A96" s="163"/>
      <c r="B96" s="163"/>
      <c r="C96" s="163"/>
      <c r="D96" s="163"/>
      <c r="E96" s="163"/>
      <c r="F96" s="163"/>
      <c r="G96" s="163"/>
      <c r="H96" s="163"/>
      <c r="I96" s="163"/>
      <c r="J96" s="163"/>
      <c r="K96" s="163"/>
      <c r="L96" s="163"/>
      <c r="M96" s="163"/>
    </row>
    <row r="97" spans="1:13" x14ac:dyDescent="0.2">
      <c r="A97" s="163"/>
      <c r="B97" s="163"/>
      <c r="C97" s="163"/>
      <c r="D97" s="163"/>
      <c r="E97" s="163"/>
      <c r="F97" s="163"/>
      <c r="G97" s="163"/>
      <c r="H97" s="163"/>
      <c r="I97" s="163"/>
      <c r="J97" s="163"/>
      <c r="K97" s="163"/>
      <c r="L97" s="163"/>
      <c r="M97" s="163"/>
    </row>
    <row r="98" spans="1:13" x14ac:dyDescent="0.2">
      <c r="A98" s="163"/>
      <c r="B98" s="163"/>
      <c r="C98" s="163"/>
      <c r="D98" s="163"/>
      <c r="E98" s="163"/>
      <c r="F98" s="163"/>
      <c r="G98" s="163"/>
      <c r="H98" s="163"/>
      <c r="I98" s="163"/>
      <c r="J98" s="163"/>
      <c r="K98" s="163"/>
      <c r="L98" s="163"/>
      <c r="M98" s="163"/>
    </row>
    <row r="99" spans="1:13" x14ac:dyDescent="0.2">
      <c r="A99" s="163"/>
      <c r="B99" s="163"/>
      <c r="C99" s="163"/>
      <c r="D99" s="163"/>
      <c r="E99" s="163"/>
      <c r="F99" s="163"/>
      <c r="G99" s="163"/>
      <c r="H99" s="163"/>
      <c r="I99" s="163"/>
      <c r="J99" s="163"/>
      <c r="K99" s="163"/>
      <c r="L99" s="163"/>
      <c r="M99" s="163"/>
    </row>
    <row r="100" spans="1:13" x14ac:dyDescent="0.2">
      <c r="A100" s="163"/>
      <c r="B100" s="163"/>
      <c r="C100" s="163"/>
      <c r="D100" s="163"/>
      <c r="E100" s="163"/>
      <c r="F100" s="163"/>
      <c r="G100" s="163"/>
      <c r="H100" s="163"/>
      <c r="I100" s="163"/>
      <c r="J100" s="163"/>
      <c r="K100" s="163"/>
      <c r="L100" s="163"/>
      <c r="M100" s="163"/>
    </row>
    <row r="101" spans="1:13" x14ac:dyDescent="0.2">
      <c r="A101" s="163"/>
      <c r="B101" s="163"/>
      <c r="C101" s="163"/>
      <c r="D101" s="163"/>
      <c r="E101" s="163"/>
      <c r="F101" s="163"/>
      <c r="G101" s="163"/>
      <c r="H101" s="163"/>
      <c r="I101" s="163"/>
      <c r="J101" s="163"/>
      <c r="K101" s="163"/>
      <c r="L101" s="163"/>
      <c r="M101" s="163"/>
    </row>
    <row r="102" spans="1:13" x14ac:dyDescent="0.2">
      <c r="A102" s="163"/>
      <c r="B102" s="163"/>
      <c r="C102" s="163"/>
      <c r="D102" s="163"/>
      <c r="E102" s="163"/>
      <c r="F102" s="163"/>
      <c r="G102" s="163"/>
      <c r="H102" s="163"/>
      <c r="I102" s="163"/>
      <c r="J102" s="163"/>
      <c r="K102" s="163"/>
      <c r="L102" s="163"/>
      <c r="M102" s="163"/>
    </row>
    <row r="103" spans="1:13" x14ac:dyDescent="0.2">
      <c r="A103" s="163"/>
      <c r="B103" s="163"/>
      <c r="C103" s="163"/>
      <c r="D103" s="163"/>
      <c r="E103" s="163"/>
      <c r="F103" s="163"/>
      <c r="G103" s="163"/>
      <c r="H103" s="163"/>
      <c r="I103" s="163"/>
      <c r="J103" s="163"/>
      <c r="K103" s="163"/>
      <c r="L103" s="163"/>
      <c r="M103" s="163"/>
    </row>
    <row r="104" spans="1:13" x14ac:dyDescent="0.2">
      <c r="A104" s="163"/>
      <c r="B104" s="163"/>
      <c r="C104" s="163"/>
      <c r="D104" s="163"/>
      <c r="E104" s="163"/>
      <c r="F104" s="163"/>
      <c r="G104" s="163"/>
      <c r="H104" s="163"/>
      <c r="I104" s="163"/>
      <c r="J104" s="163"/>
      <c r="K104" s="163"/>
      <c r="L104" s="163"/>
      <c r="M104" s="163"/>
    </row>
    <row r="105" spans="1:13" x14ac:dyDescent="0.2">
      <c r="A105" s="163"/>
      <c r="B105" s="163"/>
      <c r="C105" s="163"/>
      <c r="D105" s="163"/>
      <c r="E105" s="163"/>
      <c r="F105" s="163"/>
      <c r="G105" s="163"/>
      <c r="H105" s="163"/>
      <c r="I105" s="163"/>
      <c r="J105" s="163"/>
      <c r="K105" s="163"/>
      <c r="L105" s="163"/>
      <c r="M105" s="163"/>
    </row>
    <row r="106" spans="1:13" x14ac:dyDescent="0.2">
      <c r="A106" s="163"/>
      <c r="B106" s="163"/>
      <c r="C106" s="163"/>
      <c r="D106" s="163"/>
      <c r="E106" s="163"/>
      <c r="F106" s="163"/>
      <c r="G106" s="163"/>
      <c r="H106" s="163"/>
      <c r="I106" s="163"/>
      <c r="J106" s="163"/>
      <c r="K106" s="163"/>
      <c r="L106" s="163"/>
      <c r="M106" s="163"/>
    </row>
    <row r="107" spans="1:13" x14ac:dyDescent="0.2">
      <c r="A107" s="163"/>
      <c r="B107" s="163"/>
      <c r="C107" s="163"/>
      <c r="D107" s="163"/>
      <c r="E107" s="163"/>
      <c r="F107" s="163"/>
      <c r="G107" s="163"/>
      <c r="H107" s="163"/>
      <c r="I107" s="163"/>
      <c r="J107" s="163"/>
      <c r="K107" s="163"/>
      <c r="L107" s="163"/>
      <c r="M107" s="163"/>
    </row>
    <row r="108" spans="1:13" x14ac:dyDescent="0.2">
      <c r="A108" s="163"/>
      <c r="B108" s="163"/>
      <c r="C108" s="163"/>
      <c r="D108" s="163"/>
      <c r="E108" s="163"/>
      <c r="F108" s="163"/>
      <c r="G108" s="163"/>
      <c r="H108" s="163"/>
      <c r="I108" s="163"/>
      <c r="J108" s="163"/>
      <c r="K108" s="163"/>
      <c r="L108" s="163"/>
      <c r="M108" s="163"/>
    </row>
    <row r="109" spans="1:13" x14ac:dyDescent="0.2">
      <c r="A109" s="163"/>
      <c r="B109" s="163"/>
      <c r="C109" s="163"/>
      <c r="D109" s="163"/>
      <c r="E109" s="163"/>
      <c r="F109" s="163"/>
      <c r="G109" s="163"/>
      <c r="H109" s="163"/>
      <c r="I109" s="163"/>
      <c r="J109" s="163"/>
      <c r="K109" s="163"/>
      <c r="L109" s="163"/>
      <c r="M109" s="163"/>
    </row>
    <row r="110" spans="1:13" x14ac:dyDescent="0.2">
      <c r="A110" s="163"/>
      <c r="B110" s="163"/>
      <c r="C110" s="163"/>
      <c r="D110" s="163"/>
      <c r="E110" s="163"/>
      <c r="F110" s="163"/>
      <c r="G110" s="163"/>
      <c r="H110" s="163"/>
      <c r="I110" s="163"/>
      <c r="J110" s="163"/>
      <c r="K110" s="163"/>
      <c r="L110" s="163"/>
      <c r="M110" s="163"/>
    </row>
    <row r="111" spans="1:13" x14ac:dyDescent="0.2">
      <c r="A111" s="163"/>
      <c r="B111" s="163"/>
      <c r="C111" s="163"/>
      <c r="D111" s="163"/>
      <c r="E111" s="163"/>
      <c r="F111" s="163"/>
      <c r="G111" s="163"/>
      <c r="H111" s="163"/>
      <c r="I111" s="163"/>
      <c r="J111" s="163"/>
      <c r="K111" s="163"/>
      <c r="L111" s="163"/>
      <c r="M111" s="163"/>
    </row>
    <row r="112" spans="1:13" x14ac:dyDescent="0.2">
      <c r="A112" s="163"/>
      <c r="B112" s="163"/>
      <c r="C112" s="163"/>
      <c r="D112" s="163"/>
      <c r="E112" s="163"/>
      <c r="F112" s="163"/>
      <c r="G112" s="163"/>
      <c r="H112" s="163"/>
      <c r="I112" s="163"/>
      <c r="J112" s="163"/>
      <c r="K112" s="163"/>
      <c r="L112" s="163"/>
      <c r="M112" s="163"/>
    </row>
    <row r="113" spans="1:13" x14ac:dyDescent="0.2">
      <c r="A113" s="163"/>
      <c r="B113" s="163"/>
      <c r="C113" s="163"/>
      <c r="D113" s="163"/>
      <c r="E113" s="163"/>
      <c r="F113" s="163"/>
      <c r="G113" s="163"/>
      <c r="H113" s="163"/>
      <c r="I113" s="163"/>
      <c r="J113" s="163"/>
      <c r="K113" s="163"/>
      <c r="L113" s="163"/>
      <c r="M113" s="163"/>
    </row>
    <row r="114" spans="1:13" x14ac:dyDescent="0.2">
      <c r="A114" s="163"/>
      <c r="B114" s="163"/>
      <c r="C114" s="163"/>
      <c r="D114" s="163"/>
      <c r="E114" s="163"/>
      <c r="F114" s="163"/>
      <c r="G114" s="163"/>
      <c r="H114" s="163"/>
      <c r="I114" s="163"/>
      <c r="J114" s="163"/>
      <c r="K114" s="163"/>
      <c r="L114" s="163"/>
      <c r="M114" s="163"/>
    </row>
    <row r="115" spans="1:13" x14ac:dyDescent="0.2">
      <c r="A115" s="163"/>
      <c r="B115" s="163"/>
      <c r="C115" s="163"/>
      <c r="D115" s="163"/>
      <c r="E115" s="163"/>
      <c r="F115" s="163"/>
      <c r="G115" s="163"/>
      <c r="H115" s="163"/>
      <c r="I115" s="163"/>
      <c r="J115" s="163"/>
      <c r="K115" s="163"/>
      <c r="L115" s="163"/>
      <c r="M115" s="163"/>
    </row>
    <row r="116" spans="1:13" x14ac:dyDescent="0.2">
      <c r="A116" s="163"/>
      <c r="B116" s="163"/>
      <c r="C116" s="163"/>
      <c r="D116" s="163"/>
      <c r="E116" s="163"/>
      <c r="F116" s="163"/>
      <c r="G116" s="163"/>
      <c r="H116" s="163"/>
      <c r="I116" s="163"/>
      <c r="J116" s="163"/>
      <c r="K116" s="163"/>
      <c r="L116" s="163"/>
      <c r="M116" s="163"/>
    </row>
    <row r="117" spans="1:13" x14ac:dyDescent="0.2">
      <c r="A117" s="163"/>
      <c r="B117" s="163"/>
      <c r="C117" s="163"/>
      <c r="D117" s="163"/>
      <c r="E117" s="163"/>
      <c r="F117" s="163"/>
      <c r="G117" s="163"/>
      <c r="H117" s="163"/>
      <c r="I117" s="163"/>
      <c r="J117" s="163"/>
      <c r="K117" s="163"/>
      <c r="L117" s="163"/>
      <c r="M117" s="163"/>
    </row>
    <row r="118" spans="1:13" x14ac:dyDescent="0.2">
      <c r="A118" s="163"/>
      <c r="B118" s="163"/>
      <c r="C118" s="163"/>
      <c r="D118" s="163"/>
      <c r="E118" s="163"/>
      <c r="F118" s="163"/>
      <c r="G118" s="163"/>
      <c r="H118" s="163"/>
      <c r="I118" s="163"/>
      <c r="J118" s="163"/>
      <c r="K118" s="163"/>
      <c r="L118" s="163"/>
      <c r="M118" s="163"/>
    </row>
    <row r="119" spans="1:13" x14ac:dyDescent="0.2">
      <c r="A119" s="163"/>
      <c r="B119" s="163"/>
      <c r="C119" s="163"/>
      <c r="D119" s="163"/>
      <c r="E119" s="163"/>
      <c r="F119" s="163"/>
      <c r="G119" s="163"/>
      <c r="H119" s="163"/>
      <c r="I119" s="163"/>
      <c r="J119" s="163"/>
      <c r="K119" s="163"/>
      <c r="L119" s="163"/>
      <c r="M119" s="163"/>
    </row>
    <row r="120" spans="1:13" x14ac:dyDescent="0.2">
      <c r="A120" s="163"/>
      <c r="B120" s="163"/>
      <c r="C120" s="163"/>
      <c r="D120" s="163"/>
      <c r="E120" s="163"/>
      <c r="F120" s="163"/>
      <c r="G120" s="163"/>
      <c r="H120" s="163"/>
      <c r="I120" s="163"/>
      <c r="J120" s="163"/>
      <c r="K120" s="163"/>
      <c r="L120" s="163"/>
      <c r="M120" s="163"/>
    </row>
  </sheetData>
  <pageMargins left="0.5" right="0.5" top="0.75" bottom="0.75" header="0.5" footer="0.5"/>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V105"/>
  <sheetViews>
    <sheetView showGridLines="0" zoomScaleNormal="100" workbookViewId="0">
      <pane xSplit="2" ySplit="6" topLeftCell="C31" activePane="bottomRight" state="frozen"/>
      <selection activeCell="I58" sqref="I58"/>
      <selection pane="topRight" activeCell="I58" sqref="I58"/>
      <selection pane="bottomLeft" activeCell="I58" sqref="I58"/>
      <selection pane="bottomRight" activeCell="P27" sqref="P27"/>
    </sheetView>
  </sheetViews>
  <sheetFormatPr defaultRowHeight="11.25" x14ac:dyDescent="0.2"/>
  <cols>
    <col min="1" max="1" width="6" style="163" customWidth="1"/>
    <col min="2" max="2" width="17.85546875" style="163" customWidth="1"/>
    <col min="3" max="4" width="9.85546875" style="163" customWidth="1"/>
    <col min="5" max="5" width="11.28515625" style="163" customWidth="1"/>
    <col min="6" max="7" width="9.5703125" style="163" customWidth="1"/>
    <col min="8" max="8" width="9.85546875" style="163" customWidth="1"/>
    <col min="9" max="9" width="10.42578125" style="163" customWidth="1"/>
    <col min="10" max="10" width="10.7109375" style="163" customWidth="1"/>
    <col min="11" max="14" width="11.140625" style="163" bestFit="1" customWidth="1"/>
    <col min="15" max="16" width="10.7109375" style="163" bestFit="1" customWidth="1"/>
    <col min="17" max="17" width="9.140625" style="163"/>
    <col min="18" max="18" width="16.28515625" style="163" customWidth="1"/>
    <col min="19" max="20" width="9.42578125" style="163" customWidth="1"/>
    <col min="21" max="16384" width="9.140625" style="163"/>
  </cols>
  <sheetData>
    <row r="2" spans="1:14" x14ac:dyDescent="0.2">
      <c r="B2" s="180" t="s">
        <v>126</v>
      </c>
      <c r="C2" s="195"/>
    </row>
    <row r="3" spans="1:14" x14ac:dyDescent="0.2">
      <c r="C3" s="195"/>
    </row>
    <row r="4" spans="1:14" x14ac:dyDescent="0.2">
      <c r="C4" s="193"/>
      <c r="D4" s="193"/>
      <c r="E4" s="193"/>
      <c r="F4" s="193"/>
      <c r="G4" s="193"/>
      <c r="H4" s="194"/>
      <c r="I4" s="194"/>
      <c r="J4" s="180"/>
    </row>
    <row r="5" spans="1:14" x14ac:dyDescent="0.2">
      <c r="C5" s="193"/>
      <c r="D5" s="193"/>
      <c r="E5" s="193"/>
      <c r="F5" s="193"/>
      <c r="G5" s="193"/>
      <c r="H5" s="194"/>
      <c r="I5" s="194"/>
      <c r="J5" s="193"/>
    </row>
    <row r="6" spans="1:14" ht="9.9499999999999993" customHeight="1" x14ac:dyDescent="0.2">
      <c r="C6" s="192">
        <v>42856</v>
      </c>
      <c r="D6" s="192">
        <v>42887</v>
      </c>
      <c r="E6" s="192">
        <v>42917</v>
      </c>
      <c r="F6" s="192">
        <v>42948</v>
      </c>
      <c r="G6" s="192">
        <v>42979</v>
      </c>
      <c r="H6" s="192">
        <v>43009</v>
      </c>
      <c r="I6" s="192">
        <v>43040</v>
      </c>
      <c r="J6" s="192">
        <v>43070</v>
      </c>
      <c r="K6" s="192">
        <v>43101</v>
      </c>
      <c r="L6" s="192">
        <v>43132</v>
      </c>
      <c r="M6" s="192">
        <v>43160</v>
      </c>
      <c r="N6" s="192">
        <v>43191</v>
      </c>
    </row>
    <row r="7" spans="1:14" s="164" customFormat="1" x14ac:dyDescent="0.2">
      <c r="A7" s="191" t="s">
        <v>31</v>
      </c>
      <c r="C7" s="190">
        <v>561.04</v>
      </c>
      <c r="D7" s="190">
        <v>546.63</v>
      </c>
      <c r="E7" s="190">
        <v>523.13</v>
      </c>
      <c r="F7" s="190">
        <v>575.29</v>
      </c>
      <c r="G7" s="190">
        <v>514.17999999999995</v>
      </c>
      <c r="H7" s="190">
        <v>533.86</v>
      </c>
      <c r="I7" s="190">
        <v>576.34</v>
      </c>
      <c r="J7" s="190">
        <v>581.04999999999995</v>
      </c>
      <c r="K7" s="190">
        <v>628.53</v>
      </c>
      <c r="L7" s="190">
        <v>481.22</v>
      </c>
      <c r="M7" s="190">
        <v>527.05999999999995</v>
      </c>
      <c r="N7" s="190">
        <v>532.07000000000005</v>
      </c>
    </row>
    <row r="8" spans="1:14" x14ac:dyDescent="0.2">
      <c r="A8" s="163" t="s">
        <v>32</v>
      </c>
      <c r="C8" s="64">
        <v>0</v>
      </c>
      <c r="D8" s="64">
        <v>0</v>
      </c>
      <c r="E8" s="64">
        <v>0</v>
      </c>
      <c r="F8" s="64">
        <v>0</v>
      </c>
      <c r="G8" s="64">
        <v>0</v>
      </c>
      <c r="H8" s="64">
        <v>0</v>
      </c>
      <c r="I8" s="64">
        <v>0</v>
      </c>
      <c r="J8" s="64">
        <v>0</v>
      </c>
      <c r="K8" s="64">
        <v>0</v>
      </c>
      <c r="L8" s="64">
        <v>0</v>
      </c>
      <c r="M8" s="64">
        <v>0</v>
      </c>
      <c r="N8" s="64">
        <v>0</v>
      </c>
    </row>
    <row r="9" spans="1:14" x14ac:dyDescent="0.2">
      <c r="A9" s="163" t="s">
        <v>33</v>
      </c>
      <c r="C9" s="65">
        <f t="shared" ref="C9:N9" si="0">+C7*C8</f>
        <v>0</v>
      </c>
      <c r="D9" s="65">
        <f t="shared" si="0"/>
        <v>0</v>
      </c>
      <c r="E9" s="65">
        <f t="shared" si="0"/>
        <v>0</v>
      </c>
      <c r="F9" s="65">
        <f t="shared" si="0"/>
        <v>0</v>
      </c>
      <c r="G9" s="65">
        <f t="shared" si="0"/>
        <v>0</v>
      </c>
      <c r="H9" s="65">
        <f t="shared" si="0"/>
        <v>0</v>
      </c>
      <c r="I9" s="65">
        <f t="shared" si="0"/>
        <v>0</v>
      </c>
      <c r="J9" s="65">
        <f t="shared" si="0"/>
        <v>0</v>
      </c>
      <c r="K9" s="65">
        <f t="shared" si="0"/>
        <v>0</v>
      </c>
      <c r="L9" s="65">
        <f t="shared" si="0"/>
        <v>0</v>
      </c>
      <c r="M9" s="65">
        <f t="shared" si="0"/>
        <v>0</v>
      </c>
      <c r="N9" s="65">
        <f t="shared" si="0"/>
        <v>0</v>
      </c>
    </row>
    <row r="10" spans="1:14" x14ac:dyDescent="0.2">
      <c r="A10" s="180" t="s">
        <v>34</v>
      </c>
      <c r="C10" s="189">
        <f t="shared" ref="C10:N10" si="1">+C7-C9</f>
        <v>561.04</v>
      </c>
      <c r="D10" s="189">
        <f t="shared" si="1"/>
        <v>546.63</v>
      </c>
      <c r="E10" s="189">
        <f t="shared" si="1"/>
        <v>523.13</v>
      </c>
      <c r="F10" s="189">
        <f t="shared" si="1"/>
        <v>575.29</v>
      </c>
      <c r="G10" s="189">
        <f t="shared" si="1"/>
        <v>514.17999999999995</v>
      </c>
      <c r="H10" s="189">
        <f t="shared" si="1"/>
        <v>533.86</v>
      </c>
      <c r="I10" s="189">
        <f t="shared" si="1"/>
        <v>576.34</v>
      </c>
      <c r="J10" s="189">
        <f t="shared" si="1"/>
        <v>581.04999999999995</v>
      </c>
      <c r="K10" s="189">
        <f t="shared" si="1"/>
        <v>628.53</v>
      </c>
      <c r="L10" s="189">
        <f t="shared" si="1"/>
        <v>481.22</v>
      </c>
      <c r="M10" s="189">
        <f t="shared" si="1"/>
        <v>527.05999999999995</v>
      </c>
      <c r="N10" s="189">
        <f t="shared" si="1"/>
        <v>532.07000000000005</v>
      </c>
    </row>
    <row r="12" spans="1:14" x14ac:dyDescent="0.2">
      <c r="A12" s="180" t="s">
        <v>35</v>
      </c>
    </row>
    <row r="13" spans="1:14" s="184" customFormat="1" x14ac:dyDescent="0.2">
      <c r="B13" s="184" t="s">
        <v>22</v>
      </c>
      <c r="C13" s="188">
        <v>0.19500000000000001</v>
      </c>
      <c r="D13" s="188">
        <f t="shared" ref="D13:M13" si="2">+C13</f>
        <v>0.19500000000000001</v>
      </c>
      <c r="E13" s="188">
        <f t="shared" si="2"/>
        <v>0.19500000000000001</v>
      </c>
      <c r="F13" s="188">
        <f t="shared" si="2"/>
        <v>0.19500000000000001</v>
      </c>
      <c r="G13" s="188">
        <f t="shared" si="2"/>
        <v>0.19500000000000001</v>
      </c>
      <c r="H13" s="188">
        <f t="shared" si="2"/>
        <v>0.19500000000000001</v>
      </c>
      <c r="I13" s="188">
        <f t="shared" si="2"/>
        <v>0.19500000000000001</v>
      </c>
      <c r="J13" s="188">
        <f t="shared" si="2"/>
        <v>0.19500000000000001</v>
      </c>
      <c r="K13" s="188">
        <f t="shared" si="2"/>
        <v>0.19500000000000001</v>
      </c>
      <c r="L13" s="188">
        <f t="shared" si="2"/>
        <v>0.19500000000000001</v>
      </c>
      <c r="M13" s="188">
        <f t="shared" si="2"/>
        <v>0.19500000000000001</v>
      </c>
      <c r="N13" s="188">
        <v>0</v>
      </c>
    </row>
    <row r="14" spans="1:14" s="184" customFormat="1" x14ac:dyDescent="0.2">
      <c r="B14" s="184" t="s">
        <v>26</v>
      </c>
      <c r="C14" s="188">
        <v>0.1782</v>
      </c>
      <c r="D14" s="188">
        <f t="shared" ref="D14:M14" si="3">+C14</f>
        <v>0.1782</v>
      </c>
      <c r="E14" s="188">
        <f t="shared" si="3"/>
        <v>0.1782</v>
      </c>
      <c r="F14" s="188">
        <f t="shared" si="3"/>
        <v>0.1782</v>
      </c>
      <c r="G14" s="188">
        <f t="shared" si="3"/>
        <v>0.1782</v>
      </c>
      <c r="H14" s="188">
        <f t="shared" si="3"/>
        <v>0.1782</v>
      </c>
      <c r="I14" s="188">
        <f t="shared" si="3"/>
        <v>0.1782</v>
      </c>
      <c r="J14" s="188">
        <f t="shared" si="3"/>
        <v>0.1782</v>
      </c>
      <c r="K14" s="188">
        <f t="shared" si="3"/>
        <v>0.1782</v>
      </c>
      <c r="L14" s="188">
        <f t="shared" si="3"/>
        <v>0.1782</v>
      </c>
      <c r="M14" s="188">
        <f t="shared" si="3"/>
        <v>0.1782</v>
      </c>
      <c r="N14" s="188">
        <f t="shared" ref="N14:N22" si="4">+M14</f>
        <v>0.1782</v>
      </c>
    </row>
    <row r="15" spans="1:14" s="184" customFormat="1" x14ac:dyDescent="0.2">
      <c r="B15" s="184" t="s">
        <v>36</v>
      </c>
      <c r="C15" s="188">
        <v>0</v>
      </c>
      <c r="D15" s="188">
        <f t="shared" ref="D15:M15" si="5">+C15</f>
        <v>0</v>
      </c>
      <c r="E15" s="188">
        <f t="shared" si="5"/>
        <v>0</v>
      </c>
      <c r="F15" s="188">
        <f t="shared" si="5"/>
        <v>0</v>
      </c>
      <c r="G15" s="188">
        <f t="shared" si="5"/>
        <v>0</v>
      </c>
      <c r="H15" s="188">
        <f t="shared" si="5"/>
        <v>0</v>
      </c>
      <c r="I15" s="188">
        <f t="shared" si="5"/>
        <v>0</v>
      </c>
      <c r="J15" s="188">
        <f t="shared" si="5"/>
        <v>0</v>
      </c>
      <c r="K15" s="188">
        <f t="shared" si="5"/>
        <v>0</v>
      </c>
      <c r="L15" s="188">
        <f t="shared" si="5"/>
        <v>0</v>
      </c>
      <c r="M15" s="188">
        <f t="shared" si="5"/>
        <v>0</v>
      </c>
      <c r="N15" s="188">
        <f t="shared" si="4"/>
        <v>0</v>
      </c>
    </row>
    <row r="16" spans="1:14" s="184" customFormat="1" x14ac:dyDescent="0.2">
      <c r="B16" s="184" t="s">
        <v>37</v>
      </c>
      <c r="C16" s="188">
        <v>1.6500000000000001E-2</v>
      </c>
      <c r="D16" s="188">
        <f t="shared" ref="D16:M16" si="6">+C16</f>
        <v>1.6500000000000001E-2</v>
      </c>
      <c r="E16" s="188">
        <f t="shared" si="6"/>
        <v>1.6500000000000001E-2</v>
      </c>
      <c r="F16" s="188">
        <f t="shared" si="6"/>
        <v>1.6500000000000001E-2</v>
      </c>
      <c r="G16" s="188">
        <f t="shared" si="6"/>
        <v>1.6500000000000001E-2</v>
      </c>
      <c r="H16" s="188">
        <f t="shared" si="6"/>
        <v>1.6500000000000001E-2</v>
      </c>
      <c r="I16" s="188">
        <f t="shared" si="6"/>
        <v>1.6500000000000001E-2</v>
      </c>
      <c r="J16" s="188">
        <f t="shared" si="6"/>
        <v>1.6500000000000001E-2</v>
      </c>
      <c r="K16" s="188">
        <f t="shared" si="6"/>
        <v>1.6500000000000001E-2</v>
      </c>
      <c r="L16" s="188">
        <f t="shared" si="6"/>
        <v>1.6500000000000001E-2</v>
      </c>
      <c r="M16" s="188">
        <f t="shared" si="6"/>
        <v>1.6500000000000001E-2</v>
      </c>
      <c r="N16" s="188">
        <f t="shared" si="4"/>
        <v>1.6500000000000001E-2</v>
      </c>
    </row>
    <row r="17" spans="1:14" s="184" customFormat="1" x14ac:dyDescent="0.2">
      <c r="B17" s="184" t="s">
        <v>38</v>
      </c>
      <c r="C17" s="188">
        <v>4.4900000000000002E-2</v>
      </c>
      <c r="D17" s="188">
        <f t="shared" ref="D17:M17" si="7">+C17</f>
        <v>4.4900000000000002E-2</v>
      </c>
      <c r="E17" s="188">
        <f t="shared" si="7"/>
        <v>4.4900000000000002E-2</v>
      </c>
      <c r="F17" s="188">
        <f t="shared" si="7"/>
        <v>4.4900000000000002E-2</v>
      </c>
      <c r="G17" s="188">
        <f t="shared" si="7"/>
        <v>4.4900000000000002E-2</v>
      </c>
      <c r="H17" s="188">
        <f t="shared" si="7"/>
        <v>4.4900000000000002E-2</v>
      </c>
      <c r="I17" s="188">
        <f t="shared" si="7"/>
        <v>4.4900000000000002E-2</v>
      </c>
      <c r="J17" s="188">
        <f t="shared" si="7"/>
        <v>4.4900000000000002E-2</v>
      </c>
      <c r="K17" s="188">
        <f t="shared" si="7"/>
        <v>4.4900000000000002E-2</v>
      </c>
      <c r="L17" s="188">
        <f t="shared" si="7"/>
        <v>4.4900000000000002E-2</v>
      </c>
      <c r="M17" s="188">
        <f t="shared" si="7"/>
        <v>4.4900000000000002E-2</v>
      </c>
      <c r="N17" s="188">
        <f t="shared" si="4"/>
        <v>4.4900000000000002E-2</v>
      </c>
    </row>
    <row r="18" spans="1:14" s="184" customFormat="1" x14ac:dyDescent="0.2">
      <c r="B18" s="184" t="s">
        <v>39</v>
      </c>
      <c r="C18" s="188">
        <v>7.4999999999999997E-3</v>
      </c>
      <c r="D18" s="188">
        <f t="shared" ref="D18:M18" si="8">+C18</f>
        <v>7.4999999999999997E-3</v>
      </c>
      <c r="E18" s="188">
        <f t="shared" si="8"/>
        <v>7.4999999999999997E-3</v>
      </c>
      <c r="F18" s="188">
        <f t="shared" si="8"/>
        <v>7.4999999999999997E-3</v>
      </c>
      <c r="G18" s="188">
        <f t="shared" si="8"/>
        <v>7.4999999999999997E-3</v>
      </c>
      <c r="H18" s="188">
        <f t="shared" si="8"/>
        <v>7.4999999999999997E-3</v>
      </c>
      <c r="I18" s="188">
        <f t="shared" si="8"/>
        <v>7.4999999999999997E-3</v>
      </c>
      <c r="J18" s="188">
        <f t="shared" si="8"/>
        <v>7.4999999999999997E-3</v>
      </c>
      <c r="K18" s="188">
        <f t="shared" si="8"/>
        <v>7.4999999999999997E-3</v>
      </c>
      <c r="L18" s="188">
        <f t="shared" si="8"/>
        <v>7.4999999999999997E-3</v>
      </c>
      <c r="M18" s="188">
        <f t="shared" si="8"/>
        <v>7.4999999999999997E-3</v>
      </c>
      <c r="N18" s="188">
        <f t="shared" si="4"/>
        <v>7.4999999999999997E-3</v>
      </c>
    </row>
    <row r="19" spans="1:14" s="184" customFormat="1" x14ac:dyDescent="0.2">
      <c r="B19" s="163" t="s">
        <v>40</v>
      </c>
      <c r="C19" s="188">
        <v>0</v>
      </c>
      <c r="D19" s="188">
        <f t="shared" ref="D19:M19" si="9">+C19</f>
        <v>0</v>
      </c>
      <c r="E19" s="188">
        <f t="shared" si="9"/>
        <v>0</v>
      </c>
      <c r="F19" s="188">
        <f t="shared" si="9"/>
        <v>0</v>
      </c>
      <c r="G19" s="188">
        <f t="shared" si="9"/>
        <v>0</v>
      </c>
      <c r="H19" s="188">
        <f t="shared" si="9"/>
        <v>0</v>
      </c>
      <c r="I19" s="188">
        <f t="shared" si="9"/>
        <v>0</v>
      </c>
      <c r="J19" s="188">
        <f t="shared" si="9"/>
        <v>0</v>
      </c>
      <c r="K19" s="188">
        <f t="shared" si="9"/>
        <v>0</v>
      </c>
      <c r="L19" s="188">
        <f t="shared" si="9"/>
        <v>0</v>
      </c>
      <c r="M19" s="188">
        <f t="shared" si="9"/>
        <v>0</v>
      </c>
      <c r="N19" s="188">
        <f t="shared" si="4"/>
        <v>0</v>
      </c>
    </row>
    <row r="20" spans="1:14" s="184" customFormat="1" x14ac:dyDescent="0.2">
      <c r="B20" s="163" t="s">
        <v>20</v>
      </c>
      <c r="C20" s="188">
        <v>0.17680000000000001</v>
      </c>
      <c r="D20" s="188">
        <f t="shared" ref="D20:M20" si="10">+C20</f>
        <v>0.17680000000000001</v>
      </c>
      <c r="E20" s="188">
        <f t="shared" si="10"/>
        <v>0.17680000000000001</v>
      </c>
      <c r="F20" s="188">
        <f t="shared" si="10"/>
        <v>0.17680000000000001</v>
      </c>
      <c r="G20" s="188">
        <f t="shared" si="10"/>
        <v>0.17680000000000001</v>
      </c>
      <c r="H20" s="188">
        <f t="shared" si="10"/>
        <v>0.17680000000000001</v>
      </c>
      <c r="I20" s="188">
        <f t="shared" si="10"/>
        <v>0.17680000000000001</v>
      </c>
      <c r="J20" s="188">
        <f t="shared" si="10"/>
        <v>0.17680000000000001</v>
      </c>
      <c r="K20" s="188">
        <f t="shared" si="10"/>
        <v>0.17680000000000001</v>
      </c>
      <c r="L20" s="188">
        <f t="shared" si="10"/>
        <v>0.17680000000000001</v>
      </c>
      <c r="M20" s="188">
        <f t="shared" si="10"/>
        <v>0.17680000000000001</v>
      </c>
      <c r="N20" s="188">
        <f t="shared" si="4"/>
        <v>0.17680000000000001</v>
      </c>
    </row>
    <row r="21" spans="1:14" s="184" customFormat="1" x14ac:dyDescent="0.2">
      <c r="B21" s="184" t="s">
        <v>41</v>
      </c>
      <c r="C21" s="188">
        <v>0</v>
      </c>
      <c r="D21" s="188">
        <f t="shared" ref="D21:M21" si="11">+C21</f>
        <v>0</v>
      </c>
      <c r="E21" s="188">
        <f t="shared" si="11"/>
        <v>0</v>
      </c>
      <c r="F21" s="188">
        <f t="shared" si="11"/>
        <v>0</v>
      </c>
      <c r="G21" s="188">
        <f t="shared" si="11"/>
        <v>0</v>
      </c>
      <c r="H21" s="188">
        <f t="shared" si="11"/>
        <v>0</v>
      </c>
      <c r="I21" s="188">
        <f t="shared" si="11"/>
        <v>0</v>
      </c>
      <c r="J21" s="188">
        <f t="shared" si="11"/>
        <v>0</v>
      </c>
      <c r="K21" s="188">
        <f t="shared" si="11"/>
        <v>0</v>
      </c>
      <c r="L21" s="188">
        <f t="shared" si="11"/>
        <v>0</v>
      </c>
      <c r="M21" s="188">
        <f t="shared" si="11"/>
        <v>0</v>
      </c>
      <c r="N21" s="188">
        <f t="shared" si="4"/>
        <v>0</v>
      </c>
    </row>
    <row r="22" spans="1:14" s="184" customFormat="1" x14ac:dyDescent="0.2">
      <c r="B22" s="184" t="s">
        <v>42</v>
      </c>
      <c r="C22" s="188">
        <v>5.930000000000013E-2</v>
      </c>
      <c r="D22" s="188">
        <f t="shared" ref="D22:M22" si="12">+C22</f>
        <v>5.930000000000013E-2</v>
      </c>
      <c r="E22" s="188">
        <f t="shared" si="12"/>
        <v>5.930000000000013E-2</v>
      </c>
      <c r="F22" s="188">
        <f t="shared" si="12"/>
        <v>5.930000000000013E-2</v>
      </c>
      <c r="G22" s="188">
        <f t="shared" si="12"/>
        <v>5.930000000000013E-2</v>
      </c>
      <c r="H22" s="188">
        <f t="shared" si="12"/>
        <v>5.930000000000013E-2</v>
      </c>
      <c r="I22" s="188">
        <f t="shared" si="12"/>
        <v>5.930000000000013E-2</v>
      </c>
      <c r="J22" s="188">
        <f t="shared" si="12"/>
        <v>5.930000000000013E-2</v>
      </c>
      <c r="K22" s="188">
        <f t="shared" si="12"/>
        <v>5.930000000000013E-2</v>
      </c>
      <c r="L22" s="188">
        <f t="shared" si="12"/>
        <v>5.930000000000013E-2</v>
      </c>
      <c r="M22" s="188">
        <f t="shared" si="12"/>
        <v>5.930000000000013E-2</v>
      </c>
      <c r="N22" s="188">
        <f t="shared" si="4"/>
        <v>5.930000000000013E-2</v>
      </c>
    </row>
    <row r="23" spans="1:14" s="184" customFormat="1" x14ac:dyDescent="0.2">
      <c r="B23" s="184" t="s">
        <v>43</v>
      </c>
      <c r="C23" s="69">
        <v>0.32179999999999997</v>
      </c>
      <c r="D23" s="188">
        <f t="shared" ref="D23:M23" si="13">+C23</f>
        <v>0.32179999999999997</v>
      </c>
      <c r="E23" s="188">
        <f t="shared" si="13"/>
        <v>0.32179999999999997</v>
      </c>
      <c r="F23" s="188">
        <f t="shared" si="13"/>
        <v>0.32179999999999997</v>
      </c>
      <c r="G23" s="188">
        <f t="shared" si="13"/>
        <v>0.32179999999999997</v>
      </c>
      <c r="H23" s="188">
        <f t="shared" si="13"/>
        <v>0.32179999999999997</v>
      </c>
      <c r="I23" s="188">
        <f t="shared" si="13"/>
        <v>0.32179999999999997</v>
      </c>
      <c r="J23" s="188">
        <f t="shared" si="13"/>
        <v>0.32179999999999997</v>
      </c>
      <c r="K23" s="188">
        <f t="shared" si="13"/>
        <v>0.32179999999999997</v>
      </c>
      <c r="L23" s="188">
        <f t="shared" si="13"/>
        <v>0.32179999999999997</v>
      </c>
      <c r="M23" s="188">
        <f t="shared" si="13"/>
        <v>0.32179999999999997</v>
      </c>
      <c r="N23" s="188">
        <v>0.51680000000000004</v>
      </c>
    </row>
    <row r="24" spans="1:14" x14ac:dyDescent="0.2">
      <c r="C24" s="70">
        <v>1</v>
      </c>
      <c r="D24" s="70">
        <v>1</v>
      </c>
      <c r="E24" s="70">
        <v>1</v>
      </c>
      <c r="F24" s="70">
        <v>1</v>
      </c>
      <c r="G24" s="70">
        <v>1</v>
      </c>
      <c r="H24" s="70">
        <v>1</v>
      </c>
      <c r="I24" s="70">
        <v>1</v>
      </c>
      <c r="J24" s="70">
        <v>1</v>
      </c>
      <c r="K24" s="70">
        <v>1</v>
      </c>
      <c r="L24" s="70">
        <v>1</v>
      </c>
      <c r="M24" s="70">
        <v>1</v>
      </c>
      <c r="N24" s="70">
        <v>1</v>
      </c>
    </row>
    <row r="26" spans="1:14" x14ac:dyDescent="0.2">
      <c r="A26" s="180" t="s">
        <v>44</v>
      </c>
    </row>
    <row r="27" spans="1:14" x14ac:dyDescent="0.2">
      <c r="B27" s="163" t="s">
        <v>22</v>
      </c>
      <c r="C27" s="57">
        <f t="shared" ref="C27:N27" si="14">+C$10*C13</f>
        <v>109.4028</v>
      </c>
      <c r="D27" s="57">
        <f t="shared" si="14"/>
        <v>106.59285</v>
      </c>
      <c r="E27" s="57">
        <f t="shared" si="14"/>
        <v>102.01035</v>
      </c>
      <c r="F27" s="57">
        <f t="shared" si="14"/>
        <v>112.18155</v>
      </c>
      <c r="G27" s="57">
        <f t="shared" si="14"/>
        <v>100.26509999999999</v>
      </c>
      <c r="H27" s="57">
        <f t="shared" si="14"/>
        <v>104.10270000000001</v>
      </c>
      <c r="I27" s="57">
        <f t="shared" si="14"/>
        <v>112.38630000000001</v>
      </c>
      <c r="J27" s="57">
        <f t="shared" si="14"/>
        <v>113.30475</v>
      </c>
      <c r="K27" s="57">
        <f t="shared" si="14"/>
        <v>122.56335</v>
      </c>
      <c r="L27" s="57">
        <f t="shared" si="14"/>
        <v>93.837900000000005</v>
      </c>
      <c r="M27" s="57">
        <f t="shared" si="14"/>
        <v>102.77669999999999</v>
      </c>
      <c r="N27" s="57">
        <f t="shared" si="14"/>
        <v>0</v>
      </c>
    </row>
    <row r="28" spans="1:14" x14ac:dyDescent="0.2">
      <c r="B28" s="163" t="s">
        <v>26</v>
      </c>
      <c r="C28" s="57">
        <f t="shared" ref="C28:N28" si="15">+C$10*C14</f>
        <v>99.977327999999986</v>
      </c>
      <c r="D28" s="57">
        <f t="shared" si="15"/>
        <v>97.409465999999995</v>
      </c>
      <c r="E28" s="57">
        <f t="shared" si="15"/>
        <v>93.221766000000002</v>
      </c>
      <c r="F28" s="57">
        <f t="shared" si="15"/>
        <v>102.516678</v>
      </c>
      <c r="G28" s="57">
        <f t="shared" si="15"/>
        <v>91.626875999999996</v>
      </c>
      <c r="H28" s="57">
        <f t="shared" si="15"/>
        <v>95.133852000000005</v>
      </c>
      <c r="I28" s="57">
        <f t="shared" si="15"/>
        <v>102.703788</v>
      </c>
      <c r="J28" s="57">
        <f t="shared" si="15"/>
        <v>103.54310999999998</v>
      </c>
      <c r="K28" s="57">
        <f t="shared" si="15"/>
        <v>112.00404599999999</v>
      </c>
      <c r="L28" s="57">
        <f t="shared" si="15"/>
        <v>85.753404000000003</v>
      </c>
      <c r="M28" s="57">
        <f t="shared" si="15"/>
        <v>93.922091999999992</v>
      </c>
      <c r="N28" s="57">
        <f t="shared" si="15"/>
        <v>94.814874000000003</v>
      </c>
    </row>
    <row r="29" spans="1:14" x14ac:dyDescent="0.2">
      <c r="B29" s="163" t="s">
        <v>36</v>
      </c>
      <c r="C29" s="57">
        <f t="shared" ref="C29:N29" si="16">+C$10*C15</f>
        <v>0</v>
      </c>
      <c r="D29" s="57">
        <f t="shared" si="16"/>
        <v>0</v>
      </c>
      <c r="E29" s="57">
        <f t="shared" si="16"/>
        <v>0</v>
      </c>
      <c r="F29" s="57">
        <f t="shared" si="16"/>
        <v>0</v>
      </c>
      <c r="G29" s="57">
        <f t="shared" si="16"/>
        <v>0</v>
      </c>
      <c r="H29" s="57">
        <f t="shared" si="16"/>
        <v>0</v>
      </c>
      <c r="I29" s="57">
        <f t="shared" si="16"/>
        <v>0</v>
      </c>
      <c r="J29" s="57">
        <f t="shared" si="16"/>
        <v>0</v>
      </c>
      <c r="K29" s="57">
        <f t="shared" si="16"/>
        <v>0</v>
      </c>
      <c r="L29" s="57">
        <f t="shared" si="16"/>
        <v>0</v>
      </c>
      <c r="M29" s="57">
        <f t="shared" si="16"/>
        <v>0</v>
      </c>
      <c r="N29" s="57">
        <f t="shared" si="16"/>
        <v>0</v>
      </c>
    </row>
    <row r="30" spans="1:14" x14ac:dyDescent="0.2">
      <c r="B30" s="163" t="s">
        <v>37</v>
      </c>
      <c r="C30" s="57">
        <f t="shared" ref="C30:N30" si="17">+C$10*C16</f>
        <v>9.2571600000000007</v>
      </c>
      <c r="D30" s="57">
        <f t="shared" si="17"/>
        <v>9.0193950000000012</v>
      </c>
      <c r="E30" s="57">
        <f t="shared" si="17"/>
        <v>8.6316450000000007</v>
      </c>
      <c r="F30" s="57">
        <f t="shared" si="17"/>
        <v>9.492284999999999</v>
      </c>
      <c r="G30" s="57">
        <f t="shared" si="17"/>
        <v>8.4839699999999993</v>
      </c>
      <c r="H30" s="57">
        <f t="shared" si="17"/>
        <v>8.8086900000000004</v>
      </c>
      <c r="I30" s="57">
        <f t="shared" si="17"/>
        <v>9.5096100000000003</v>
      </c>
      <c r="J30" s="57">
        <f t="shared" si="17"/>
        <v>9.5873249999999999</v>
      </c>
      <c r="K30" s="57">
        <f t="shared" si="17"/>
        <v>10.370744999999999</v>
      </c>
      <c r="L30" s="57">
        <f t="shared" si="17"/>
        <v>7.9401300000000008</v>
      </c>
      <c r="M30" s="57">
        <f t="shared" si="17"/>
        <v>8.6964899999999989</v>
      </c>
      <c r="N30" s="57">
        <f t="shared" si="17"/>
        <v>8.7791550000000012</v>
      </c>
    </row>
    <row r="31" spans="1:14" x14ac:dyDescent="0.2">
      <c r="B31" s="163" t="s">
        <v>38</v>
      </c>
      <c r="C31" s="57">
        <f t="shared" ref="C31:N31" si="18">+C$10*C17</f>
        <v>25.190695999999999</v>
      </c>
      <c r="D31" s="57">
        <f t="shared" si="18"/>
        <v>24.543687000000002</v>
      </c>
      <c r="E31" s="57">
        <f t="shared" si="18"/>
        <v>23.488537000000001</v>
      </c>
      <c r="F31" s="57">
        <f t="shared" si="18"/>
        <v>25.830521000000001</v>
      </c>
      <c r="G31" s="57">
        <f t="shared" si="18"/>
        <v>23.086682</v>
      </c>
      <c r="H31" s="57">
        <f t="shared" si="18"/>
        <v>23.970314000000002</v>
      </c>
      <c r="I31" s="57">
        <f t="shared" si="18"/>
        <v>25.877666000000001</v>
      </c>
      <c r="J31" s="57">
        <f t="shared" si="18"/>
        <v>26.089144999999998</v>
      </c>
      <c r="K31" s="57">
        <f t="shared" si="18"/>
        <v>28.220997000000001</v>
      </c>
      <c r="L31" s="57">
        <f t="shared" si="18"/>
        <v>21.606778000000002</v>
      </c>
      <c r="M31" s="57">
        <f t="shared" si="18"/>
        <v>23.664994</v>
      </c>
      <c r="N31" s="57">
        <f t="shared" si="18"/>
        <v>23.889943000000002</v>
      </c>
    </row>
    <row r="32" spans="1:14" x14ac:dyDescent="0.2">
      <c r="B32" s="163" t="s">
        <v>39</v>
      </c>
      <c r="C32" s="57">
        <f t="shared" ref="C32:N32" si="19">+C$10*C18</f>
        <v>4.2077999999999998</v>
      </c>
      <c r="D32" s="57">
        <f t="shared" si="19"/>
        <v>4.0997249999999994</v>
      </c>
      <c r="E32" s="57">
        <f t="shared" si="19"/>
        <v>3.9234749999999998</v>
      </c>
      <c r="F32" s="57">
        <f t="shared" si="19"/>
        <v>4.3146749999999994</v>
      </c>
      <c r="G32" s="57">
        <f t="shared" si="19"/>
        <v>3.8563499999999995</v>
      </c>
      <c r="H32" s="57">
        <f t="shared" si="19"/>
        <v>4.0039499999999997</v>
      </c>
      <c r="I32" s="57">
        <f t="shared" si="19"/>
        <v>4.3225499999999997</v>
      </c>
      <c r="J32" s="57">
        <f t="shared" si="19"/>
        <v>4.3578749999999991</v>
      </c>
      <c r="K32" s="57">
        <f t="shared" si="19"/>
        <v>4.7139749999999996</v>
      </c>
      <c r="L32" s="57">
        <f t="shared" si="19"/>
        <v>3.6091500000000001</v>
      </c>
      <c r="M32" s="57">
        <f t="shared" si="19"/>
        <v>3.9529499999999995</v>
      </c>
      <c r="N32" s="57">
        <f t="shared" si="19"/>
        <v>3.9905250000000003</v>
      </c>
    </row>
    <row r="33" spans="1:14" x14ac:dyDescent="0.2">
      <c r="B33" s="163" t="s">
        <v>40</v>
      </c>
      <c r="C33" s="57">
        <f t="shared" ref="C33:N33" si="20">+C$10*C19</f>
        <v>0</v>
      </c>
      <c r="D33" s="57">
        <f t="shared" si="20"/>
        <v>0</v>
      </c>
      <c r="E33" s="57">
        <f t="shared" si="20"/>
        <v>0</v>
      </c>
      <c r="F33" s="57">
        <f t="shared" si="20"/>
        <v>0</v>
      </c>
      <c r="G33" s="57">
        <f t="shared" si="20"/>
        <v>0</v>
      </c>
      <c r="H33" s="57">
        <f t="shared" si="20"/>
        <v>0</v>
      </c>
      <c r="I33" s="57">
        <f t="shared" si="20"/>
        <v>0</v>
      </c>
      <c r="J33" s="57">
        <f t="shared" si="20"/>
        <v>0</v>
      </c>
      <c r="K33" s="57">
        <f t="shared" si="20"/>
        <v>0</v>
      </c>
      <c r="L33" s="57">
        <f t="shared" si="20"/>
        <v>0</v>
      </c>
      <c r="M33" s="57">
        <f t="shared" si="20"/>
        <v>0</v>
      </c>
      <c r="N33" s="57">
        <f t="shared" si="20"/>
        <v>0</v>
      </c>
    </row>
    <row r="34" spans="1:14" x14ac:dyDescent="0.2">
      <c r="B34" s="163" t="s">
        <v>20</v>
      </c>
      <c r="C34" s="57">
        <f t="shared" ref="C34:N34" si="21">+C$10*C20</f>
        <v>99.191872000000004</v>
      </c>
      <c r="D34" s="57">
        <f t="shared" si="21"/>
        <v>96.64418400000001</v>
      </c>
      <c r="E34" s="57">
        <f t="shared" si="21"/>
        <v>92.489384000000001</v>
      </c>
      <c r="F34" s="57">
        <f t="shared" si="21"/>
        <v>101.71127199999999</v>
      </c>
      <c r="G34" s="57">
        <f t="shared" si="21"/>
        <v>90.907023999999993</v>
      </c>
      <c r="H34" s="57">
        <f t="shared" si="21"/>
        <v>94.386448000000016</v>
      </c>
      <c r="I34" s="57">
        <f t="shared" si="21"/>
        <v>101.89691200000001</v>
      </c>
      <c r="J34" s="57">
        <f t="shared" si="21"/>
        <v>102.72964</v>
      </c>
      <c r="K34" s="57">
        <f t="shared" si="21"/>
        <v>111.124104</v>
      </c>
      <c r="L34" s="57">
        <f t="shared" si="21"/>
        <v>85.079696000000013</v>
      </c>
      <c r="M34" s="57">
        <f t="shared" si="21"/>
        <v>93.184207999999998</v>
      </c>
      <c r="N34" s="57">
        <f t="shared" si="21"/>
        <v>94.069976000000011</v>
      </c>
    </row>
    <row r="35" spans="1:14" x14ac:dyDescent="0.2">
      <c r="B35" s="163" t="s">
        <v>41</v>
      </c>
      <c r="C35" s="57">
        <f t="shared" ref="C35:N35" si="22">+C$10*C21</f>
        <v>0</v>
      </c>
      <c r="D35" s="57">
        <f t="shared" si="22"/>
        <v>0</v>
      </c>
      <c r="E35" s="57">
        <f t="shared" si="22"/>
        <v>0</v>
      </c>
      <c r="F35" s="57">
        <f t="shared" si="22"/>
        <v>0</v>
      </c>
      <c r="G35" s="57">
        <f t="shared" si="22"/>
        <v>0</v>
      </c>
      <c r="H35" s="57">
        <f t="shared" si="22"/>
        <v>0</v>
      </c>
      <c r="I35" s="57">
        <f t="shared" si="22"/>
        <v>0</v>
      </c>
      <c r="J35" s="57">
        <f t="shared" si="22"/>
        <v>0</v>
      </c>
      <c r="K35" s="57">
        <f t="shared" si="22"/>
        <v>0</v>
      </c>
      <c r="L35" s="57">
        <f t="shared" si="22"/>
        <v>0</v>
      </c>
      <c r="M35" s="57">
        <f t="shared" si="22"/>
        <v>0</v>
      </c>
      <c r="N35" s="57">
        <f t="shared" si="22"/>
        <v>0</v>
      </c>
    </row>
    <row r="36" spans="1:14" x14ac:dyDescent="0.2">
      <c r="B36" s="163" t="s">
        <v>42</v>
      </c>
      <c r="C36" s="57">
        <f t="shared" ref="C36:N36" si="23">+C$10*C22</f>
        <v>33.269672000000071</v>
      </c>
      <c r="D36" s="57">
        <f t="shared" si="23"/>
        <v>32.415159000000074</v>
      </c>
      <c r="E36" s="57">
        <f t="shared" si="23"/>
        <v>31.021609000000069</v>
      </c>
      <c r="F36" s="57">
        <f t="shared" si="23"/>
        <v>34.114697000000071</v>
      </c>
      <c r="G36" s="57">
        <f t="shared" si="23"/>
        <v>30.490874000000066</v>
      </c>
      <c r="H36" s="57">
        <f t="shared" si="23"/>
        <v>31.65789800000007</v>
      </c>
      <c r="I36" s="57">
        <f t="shared" si="23"/>
        <v>34.176962000000074</v>
      </c>
      <c r="J36" s="57">
        <f t="shared" si="23"/>
        <v>34.456265000000073</v>
      </c>
      <c r="K36" s="57">
        <f t="shared" si="23"/>
        <v>37.271829000000082</v>
      </c>
      <c r="L36" s="57">
        <f t="shared" si="23"/>
        <v>28.536346000000066</v>
      </c>
      <c r="M36" s="57">
        <f t="shared" si="23"/>
        <v>31.254658000000067</v>
      </c>
      <c r="N36" s="57">
        <f t="shared" si="23"/>
        <v>31.551751000000074</v>
      </c>
    </row>
    <row r="37" spans="1:14" x14ac:dyDescent="0.2">
      <c r="B37" s="163" t="s">
        <v>43</v>
      </c>
      <c r="C37" s="65">
        <f t="shared" ref="C37:N37" si="24">+C$10*C23</f>
        <v>180.54267199999998</v>
      </c>
      <c r="D37" s="65">
        <f t="shared" si="24"/>
        <v>175.90553399999999</v>
      </c>
      <c r="E37" s="65">
        <f t="shared" si="24"/>
        <v>168.343234</v>
      </c>
      <c r="F37" s="65">
        <f t="shared" si="24"/>
        <v>185.12832199999997</v>
      </c>
      <c r="G37" s="65">
        <f t="shared" si="24"/>
        <v>165.46312399999997</v>
      </c>
      <c r="H37" s="65">
        <f t="shared" si="24"/>
        <v>171.79614799999999</v>
      </c>
      <c r="I37" s="65">
        <f t="shared" si="24"/>
        <v>185.46621199999998</v>
      </c>
      <c r="J37" s="65">
        <f t="shared" si="24"/>
        <v>186.98188999999996</v>
      </c>
      <c r="K37" s="65">
        <f t="shared" si="24"/>
        <v>202.26095399999997</v>
      </c>
      <c r="L37" s="65">
        <f t="shared" si="24"/>
        <v>154.856596</v>
      </c>
      <c r="M37" s="65">
        <f t="shared" si="24"/>
        <v>169.60790799999998</v>
      </c>
      <c r="N37" s="65">
        <f t="shared" si="24"/>
        <v>274.97377600000004</v>
      </c>
    </row>
    <row r="38" spans="1:14" x14ac:dyDescent="0.2">
      <c r="C38" s="57">
        <f t="shared" ref="C38:N38" si="25">SUM(C27:C37)</f>
        <v>561.04</v>
      </c>
      <c r="D38" s="57">
        <f t="shared" si="25"/>
        <v>546.63000000000011</v>
      </c>
      <c r="E38" s="57">
        <f t="shared" si="25"/>
        <v>523.13000000000011</v>
      </c>
      <c r="F38" s="57">
        <f t="shared" si="25"/>
        <v>575.29000000000008</v>
      </c>
      <c r="G38" s="57">
        <f t="shared" si="25"/>
        <v>514.18000000000006</v>
      </c>
      <c r="H38" s="57">
        <f t="shared" si="25"/>
        <v>533.86000000000013</v>
      </c>
      <c r="I38" s="57">
        <f t="shared" si="25"/>
        <v>576.34000000000015</v>
      </c>
      <c r="J38" s="57">
        <f t="shared" si="25"/>
        <v>581.04999999999995</v>
      </c>
      <c r="K38" s="57">
        <f t="shared" si="25"/>
        <v>628.53</v>
      </c>
      <c r="L38" s="57">
        <f t="shared" si="25"/>
        <v>481.22</v>
      </c>
      <c r="M38" s="57">
        <f t="shared" si="25"/>
        <v>527.06000000000006</v>
      </c>
      <c r="N38" s="57">
        <f t="shared" si="25"/>
        <v>532.07000000000016</v>
      </c>
    </row>
    <row r="40" spans="1:14" x14ac:dyDescent="0.2">
      <c r="A40" s="180" t="s">
        <v>45</v>
      </c>
    </row>
    <row r="41" spans="1:14" x14ac:dyDescent="0.2">
      <c r="B41" s="163" t="s">
        <v>22</v>
      </c>
      <c r="C41" s="112">
        <v>1</v>
      </c>
      <c r="D41" s="71">
        <v>1</v>
      </c>
      <c r="E41" s="71">
        <v>1</v>
      </c>
      <c r="F41" s="71">
        <v>1</v>
      </c>
      <c r="G41" s="71">
        <v>1</v>
      </c>
      <c r="H41" s="71">
        <v>1</v>
      </c>
      <c r="I41" s="71">
        <v>1</v>
      </c>
      <c r="J41" s="71">
        <v>1</v>
      </c>
      <c r="K41" s="71">
        <v>1</v>
      </c>
      <c r="L41" s="71">
        <v>1</v>
      </c>
      <c r="M41" s="71">
        <v>1</v>
      </c>
      <c r="N41" s="71">
        <v>1</v>
      </c>
    </row>
    <row r="42" spans="1:14" x14ac:dyDescent="0.2">
      <c r="B42" s="163" t="s">
        <v>26</v>
      </c>
      <c r="C42" s="112">
        <v>1</v>
      </c>
      <c r="D42" s="71">
        <v>1</v>
      </c>
      <c r="E42" s="71">
        <v>1</v>
      </c>
      <c r="F42" s="71">
        <v>1</v>
      </c>
      <c r="G42" s="71">
        <v>1</v>
      </c>
      <c r="H42" s="71">
        <v>1</v>
      </c>
      <c r="I42" s="71">
        <v>1</v>
      </c>
      <c r="J42" s="71">
        <v>1</v>
      </c>
      <c r="K42" s="71">
        <v>1</v>
      </c>
      <c r="L42" s="71">
        <v>1</v>
      </c>
      <c r="M42" s="71">
        <v>1</v>
      </c>
      <c r="N42" s="71">
        <v>1</v>
      </c>
    </row>
    <row r="43" spans="1:14" x14ac:dyDescent="0.2">
      <c r="B43" s="163" t="s">
        <v>36</v>
      </c>
      <c r="C43" s="112">
        <v>1</v>
      </c>
      <c r="D43" s="71">
        <v>1</v>
      </c>
      <c r="E43" s="71">
        <v>1</v>
      </c>
      <c r="F43" s="71">
        <v>1</v>
      </c>
      <c r="G43" s="71">
        <v>1</v>
      </c>
      <c r="H43" s="71">
        <v>1</v>
      </c>
      <c r="I43" s="71">
        <v>1</v>
      </c>
      <c r="J43" s="71">
        <v>1</v>
      </c>
      <c r="K43" s="71">
        <v>1</v>
      </c>
      <c r="L43" s="71">
        <v>1</v>
      </c>
      <c r="M43" s="71">
        <v>1</v>
      </c>
      <c r="N43" s="71">
        <v>1</v>
      </c>
    </row>
    <row r="44" spans="1:14" x14ac:dyDescent="0.2">
      <c r="B44" s="163" t="s">
        <v>37</v>
      </c>
      <c r="C44" s="112">
        <v>1</v>
      </c>
      <c r="D44" s="71">
        <v>1</v>
      </c>
      <c r="E44" s="71">
        <v>1</v>
      </c>
      <c r="F44" s="71">
        <v>1</v>
      </c>
      <c r="G44" s="71">
        <v>1</v>
      </c>
      <c r="H44" s="71">
        <v>1</v>
      </c>
      <c r="I44" s="71">
        <v>1</v>
      </c>
      <c r="J44" s="71">
        <v>1</v>
      </c>
      <c r="K44" s="71">
        <v>1</v>
      </c>
      <c r="L44" s="71">
        <v>1</v>
      </c>
      <c r="M44" s="71">
        <v>1</v>
      </c>
      <c r="N44" s="71">
        <v>1</v>
      </c>
    </row>
    <row r="45" spans="1:14" x14ac:dyDescent="0.2">
      <c r="B45" s="163" t="s">
        <v>38</v>
      </c>
      <c r="C45" s="112">
        <v>1</v>
      </c>
      <c r="D45" s="71">
        <v>1</v>
      </c>
      <c r="E45" s="71">
        <v>1</v>
      </c>
      <c r="F45" s="71">
        <v>1</v>
      </c>
      <c r="G45" s="71">
        <v>1</v>
      </c>
      <c r="H45" s="71">
        <v>1</v>
      </c>
      <c r="I45" s="71">
        <v>1</v>
      </c>
      <c r="J45" s="71">
        <v>1</v>
      </c>
      <c r="K45" s="71">
        <v>1</v>
      </c>
      <c r="L45" s="71">
        <v>1</v>
      </c>
      <c r="M45" s="71">
        <v>1</v>
      </c>
      <c r="N45" s="71">
        <v>1</v>
      </c>
    </row>
    <row r="46" spans="1:14" x14ac:dyDescent="0.2">
      <c r="B46" s="163" t="s">
        <v>39</v>
      </c>
      <c r="C46" s="112">
        <v>1</v>
      </c>
      <c r="D46" s="71">
        <v>1</v>
      </c>
      <c r="E46" s="71">
        <v>1</v>
      </c>
      <c r="F46" s="71">
        <v>1</v>
      </c>
      <c r="G46" s="71">
        <v>1</v>
      </c>
      <c r="H46" s="71">
        <v>1</v>
      </c>
      <c r="I46" s="71">
        <v>1</v>
      </c>
      <c r="J46" s="71">
        <v>1</v>
      </c>
      <c r="K46" s="71">
        <v>1</v>
      </c>
      <c r="L46" s="71">
        <v>1</v>
      </c>
      <c r="M46" s="71">
        <v>1</v>
      </c>
      <c r="N46" s="71">
        <v>1</v>
      </c>
    </row>
    <row r="47" spans="1:14" x14ac:dyDescent="0.2">
      <c r="B47" s="163" t="s">
        <v>40</v>
      </c>
      <c r="C47" s="112">
        <v>1</v>
      </c>
      <c r="D47" s="71">
        <v>1</v>
      </c>
      <c r="E47" s="71">
        <v>1</v>
      </c>
      <c r="F47" s="71">
        <v>1</v>
      </c>
      <c r="G47" s="71">
        <v>1</v>
      </c>
      <c r="H47" s="71">
        <v>1</v>
      </c>
      <c r="I47" s="71">
        <v>1</v>
      </c>
      <c r="J47" s="71">
        <v>1</v>
      </c>
      <c r="K47" s="71">
        <v>1</v>
      </c>
      <c r="L47" s="71">
        <v>1</v>
      </c>
      <c r="M47" s="71">
        <v>1</v>
      </c>
      <c r="N47" s="71">
        <v>1</v>
      </c>
    </row>
    <row r="48" spans="1:14" x14ac:dyDescent="0.2">
      <c r="B48" s="163" t="s">
        <v>20</v>
      </c>
      <c r="C48" s="112">
        <v>1</v>
      </c>
      <c r="D48" s="71">
        <v>1</v>
      </c>
      <c r="E48" s="71">
        <v>1</v>
      </c>
      <c r="F48" s="71">
        <v>1</v>
      </c>
      <c r="G48" s="71">
        <v>1</v>
      </c>
      <c r="H48" s="71">
        <v>1</v>
      </c>
      <c r="I48" s="71">
        <v>1</v>
      </c>
      <c r="J48" s="71">
        <v>1</v>
      </c>
      <c r="K48" s="71">
        <v>1</v>
      </c>
      <c r="L48" s="71">
        <v>1</v>
      </c>
      <c r="M48" s="71">
        <v>1</v>
      </c>
      <c r="N48" s="71">
        <v>1</v>
      </c>
    </row>
    <row r="49" spans="1:17" x14ac:dyDescent="0.2">
      <c r="B49" s="163" t="s">
        <v>41</v>
      </c>
      <c r="C49" s="112">
        <v>1</v>
      </c>
      <c r="D49" s="71">
        <v>1</v>
      </c>
      <c r="E49" s="71">
        <v>1</v>
      </c>
      <c r="F49" s="71">
        <v>1</v>
      </c>
      <c r="G49" s="71">
        <v>1</v>
      </c>
      <c r="H49" s="71">
        <v>1</v>
      </c>
      <c r="I49" s="71">
        <v>1</v>
      </c>
      <c r="J49" s="71">
        <v>1</v>
      </c>
      <c r="K49" s="71">
        <v>1</v>
      </c>
      <c r="L49" s="71">
        <v>1</v>
      </c>
      <c r="M49" s="71">
        <v>1</v>
      </c>
      <c r="N49" s="71">
        <v>1</v>
      </c>
    </row>
    <row r="50" spans="1:17" x14ac:dyDescent="0.2">
      <c r="B50" s="163" t="s">
        <v>42</v>
      </c>
      <c r="C50" s="112">
        <v>1</v>
      </c>
      <c r="D50" s="71">
        <v>1</v>
      </c>
      <c r="E50" s="71">
        <v>1</v>
      </c>
      <c r="F50" s="71">
        <v>1</v>
      </c>
      <c r="G50" s="71">
        <v>1</v>
      </c>
      <c r="H50" s="71">
        <v>1</v>
      </c>
      <c r="I50" s="71">
        <v>1</v>
      </c>
      <c r="J50" s="71">
        <v>1</v>
      </c>
      <c r="K50" s="71">
        <v>1</v>
      </c>
      <c r="L50" s="71">
        <v>1</v>
      </c>
      <c r="M50" s="71">
        <v>1</v>
      </c>
      <c r="N50" s="71">
        <v>1</v>
      </c>
    </row>
    <row r="51" spans="1:17" ht="14.25" customHeight="1" x14ac:dyDescent="0.2">
      <c r="C51" s="70"/>
      <c r="D51" s="71"/>
      <c r="E51" s="71"/>
      <c r="F51" s="71"/>
      <c r="G51" s="71"/>
      <c r="H51" s="71"/>
      <c r="I51" s="71"/>
      <c r="J51" s="71"/>
      <c r="K51" s="71"/>
      <c r="L51" s="71"/>
      <c r="M51" s="71"/>
      <c r="N51" s="71"/>
    </row>
    <row r="52" spans="1:17" x14ac:dyDescent="0.2">
      <c r="A52" s="163" t="s">
        <v>43</v>
      </c>
      <c r="C52" s="70">
        <f>+C65/C37</f>
        <v>0.99999999999999967</v>
      </c>
      <c r="D52" s="71">
        <v>1</v>
      </c>
      <c r="E52" s="71">
        <v>1</v>
      </c>
      <c r="F52" s="71">
        <v>1</v>
      </c>
      <c r="G52" s="71">
        <v>1</v>
      </c>
      <c r="H52" s="71">
        <v>1</v>
      </c>
      <c r="I52" s="71">
        <v>1</v>
      </c>
      <c r="J52" s="71">
        <v>1</v>
      </c>
      <c r="K52" s="71">
        <v>1</v>
      </c>
      <c r="L52" s="71">
        <v>1</v>
      </c>
      <c r="M52" s="71">
        <v>1</v>
      </c>
      <c r="N52" s="71">
        <v>1</v>
      </c>
    </row>
    <row r="53" spans="1:17" x14ac:dyDescent="0.2">
      <c r="L53" s="70"/>
      <c r="N53" s="71"/>
    </row>
    <row r="54" spans="1:17" x14ac:dyDescent="0.2">
      <c r="A54" s="180" t="s">
        <v>46</v>
      </c>
      <c r="L54" s="70"/>
      <c r="N54" s="71"/>
      <c r="Q54" s="181"/>
    </row>
    <row r="55" spans="1:17" x14ac:dyDescent="0.2">
      <c r="B55" s="163" t="s">
        <v>22</v>
      </c>
      <c r="C55" s="57">
        <f t="shared" ref="C55:N55" si="26">+C27*C41</f>
        <v>109.4028</v>
      </c>
      <c r="D55" s="57">
        <f t="shared" si="26"/>
        <v>106.59285</v>
      </c>
      <c r="E55" s="57">
        <f t="shared" si="26"/>
        <v>102.01035</v>
      </c>
      <c r="F55" s="57">
        <f t="shared" si="26"/>
        <v>112.18155</v>
      </c>
      <c r="G55" s="57">
        <f t="shared" si="26"/>
        <v>100.26509999999999</v>
      </c>
      <c r="H55" s="57">
        <f t="shared" si="26"/>
        <v>104.10270000000001</v>
      </c>
      <c r="I55" s="57">
        <f t="shared" si="26"/>
        <v>112.38630000000001</v>
      </c>
      <c r="J55" s="57">
        <f t="shared" si="26"/>
        <v>113.30475</v>
      </c>
      <c r="K55" s="57">
        <f t="shared" si="26"/>
        <v>122.56335</v>
      </c>
      <c r="L55" s="57">
        <f t="shared" si="26"/>
        <v>93.837900000000005</v>
      </c>
      <c r="M55" s="57">
        <f t="shared" si="26"/>
        <v>102.77669999999999</v>
      </c>
      <c r="N55" s="57">
        <f t="shared" si="26"/>
        <v>0</v>
      </c>
      <c r="O55" s="181"/>
      <c r="Q55" s="181"/>
    </row>
    <row r="56" spans="1:17" ht="12.75" x14ac:dyDescent="0.2">
      <c r="B56" s="163" t="s">
        <v>26</v>
      </c>
      <c r="C56" s="57">
        <f t="shared" ref="C56:N56" si="27">+C28*C42</f>
        <v>99.977327999999986</v>
      </c>
      <c r="D56" s="57">
        <f t="shared" si="27"/>
        <v>97.409465999999995</v>
      </c>
      <c r="E56" s="57">
        <f t="shared" si="27"/>
        <v>93.221766000000002</v>
      </c>
      <c r="F56" s="57">
        <f t="shared" si="27"/>
        <v>102.516678</v>
      </c>
      <c r="G56" s="57">
        <f t="shared" si="27"/>
        <v>91.626875999999996</v>
      </c>
      <c r="H56" s="57">
        <f t="shared" si="27"/>
        <v>95.133852000000005</v>
      </c>
      <c r="I56" s="57">
        <f t="shared" si="27"/>
        <v>102.703788</v>
      </c>
      <c r="J56" s="57">
        <f t="shared" si="27"/>
        <v>103.54310999999998</v>
      </c>
      <c r="K56" s="57">
        <f t="shared" si="27"/>
        <v>112.00404599999999</v>
      </c>
      <c r="L56" s="57">
        <f t="shared" si="27"/>
        <v>85.753404000000003</v>
      </c>
      <c r="M56" s="57">
        <f t="shared" si="27"/>
        <v>93.922091999999992</v>
      </c>
      <c r="N56" s="57">
        <f t="shared" si="27"/>
        <v>94.814874000000003</v>
      </c>
      <c r="O56" s="175"/>
      <c r="Q56" s="175"/>
    </row>
    <row r="57" spans="1:17" ht="12.75" x14ac:dyDescent="0.2">
      <c r="B57" s="163" t="s">
        <v>36</v>
      </c>
      <c r="C57" s="57">
        <f t="shared" ref="C57:N57" si="28">+C29*C43</f>
        <v>0</v>
      </c>
      <c r="D57" s="57">
        <f t="shared" si="28"/>
        <v>0</v>
      </c>
      <c r="E57" s="57">
        <f t="shared" si="28"/>
        <v>0</v>
      </c>
      <c r="F57" s="57">
        <f t="shared" si="28"/>
        <v>0</v>
      </c>
      <c r="G57" s="57">
        <f t="shared" si="28"/>
        <v>0</v>
      </c>
      <c r="H57" s="57">
        <f t="shared" si="28"/>
        <v>0</v>
      </c>
      <c r="I57" s="57">
        <f t="shared" si="28"/>
        <v>0</v>
      </c>
      <c r="J57" s="57">
        <f t="shared" si="28"/>
        <v>0</v>
      </c>
      <c r="K57" s="57">
        <f t="shared" si="28"/>
        <v>0</v>
      </c>
      <c r="L57" s="57">
        <f t="shared" si="28"/>
        <v>0</v>
      </c>
      <c r="M57" s="57">
        <f t="shared" si="28"/>
        <v>0</v>
      </c>
      <c r="N57" s="57">
        <f t="shared" si="28"/>
        <v>0</v>
      </c>
      <c r="O57" s="175"/>
      <c r="Q57" s="175"/>
    </row>
    <row r="58" spans="1:17" ht="12.75" x14ac:dyDescent="0.2">
      <c r="B58" s="163" t="s">
        <v>37</v>
      </c>
      <c r="C58" s="57">
        <f t="shared" ref="C58:N58" si="29">+C30*C44</f>
        <v>9.2571600000000007</v>
      </c>
      <c r="D58" s="57">
        <f t="shared" si="29"/>
        <v>9.0193950000000012</v>
      </c>
      <c r="E58" s="57">
        <f t="shared" si="29"/>
        <v>8.6316450000000007</v>
      </c>
      <c r="F58" s="57">
        <f t="shared" si="29"/>
        <v>9.492284999999999</v>
      </c>
      <c r="G58" s="57">
        <f t="shared" si="29"/>
        <v>8.4839699999999993</v>
      </c>
      <c r="H58" s="57">
        <f t="shared" si="29"/>
        <v>8.8086900000000004</v>
      </c>
      <c r="I58" s="57">
        <f t="shared" si="29"/>
        <v>9.5096100000000003</v>
      </c>
      <c r="J58" s="57">
        <f t="shared" si="29"/>
        <v>9.5873249999999999</v>
      </c>
      <c r="K58" s="57">
        <f t="shared" si="29"/>
        <v>10.370744999999999</v>
      </c>
      <c r="L58" s="57">
        <f t="shared" si="29"/>
        <v>7.9401300000000008</v>
      </c>
      <c r="M58" s="57">
        <f t="shared" si="29"/>
        <v>8.6964899999999989</v>
      </c>
      <c r="N58" s="57">
        <f t="shared" si="29"/>
        <v>8.7791550000000012</v>
      </c>
      <c r="O58" s="175"/>
      <c r="Q58" s="175"/>
    </row>
    <row r="59" spans="1:17" ht="12.75" x14ac:dyDescent="0.2">
      <c r="B59" s="163" t="s">
        <v>38</v>
      </c>
      <c r="C59" s="57">
        <f t="shared" ref="C59:N59" si="30">+C31*C45</f>
        <v>25.190695999999999</v>
      </c>
      <c r="D59" s="57">
        <f t="shared" si="30"/>
        <v>24.543687000000002</v>
      </c>
      <c r="E59" s="57">
        <f t="shared" si="30"/>
        <v>23.488537000000001</v>
      </c>
      <c r="F59" s="57">
        <f t="shared" si="30"/>
        <v>25.830521000000001</v>
      </c>
      <c r="G59" s="57">
        <f t="shared" si="30"/>
        <v>23.086682</v>
      </c>
      <c r="H59" s="57">
        <f t="shared" si="30"/>
        <v>23.970314000000002</v>
      </c>
      <c r="I59" s="57">
        <f t="shared" si="30"/>
        <v>25.877666000000001</v>
      </c>
      <c r="J59" s="57">
        <f t="shared" si="30"/>
        <v>26.089144999999998</v>
      </c>
      <c r="K59" s="57">
        <f t="shared" si="30"/>
        <v>28.220997000000001</v>
      </c>
      <c r="L59" s="57">
        <f t="shared" si="30"/>
        <v>21.606778000000002</v>
      </c>
      <c r="M59" s="57">
        <f t="shared" si="30"/>
        <v>23.664994</v>
      </c>
      <c r="N59" s="57">
        <f t="shared" si="30"/>
        <v>23.889943000000002</v>
      </c>
      <c r="O59" s="175"/>
      <c r="Q59" s="175"/>
    </row>
    <row r="60" spans="1:17" ht="12.75" x14ac:dyDescent="0.2">
      <c r="B60" s="163" t="s">
        <v>39</v>
      </c>
      <c r="C60" s="72">
        <f t="shared" ref="C60:N60" si="31">+C32*C46</f>
        <v>4.2077999999999998</v>
      </c>
      <c r="D60" s="72">
        <f t="shared" si="31"/>
        <v>4.0997249999999994</v>
      </c>
      <c r="E60" s="72">
        <f t="shared" si="31"/>
        <v>3.9234749999999998</v>
      </c>
      <c r="F60" s="72">
        <f t="shared" si="31"/>
        <v>4.3146749999999994</v>
      </c>
      <c r="G60" s="72">
        <f t="shared" si="31"/>
        <v>3.8563499999999995</v>
      </c>
      <c r="H60" s="72">
        <f t="shared" si="31"/>
        <v>4.0039499999999997</v>
      </c>
      <c r="I60" s="72">
        <f t="shared" si="31"/>
        <v>4.3225499999999997</v>
      </c>
      <c r="J60" s="72">
        <f t="shared" si="31"/>
        <v>4.3578749999999991</v>
      </c>
      <c r="K60" s="72">
        <f t="shared" si="31"/>
        <v>4.7139749999999996</v>
      </c>
      <c r="L60" s="72">
        <f t="shared" si="31"/>
        <v>3.6091500000000001</v>
      </c>
      <c r="M60" s="72">
        <f t="shared" si="31"/>
        <v>3.9529499999999995</v>
      </c>
      <c r="N60" s="72">
        <f t="shared" si="31"/>
        <v>3.9905250000000003</v>
      </c>
      <c r="O60" s="175"/>
      <c r="Q60" s="175"/>
    </row>
    <row r="61" spans="1:17" ht="12.75" x14ac:dyDescent="0.2">
      <c r="B61" s="163" t="s">
        <v>40</v>
      </c>
      <c r="C61" s="57">
        <f t="shared" ref="C61:N61" si="32">+C33*C47</f>
        <v>0</v>
      </c>
      <c r="D61" s="57">
        <f t="shared" si="32"/>
        <v>0</v>
      </c>
      <c r="E61" s="57">
        <f t="shared" si="32"/>
        <v>0</v>
      </c>
      <c r="F61" s="57">
        <f t="shared" si="32"/>
        <v>0</v>
      </c>
      <c r="G61" s="57">
        <f t="shared" si="32"/>
        <v>0</v>
      </c>
      <c r="H61" s="57">
        <f t="shared" si="32"/>
        <v>0</v>
      </c>
      <c r="I61" s="57">
        <f t="shared" si="32"/>
        <v>0</v>
      </c>
      <c r="J61" s="57">
        <f t="shared" si="32"/>
        <v>0</v>
      </c>
      <c r="K61" s="57">
        <f t="shared" si="32"/>
        <v>0</v>
      </c>
      <c r="L61" s="57">
        <f t="shared" si="32"/>
        <v>0</v>
      </c>
      <c r="M61" s="57">
        <f t="shared" si="32"/>
        <v>0</v>
      </c>
      <c r="N61" s="57">
        <f t="shared" si="32"/>
        <v>0</v>
      </c>
      <c r="O61" s="175"/>
      <c r="Q61" s="175"/>
    </row>
    <row r="62" spans="1:17" ht="12.75" x14ac:dyDescent="0.2">
      <c r="B62" s="163" t="s">
        <v>33</v>
      </c>
      <c r="C62" s="57">
        <f t="shared" ref="C62:N62" si="33">+C34*C48</f>
        <v>99.191872000000004</v>
      </c>
      <c r="D62" s="57">
        <f t="shared" si="33"/>
        <v>96.64418400000001</v>
      </c>
      <c r="E62" s="57">
        <f t="shared" si="33"/>
        <v>92.489384000000001</v>
      </c>
      <c r="F62" s="57">
        <f t="shared" si="33"/>
        <v>101.71127199999999</v>
      </c>
      <c r="G62" s="57">
        <f t="shared" si="33"/>
        <v>90.907023999999993</v>
      </c>
      <c r="H62" s="57">
        <f t="shared" si="33"/>
        <v>94.386448000000016</v>
      </c>
      <c r="I62" s="57">
        <f t="shared" si="33"/>
        <v>101.89691200000001</v>
      </c>
      <c r="J62" s="57">
        <f t="shared" si="33"/>
        <v>102.72964</v>
      </c>
      <c r="K62" s="57">
        <f t="shared" si="33"/>
        <v>111.124104</v>
      </c>
      <c r="L62" s="57">
        <f t="shared" si="33"/>
        <v>85.079696000000013</v>
      </c>
      <c r="M62" s="57">
        <f t="shared" si="33"/>
        <v>93.184207999999998</v>
      </c>
      <c r="N62" s="57">
        <f t="shared" si="33"/>
        <v>94.069976000000011</v>
      </c>
      <c r="O62" s="175"/>
      <c r="Q62" s="175"/>
    </row>
    <row r="63" spans="1:17" ht="12.75" x14ac:dyDescent="0.2">
      <c r="B63" s="163" t="s">
        <v>41</v>
      </c>
      <c r="C63" s="57">
        <f t="shared" ref="C63:N63" si="34">+C35*C49</f>
        <v>0</v>
      </c>
      <c r="D63" s="57">
        <f t="shared" si="34"/>
        <v>0</v>
      </c>
      <c r="E63" s="57">
        <f t="shared" si="34"/>
        <v>0</v>
      </c>
      <c r="F63" s="57">
        <f t="shared" si="34"/>
        <v>0</v>
      </c>
      <c r="G63" s="57">
        <f t="shared" si="34"/>
        <v>0</v>
      </c>
      <c r="H63" s="57">
        <f t="shared" si="34"/>
        <v>0</v>
      </c>
      <c r="I63" s="57">
        <f t="shared" si="34"/>
        <v>0</v>
      </c>
      <c r="J63" s="57">
        <f t="shared" si="34"/>
        <v>0</v>
      </c>
      <c r="K63" s="57">
        <f t="shared" si="34"/>
        <v>0</v>
      </c>
      <c r="L63" s="57">
        <f t="shared" si="34"/>
        <v>0</v>
      </c>
      <c r="M63" s="57">
        <f t="shared" si="34"/>
        <v>0</v>
      </c>
      <c r="N63" s="57">
        <f t="shared" si="34"/>
        <v>0</v>
      </c>
      <c r="O63" s="175"/>
      <c r="Q63" s="175"/>
    </row>
    <row r="64" spans="1:17" ht="12.75" x14ac:dyDescent="0.2">
      <c r="B64" s="163" t="s">
        <v>42</v>
      </c>
      <c r="C64" s="57">
        <f t="shared" ref="C64:N64" si="35">+C36*C50</f>
        <v>33.269672000000071</v>
      </c>
      <c r="D64" s="57">
        <f t="shared" si="35"/>
        <v>32.415159000000074</v>
      </c>
      <c r="E64" s="57">
        <f t="shared" si="35"/>
        <v>31.021609000000069</v>
      </c>
      <c r="F64" s="57">
        <f t="shared" si="35"/>
        <v>34.114697000000071</v>
      </c>
      <c r="G64" s="57">
        <f t="shared" si="35"/>
        <v>30.490874000000066</v>
      </c>
      <c r="H64" s="57">
        <f t="shared" si="35"/>
        <v>31.65789800000007</v>
      </c>
      <c r="I64" s="57">
        <f t="shared" si="35"/>
        <v>34.176962000000074</v>
      </c>
      <c r="J64" s="57">
        <f t="shared" si="35"/>
        <v>34.456265000000073</v>
      </c>
      <c r="K64" s="57">
        <f t="shared" si="35"/>
        <v>37.271829000000082</v>
      </c>
      <c r="L64" s="57">
        <f t="shared" si="35"/>
        <v>28.536346000000066</v>
      </c>
      <c r="M64" s="57">
        <f t="shared" si="35"/>
        <v>31.254658000000067</v>
      </c>
      <c r="N64" s="57">
        <f t="shared" si="35"/>
        <v>31.551751000000074</v>
      </c>
      <c r="P64" s="234"/>
      <c r="Q64" s="181"/>
    </row>
    <row r="65" spans="1:22" ht="12.75" x14ac:dyDescent="0.2">
      <c r="B65" s="163" t="s">
        <v>43</v>
      </c>
      <c r="C65" s="65">
        <f t="shared" ref="C65:N65" si="36">+C7-SUM(C55:C64)</f>
        <v>180.54267199999992</v>
      </c>
      <c r="D65" s="65">
        <f t="shared" si="36"/>
        <v>175.90553399999988</v>
      </c>
      <c r="E65" s="65">
        <f t="shared" si="36"/>
        <v>168.34323399999988</v>
      </c>
      <c r="F65" s="65">
        <f t="shared" si="36"/>
        <v>185.12832199999986</v>
      </c>
      <c r="G65" s="65">
        <f t="shared" si="36"/>
        <v>165.46312399999988</v>
      </c>
      <c r="H65" s="65">
        <f t="shared" si="36"/>
        <v>171.7961479999999</v>
      </c>
      <c r="I65" s="65">
        <f t="shared" si="36"/>
        <v>185.46621199999993</v>
      </c>
      <c r="J65" s="65">
        <f t="shared" si="36"/>
        <v>186.98188999999991</v>
      </c>
      <c r="K65" s="65">
        <f t="shared" si="36"/>
        <v>202.26095399999991</v>
      </c>
      <c r="L65" s="65">
        <f t="shared" si="36"/>
        <v>154.85659599999997</v>
      </c>
      <c r="M65" s="65">
        <f t="shared" si="36"/>
        <v>169.6079079999999</v>
      </c>
      <c r="N65" s="65">
        <f t="shared" si="36"/>
        <v>274.97377599999993</v>
      </c>
      <c r="P65" s="234"/>
      <c r="Q65" s="181"/>
      <c r="R65" s="181"/>
      <c r="S65" s="181"/>
      <c r="T65" s="181"/>
      <c r="U65" s="181"/>
      <c r="V65" s="181"/>
    </row>
    <row r="66" spans="1:22" ht="12.75" x14ac:dyDescent="0.2">
      <c r="C66" s="57">
        <f t="shared" ref="C66:N66" si="37">SUM(C55:C65)</f>
        <v>561.04</v>
      </c>
      <c r="D66" s="57">
        <f t="shared" si="37"/>
        <v>546.63</v>
      </c>
      <c r="E66" s="57">
        <f t="shared" si="37"/>
        <v>523.13</v>
      </c>
      <c r="F66" s="57">
        <f t="shared" si="37"/>
        <v>575.29</v>
      </c>
      <c r="G66" s="57">
        <f t="shared" si="37"/>
        <v>514.17999999999995</v>
      </c>
      <c r="H66" s="57">
        <f t="shared" si="37"/>
        <v>533.86</v>
      </c>
      <c r="I66" s="57">
        <f t="shared" si="37"/>
        <v>576.34</v>
      </c>
      <c r="J66" s="57">
        <f t="shared" si="37"/>
        <v>581.04999999999995</v>
      </c>
      <c r="K66" s="57">
        <f t="shared" si="37"/>
        <v>628.53</v>
      </c>
      <c r="L66" s="57">
        <f t="shared" si="37"/>
        <v>481.22</v>
      </c>
      <c r="M66" s="57">
        <f t="shared" si="37"/>
        <v>527.05999999999995</v>
      </c>
      <c r="N66" s="57">
        <f t="shared" si="37"/>
        <v>532.07000000000005</v>
      </c>
      <c r="P66" s="234"/>
      <c r="Q66" s="181"/>
      <c r="R66" s="181"/>
      <c r="S66" s="181"/>
      <c r="T66" s="181"/>
      <c r="U66" s="181"/>
      <c r="V66" s="181"/>
    </row>
    <row r="67" spans="1:22" ht="12.75" x14ac:dyDescent="0.2">
      <c r="P67" s="186"/>
      <c r="Q67" s="181"/>
      <c r="R67" s="181"/>
      <c r="S67" s="181"/>
      <c r="T67" s="181"/>
      <c r="U67" s="181"/>
      <c r="V67" s="181"/>
    </row>
    <row r="68" spans="1:22" ht="12.75" x14ac:dyDescent="0.2">
      <c r="A68" s="187" t="s">
        <v>47</v>
      </c>
      <c r="P68" s="186"/>
      <c r="Q68" s="181"/>
      <c r="R68" s="181"/>
      <c r="S68" s="181"/>
      <c r="T68" s="181"/>
      <c r="U68" s="181"/>
      <c r="V68" s="181"/>
    </row>
    <row r="69" spans="1:22" ht="12" x14ac:dyDescent="0.2">
      <c r="B69" s="163" t="s">
        <v>22</v>
      </c>
      <c r="C69" s="199">
        <v>65.3</v>
      </c>
      <c r="D69" s="199">
        <v>85.06</v>
      </c>
      <c r="E69" s="199">
        <v>98.56</v>
      </c>
      <c r="F69" s="199">
        <v>81.63</v>
      </c>
      <c r="G69" s="200">
        <v>63.02</v>
      </c>
      <c r="H69" s="200">
        <v>60.33</v>
      </c>
      <c r="I69" s="199">
        <v>65.930000000000007</v>
      </c>
      <c r="J69" s="199">
        <v>63.69</v>
      </c>
      <c r="K69" s="199">
        <v>39.799999999999997</v>
      </c>
      <c r="L69" s="198">
        <v>-18.13</v>
      </c>
      <c r="M69" s="198">
        <v>-16.23</v>
      </c>
      <c r="N69" s="199">
        <v>0</v>
      </c>
      <c r="P69" s="185"/>
      <c r="Q69" s="181"/>
      <c r="R69" s="181"/>
      <c r="S69" s="181"/>
      <c r="T69" s="181"/>
      <c r="U69" s="232"/>
      <c r="V69" s="181"/>
    </row>
    <row r="70" spans="1:22" ht="12" x14ac:dyDescent="0.2">
      <c r="B70" s="163" t="s">
        <v>26</v>
      </c>
      <c r="C70" s="199">
        <v>132.68</v>
      </c>
      <c r="D70" s="199">
        <v>159.52000000000001</v>
      </c>
      <c r="E70" s="199">
        <v>163.29</v>
      </c>
      <c r="F70" s="199">
        <v>145.72999999999999</v>
      </c>
      <c r="G70" s="200">
        <v>110.68</v>
      </c>
      <c r="H70" s="200">
        <v>81.77</v>
      </c>
      <c r="I70" s="199">
        <v>114.18</v>
      </c>
      <c r="J70" s="199">
        <v>107.57</v>
      </c>
      <c r="K70" s="199">
        <v>105.09</v>
      </c>
      <c r="L70" s="199">
        <v>62.76</v>
      </c>
      <c r="M70" s="199">
        <v>56.69</v>
      </c>
      <c r="N70" s="199">
        <v>57.61</v>
      </c>
      <c r="P70" s="185"/>
      <c r="Q70" s="181"/>
      <c r="R70" s="181"/>
      <c r="S70" s="181"/>
      <c r="T70" s="181"/>
      <c r="U70" s="232"/>
      <c r="V70" s="181"/>
    </row>
    <row r="71" spans="1:22" ht="12" x14ac:dyDescent="0.2">
      <c r="B71" s="163" t="s">
        <v>36</v>
      </c>
      <c r="C71" s="199">
        <v>0</v>
      </c>
      <c r="D71" s="199"/>
      <c r="E71" s="199"/>
      <c r="F71" s="199"/>
      <c r="G71" s="200"/>
      <c r="H71" s="200"/>
      <c r="I71" s="199"/>
      <c r="J71" s="199"/>
      <c r="K71" s="199"/>
      <c r="L71" s="199"/>
      <c r="M71" s="199"/>
      <c r="N71" s="199"/>
      <c r="P71" s="185"/>
      <c r="Q71" s="181"/>
      <c r="R71" s="181"/>
      <c r="S71" s="181"/>
      <c r="T71" s="181"/>
      <c r="U71" s="232"/>
      <c r="V71" s="181"/>
    </row>
    <row r="72" spans="1:22" ht="12" x14ac:dyDescent="0.2">
      <c r="B72" s="163" t="s">
        <v>37</v>
      </c>
      <c r="C72" s="199">
        <v>71.989999999999995</v>
      </c>
      <c r="D72" s="199">
        <v>69.08</v>
      </c>
      <c r="E72" s="199">
        <v>67.63</v>
      </c>
      <c r="F72" s="199">
        <v>78.11</v>
      </c>
      <c r="G72" s="200">
        <v>86.53</v>
      </c>
      <c r="H72" s="200">
        <v>76.06</v>
      </c>
      <c r="I72" s="199">
        <v>78.08</v>
      </c>
      <c r="J72" s="199">
        <v>88.61</v>
      </c>
      <c r="K72" s="199">
        <v>102.96</v>
      </c>
      <c r="L72" s="199">
        <v>92.72</v>
      </c>
      <c r="M72" s="199">
        <v>106.7</v>
      </c>
      <c r="N72" s="199">
        <v>109.51</v>
      </c>
      <c r="P72" s="185"/>
      <c r="Q72" s="181"/>
      <c r="R72" s="181"/>
      <c r="S72" s="181"/>
      <c r="T72" s="181"/>
      <c r="U72" s="232"/>
      <c r="V72" s="181"/>
    </row>
    <row r="73" spans="1:22" ht="12" x14ac:dyDescent="0.2">
      <c r="B73" s="163" t="s">
        <v>38</v>
      </c>
      <c r="C73" s="199">
        <v>92.51</v>
      </c>
      <c r="D73" s="199">
        <v>70.599999999999994</v>
      </c>
      <c r="E73" s="199">
        <v>62.55</v>
      </c>
      <c r="F73" s="199">
        <v>83.03</v>
      </c>
      <c r="G73" s="200">
        <v>72.099999999999994</v>
      </c>
      <c r="H73" s="200">
        <v>48.29</v>
      </c>
      <c r="I73" s="199">
        <v>50.05</v>
      </c>
      <c r="J73" s="199">
        <v>51.67</v>
      </c>
      <c r="K73" s="199">
        <v>53.44</v>
      </c>
      <c r="L73" s="199">
        <v>85.33</v>
      </c>
      <c r="M73" s="199">
        <v>105.24</v>
      </c>
      <c r="N73" s="199">
        <v>107.91</v>
      </c>
      <c r="P73" s="185"/>
      <c r="Q73" s="181"/>
      <c r="R73" s="181"/>
      <c r="S73" s="181"/>
      <c r="T73" s="181"/>
      <c r="U73" s="232"/>
      <c r="V73" s="181"/>
    </row>
    <row r="74" spans="1:22" ht="12" x14ac:dyDescent="0.2">
      <c r="B74" s="163" t="s">
        <v>39</v>
      </c>
      <c r="C74" s="199">
        <v>905.35</v>
      </c>
      <c r="D74" s="199">
        <v>894.34</v>
      </c>
      <c r="E74" s="199">
        <v>871.1</v>
      </c>
      <c r="F74" s="199">
        <v>905.36</v>
      </c>
      <c r="G74" s="200">
        <v>953.11</v>
      </c>
      <c r="H74" s="200">
        <v>980.71</v>
      </c>
      <c r="I74" s="199">
        <v>971.66</v>
      </c>
      <c r="J74" s="199">
        <v>973.36</v>
      </c>
      <c r="K74" s="199">
        <v>1013.02</v>
      </c>
      <c r="L74" s="199">
        <v>988.19</v>
      </c>
      <c r="M74" s="199">
        <v>977.91</v>
      </c>
      <c r="N74" s="199">
        <v>989.87</v>
      </c>
      <c r="P74" s="185"/>
      <c r="Q74" s="181"/>
      <c r="R74" s="181"/>
      <c r="S74" s="181"/>
      <c r="T74" s="181"/>
      <c r="U74" s="232"/>
      <c r="V74" s="181"/>
    </row>
    <row r="75" spans="1:22" ht="12" x14ac:dyDescent="0.2">
      <c r="B75" s="163" t="s">
        <v>40</v>
      </c>
      <c r="C75" s="199">
        <v>0</v>
      </c>
      <c r="D75" s="199"/>
      <c r="E75" s="199"/>
      <c r="F75" s="199"/>
      <c r="G75" s="200"/>
      <c r="H75" s="200"/>
      <c r="I75" s="199"/>
      <c r="J75" s="199"/>
      <c r="K75" s="199"/>
      <c r="L75" s="199"/>
      <c r="M75" s="199"/>
      <c r="N75" s="199"/>
      <c r="P75" s="185"/>
      <c r="Q75" s="181"/>
      <c r="R75" s="181"/>
      <c r="S75" s="181"/>
      <c r="T75" s="181"/>
      <c r="U75" s="232"/>
      <c r="V75" s="181"/>
    </row>
    <row r="76" spans="1:22" ht="12" x14ac:dyDescent="0.2">
      <c r="B76" s="163" t="s">
        <v>33</v>
      </c>
      <c r="C76" s="198">
        <v>-15.91</v>
      </c>
      <c r="D76" s="198">
        <v>-6.4</v>
      </c>
      <c r="E76" s="198">
        <v>-6.61</v>
      </c>
      <c r="F76" s="198">
        <v>-4.34</v>
      </c>
      <c r="G76" s="201">
        <v>-5.61</v>
      </c>
      <c r="H76" s="201">
        <v>-8.7799999999999994</v>
      </c>
      <c r="I76" s="198">
        <v>-2.5099999999999998</v>
      </c>
      <c r="J76" s="198">
        <v>-9.4600000000000009</v>
      </c>
      <c r="K76" s="198">
        <v>-9.98</v>
      </c>
      <c r="L76" s="198">
        <v>-8.01</v>
      </c>
      <c r="M76" s="198">
        <v>-9</v>
      </c>
      <c r="N76" s="199">
        <v>-10.23</v>
      </c>
      <c r="P76" s="185"/>
      <c r="Q76" s="181"/>
      <c r="R76" s="181"/>
      <c r="S76" s="181"/>
      <c r="T76" s="181"/>
      <c r="U76" s="232"/>
      <c r="V76" s="181"/>
    </row>
    <row r="77" spans="1:22" ht="12" x14ac:dyDescent="0.2">
      <c r="B77" s="163" t="s">
        <v>41</v>
      </c>
      <c r="C77" s="198"/>
      <c r="D77" s="198"/>
      <c r="E77" s="198"/>
      <c r="F77" s="198"/>
      <c r="G77" s="201"/>
      <c r="H77" s="201"/>
      <c r="I77" s="198"/>
      <c r="J77" s="198"/>
      <c r="K77" s="198"/>
      <c r="L77" s="198"/>
      <c r="M77" s="198"/>
      <c r="N77" s="199"/>
      <c r="P77" s="185"/>
      <c r="Q77" s="181"/>
      <c r="R77" s="181"/>
      <c r="S77" s="181"/>
      <c r="T77" s="181"/>
      <c r="U77" s="232"/>
      <c r="V77" s="181"/>
    </row>
    <row r="78" spans="1:22" ht="12" x14ac:dyDescent="0.2">
      <c r="B78" s="163" t="s">
        <v>42</v>
      </c>
      <c r="C78" s="198">
        <v>-134.59</v>
      </c>
      <c r="D78" s="198">
        <v>-134.59</v>
      </c>
      <c r="E78" s="198">
        <v>-134.59</v>
      </c>
      <c r="F78" s="198">
        <v>-134.59</v>
      </c>
      <c r="G78" s="201">
        <v>-134.59</v>
      </c>
      <c r="H78" s="201">
        <v>-134.59</v>
      </c>
      <c r="I78" s="198">
        <v>-134.59</v>
      </c>
      <c r="J78" s="198">
        <v>-134.59</v>
      </c>
      <c r="K78" s="198">
        <v>-134.59</v>
      </c>
      <c r="L78" s="198">
        <v>-134.59</v>
      </c>
      <c r="M78" s="198">
        <v>-134.59</v>
      </c>
      <c r="N78" s="199">
        <v>-134.59</v>
      </c>
      <c r="P78" s="185"/>
      <c r="Q78" s="181"/>
      <c r="R78" s="181"/>
      <c r="S78" s="181"/>
      <c r="T78" s="181"/>
      <c r="U78" s="232"/>
      <c r="V78" s="181"/>
    </row>
    <row r="79" spans="1:22" ht="12" x14ac:dyDescent="0.2">
      <c r="B79" s="163" t="s">
        <v>43</v>
      </c>
      <c r="C79" s="199">
        <v>60.14</v>
      </c>
      <c r="D79" s="199">
        <v>78.88</v>
      </c>
      <c r="E79" s="199">
        <v>93.44</v>
      </c>
      <c r="F79" s="199">
        <v>77.209999999999994</v>
      </c>
      <c r="G79" s="200">
        <v>57.85</v>
      </c>
      <c r="H79" s="200">
        <v>55.22</v>
      </c>
      <c r="I79" s="199">
        <v>52.85</v>
      </c>
      <c r="J79" s="199">
        <v>49.88</v>
      </c>
      <c r="K79" s="199">
        <v>40.17</v>
      </c>
      <c r="L79" s="198">
        <v>-21.81</v>
      </c>
      <c r="M79" s="198">
        <v>-21.39</v>
      </c>
      <c r="N79" s="199">
        <v>-20.59</v>
      </c>
      <c r="O79" s="183">
        <f>SUM(C69:N79)</f>
        <v>14011.14</v>
      </c>
      <c r="P79" s="185"/>
      <c r="Q79" s="181"/>
      <c r="R79" s="181"/>
      <c r="S79" s="181"/>
      <c r="T79" s="181"/>
      <c r="U79" s="232"/>
      <c r="V79" s="181"/>
    </row>
    <row r="80" spans="1:22" x14ac:dyDescent="0.2">
      <c r="P80" s="181"/>
      <c r="Q80" s="181"/>
      <c r="R80" s="233"/>
      <c r="S80" s="181"/>
      <c r="T80" s="181"/>
      <c r="U80" s="232"/>
      <c r="V80" s="181"/>
    </row>
    <row r="81" spans="1:22" x14ac:dyDescent="0.2">
      <c r="A81" s="180" t="s">
        <v>48</v>
      </c>
      <c r="P81" s="181"/>
      <c r="Q81" s="181"/>
      <c r="R81" s="181"/>
      <c r="S81" s="181"/>
      <c r="T81" s="181"/>
      <c r="U81" s="181"/>
      <c r="V81" s="181"/>
    </row>
    <row r="82" spans="1:22" x14ac:dyDescent="0.2">
      <c r="B82" s="163" t="s">
        <v>22</v>
      </c>
      <c r="C82" s="58">
        <f t="shared" ref="C82:N82" si="38">+C69*C55</f>
        <v>7144.0028399999992</v>
      </c>
      <c r="D82" s="57">
        <f t="shared" si="38"/>
        <v>9066.7878209999999</v>
      </c>
      <c r="E82" s="57">
        <f t="shared" si="38"/>
        <v>10054.140096000001</v>
      </c>
      <c r="F82" s="57">
        <f t="shared" si="38"/>
        <v>9157.3799264999998</v>
      </c>
      <c r="G82" s="57">
        <f t="shared" si="38"/>
        <v>6318.7066019999993</v>
      </c>
      <c r="H82" s="57">
        <f t="shared" si="38"/>
        <v>6280.5158910000009</v>
      </c>
      <c r="I82" s="57">
        <f t="shared" si="38"/>
        <v>7409.6287590000011</v>
      </c>
      <c r="J82" s="57">
        <f t="shared" si="38"/>
        <v>7216.3795274999993</v>
      </c>
      <c r="K82" s="57">
        <f t="shared" si="38"/>
        <v>4878.0213299999996</v>
      </c>
      <c r="L82" s="57">
        <f t="shared" si="38"/>
        <v>-1701.281127</v>
      </c>
      <c r="M82" s="57">
        <f t="shared" si="38"/>
        <v>-1668.0658409999999</v>
      </c>
      <c r="N82" s="57">
        <f t="shared" si="38"/>
        <v>0</v>
      </c>
      <c r="P82" s="181"/>
      <c r="Q82" s="181"/>
      <c r="R82" s="181"/>
      <c r="S82" s="181"/>
      <c r="T82" s="181"/>
      <c r="U82" s="181"/>
      <c r="V82" s="181"/>
    </row>
    <row r="83" spans="1:22" x14ac:dyDescent="0.2">
      <c r="B83" s="163" t="s">
        <v>26</v>
      </c>
      <c r="C83" s="58">
        <f t="shared" ref="C83:N83" si="39">+C70*C56</f>
        <v>13264.991879039999</v>
      </c>
      <c r="D83" s="57">
        <f t="shared" si="39"/>
        <v>15538.75801632</v>
      </c>
      <c r="E83" s="57">
        <f t="shared" si="39"/>
        <v>15222.18217014</v>
      </c>
      <c r="F83" s="57">
        <f t="shared" si="39"/>
        <v>14939.755484939998</v>
      </c>
      <c r="G83" s="57">
        <f t="shared" si="39"/>
        <v>10141.262635680001</v>
      </c>
      <c r="H83" s="57">
        <f t="shared" si="39"/>
        <v>7779.0950780399999</v>
      </c>
      <c r="I83" s="57">
        <f t="shared" si="39"/>
        <v>11726.718513840002</v>
      </c>
      <c r="J83" s="57">
        <f t="shared" si="39"/>
        <v>11138.132342699997</v>
      </c>
      <c r="K83" s="57">
        <f t="shared" si="39"/>
        <v>11770.50519414</v>
      </c>
      <c r="L83" s="57">
        <f t="shared" si="39"/>
        <v>5381.8836350399997</v>
      </c>
      <c r="M83" s="57">
        <f t="shared" si="39"/>
        <v>5324.4433954799997</v>
      </c>
      <c r="N83" s="57">
        <f t="shared" si="39"/>
        <v>5462.2848911400006</v>
      </c>
      <c r="P83" s="181"/>
      <c r="Q83" s="181"/>
      <c r="R83" s="181"/>
      <c r="S83" s="181"/>
      <c r="T83" s="181"/>
      <c r="U83" s="181"/>
      <c r="V83" s="181"/>
    </row>
    <row r="84" spans="1:22" x14ac:dyDescent="0.2">
      <c r="B84" s="163" t="s">
        <v>36</v>
      </c>
      <c r="C84" s="58">
        <f t="shared" ref="C84:N84" si="40">+C71*C57</f>
        <v>0</v>
      </c>
      <c r="D84" s="57">
        <f t="shared" si="40"/>
        <v>0</v>
      </c>
      <c r="E84" s="57">
        <f t="shared" si="40"/>
        <v>0</v>
      </c>
      <c r="F84" s="57">
        <f t="shared" si="40"/>
        <v>0</v>
      </c>
      <c r="G84" s="57">
        <f t="shared" si="40"/>
        <v>0</v>
      </c>
      <c r="H84" s="57">
        <f t="shared" si="40"/>
        <v>0</v>
      </c>
      <c r="I84" s="57">
        <f t="shared" si="40"/>
        <v>0</v>
      </c>
      <c r="J84" s="57">
        <f t="shared" si="40"/>
        <v>0</v>
      </c>
      <c r="K84" s="57">
        <f t="shared" si="40"/>
        <v>0</v>
      </c>
      <c r="L84" s="57">
        <f t="shared" si="40"/>
        <v>0</v>
      </c>
      <c r="M84" s="57">
        <f t="shared" si="40"/>
        <v>0</v>
      </c>
      <c r="N84" s="57">
        <f t="shared" si="40"/>
        <v>0</v>
      </c>
      <c r="P84" s="181"/>
      <c r="Q84" s="181"/>
      <c r="R84" s="231"/>
      <c r="S84" s="181"/>
      <c r="T84" s="181"/>
      <c r="U84" s="181"/>
      <c r="V84" s="181"/>
    </row>
    <row r="85" spans="1:22" x14ac:dyDescent="0.2">
      <c r="B85" s="163" t="s">
        <v>37</v>
      </c>
      <c r="C85" s="58">
        <f t="shared" ref="C85:N85" si="41">+C72*C58</f>
        <v>666.4229484</v>
      </c>
      <c r="D85" s="57">
        <f t="shared" si="41"/>
        <v>623.05980660000012</v>
      </c>
      <c r="E85" s="57">
        <f t="shared" si="41"/>
        <v>583.75815135000005</v>
      </c>
      <c r="F85" s="57">
        <f t="shared" si="41"/>
        <v>741.44238134999989</v>
      </c>
      <c r="G85" s="57">
        <f t="shared" si="41"/>
        <v>734.11792409999998</v>
      </c>
      <c r="H85" s="57">
        <f t="shared" si="41"/>
        <v>669.98896139999999</v>
      </c>
      <c r="I85" s="57">
        <f t="shared" si="41"/>
        <v>742.51034879999997</v>
      </c>
      <c r="J85" s="57">
        <f t="shared" si="41"/>
        <v>849.53286824999998</v>
      </c>
      <c r="K85" s="57">
        <f t="shared" si="41"/>
        <v>1067.7719051999998</v>
      </c>
      <c r="L85" s="57">
        <f t="shared" si="41"/>
        <v>736.20885360000011</v>
      </c>
      <c r="M85" s="57">
        <f t="shared" si="41"/>
        <v>927.91548299999988</v>
      </c>
      <c r="N85" s="57">
        <f t="shared" si="41"/>
        <v>961.40526405000014</v>
      </c>
      <c r="P85" s="181"/>
      <c r="Q85" s="181"/>
      <c r="R85" s="231"/>
      <c r="S85" s="181"/>
      <c r="T85" s="181"/>
      <c r="U85" s="181"/>
      <c r="V85" s="181"/>
    </row>
    <row r="86" spans="1:22" x14ac:dyDescent="0.2">
      <c r="B86" s="163" t="s">
        <v>38</v>
      </c>
      <c r="C86" s="58">
        <f t="shared" ref="C86:N86" si="42">+C73*C59</f>
        <v>2330.3912869599999</v>
      </c>
      <c r="D86" s="57">
        <f t="shared" si="42"/>
        <v>1732.7843022</v>
      </c>
      <c r="E86" s="57">
        <f t="shared" si="42"/>
        <v>1469.2079893499999</v>
      </c>
      <c r="F86" s="57">
        <f t="shared" si="42"/>
        <v>2144.7081586300001</v>
      </c>
      <c r="G86" s="57">
        <f t="shared" si="42"/>
        <v>1664.5497721999998</v>
      </c>
      <c r="H86" s="57">
        <f t="shared" si="42"/>
        <v>1157.52646306</v>
      </c>
      <c r="I86" s="57">
        <f t="shared" si="42"/>
        <v>1295.1771833</v>
      </c>
      <c r="J86" s="57">
        <f t="shared" si="42"/>
        <v>1348.02612215</v>
      </c>
      <c r="K86" s="57">
        <f t="shared" si="42"/>
        <v>1508.1300796799999</v>
      </c>
      <c r="L86" s="57">
        <f t="shared" si="42"/>
        <v>1843.7063667400002</v>
      </c>
      <c r="M86" s="57">
        <f t="shared" si="42"/>
        <v>2490.50396856</v>
      </c>
      <c r="N86" s="57">
        <f t="shared" si="42"/>
        <v>2577.96374913</v>
      </c>
      <c r="P86" s="181"/>
      <c r="Q86" s="181"/>
      <c r="R86" s="181"/>
      <c r="S86" s="181"/>
      <c r="T86" s="181"/>
      <c r="U86" s="181"/>
      <c r="V86" s="181"/>
    </row>
    <row r="87" spans="1:22" x14ac:dyDescent="0.2">
      <c r="B87" s="163" t="s">
        <v>39</v>
      </c>
      <c r="C87" s="58">
        <f t="shared" ref="C87:N87" si="43">+C74*C60</f>
        <v>3809.5317299999997</v>
      </c>
      <c r="D87" s="57">
        <f t="shared" si="43"/>
        <v>3666.5480564999998</v>
      </c>
      <c r="E87" s="57">
        <f t="shared" si="43"/>
        <v>3417.7390725</v>
      </c>
      <c r="F87" s="57">
        <f t="shared" si="43"/>
        <v>3906.3341579999997</v>
      </c>
      <c r="G87" s="57">
        <f t="shared" si="43"/>
        <v>3675.5257484999997</v>
      </c>
      <c r="H87" s="57">
        <f t="shared" si="43"/>
        <v>3926.7138044999997</v>
      </c>
      <c r="I87" s="57">
        <f t="shared" si="43"/>
        <v>4200.0489329999991</v>
      </c>
      <c r="J87" s="57">
        <f t="shared" si="43"/>
        <v>4241.7812099999992</v>
      </c>
      <c r="K87" s="57">
        <f t="shared" si="43"/>
        <v>4775.3509544999997</v>
      </c>
      <c r="L87" s="57">
        <f t="shared" si="43"/>
        <v>3566.5259385000004</v>
      </c>
      <c r="M87" s="57">
        <f t="shared" si="43"/>
        <v>3865.6293344999995</v>
      </c>
      <c r="N87" s="57">
        <f t="shared" si="43"/>
        <v>3950.1009817500003</v>
      </c>
      <c r="S87" s="181"/>
      <c r="T87" s="181"/>
    </row>
    <row r="88" spans="1:22" x14ac:dyDescent="0.2">
      <c r="B88" s="163" t="s">
        <v>40</v>
      </c>
      <c r="C88" s="58">
        <f t="shared" ref="C88:N88" si="44">+C75*C61</f>
        <v>0</v>
      </c>
      <c r="D88" s="57">
        <f t="shared" si="44"/>
        <v>0</v>
      </c>
      <c r="E88" s="57">
        <f t="shared" si="44"/>
        <v>0</v>
      </c>
      <c r="F88" s="57">
        <f t="shared" si="44"/>
        <v>0</v>
      </c>
      <c r="G88" s="57">
        <f t="shared" si="44"/>
        <v>0</v>
      </c>
      <c r="H88" s="57">
        <f t="shared" si="44"/>
        <v>0</v>
      </c>
      <c r="I88" s="57">
        <f t="shared" si="44"/>
        <v>0</v>
      </c>
      <c r="J88" s="57">
        <f t="shared" si="44"/>
        <v>0</v>
      </c>
      <c r="K88" s="57">
        <f t="shared" si="44"/>
        <v>0</v>
      </c>
      <c r="L88" s="57">
        <f t="shared" si="44"/>
        <v>0</v>
      </c>
      <c r="M88" s="57">
        <f t="shared" si="44"/>
        <v>0</v>
      </c>
      <c r="N88" s="57">
        <f t="shared" si="44"/>
        <v>0</v>
      </c>
      <c r="S88" s="181"/>
      <c r="T88" s="181"/>
    </row>
    <row r="89" spans="1:22" x14ac:dyDescent="0.2">
      <c r="B89" s="163" t="s">
        <v>33</v>
      </c>
      <c r="C89" s="58">
        <f t="shared" ref="C89:N89" si="45">+C76*C62</f>
        <v>-1578.14268352</v>
      </c>
      <c r="D89" s="57">
        <f t="shared" si="45"/>
        <v>-618.52277760000015</v>
      </c>
      <c r="E89" s="57">
        <f t="shared" si="45"/>
        <v>-611.35482824000007</v>
      </c>
      <c r="F89" s="57">
        <f t="shared" si="45"/>
        <v>-441.42692047999998</v>
      </c>
      <c r="G89" s="57">
        <f t="shared" si="45"/>
        <v>-509.98840464</v>
      </c>
      <c r="H89" s="57">
        <f t="shared" si="45"/>
        <v>-828.71301344000005</v>
      </c>
      <c r="I89" s="57">
        <f t="shared" si="45"/>
        <v>-255.76124912</v>
      </c>
      <c r="J89" s="57">
        <f t="shared" si="45"/>
        <v>-971.82239440000012</v>
      </c>
      <c r="K89" s="57">
        <f t="shared" si="45"/>
        <v>-1109.0185579200001</v>
      </c>
      <c r="L89" s="57">
        <f t="shared" si="45"/>
        <v>-681.48836496000013</v>
      </c>
      <c r="M89" s="57">
        <f t="shared" si="45"/>
        <v>-838.657872</v>
      </c>
      <c r="N89" s="57">
        <f t="shared" si="45"/>
        <v>-962.33585448000019</v>
      </c>
      <c r="S89" s="181"/>
      <c r="T89" s="181"/>
    </row>
    <row r="90" spans="1:22" x14ac:dyDescent="0.2">
      <c r="B90" s="163" t="s">
        <v>41</v>
      </c>
      <c r="C90" s="58">
        <f t="shared" ref="C90:N90" si="46">+C77*C63</f>
        <v>0</v>
      </c>
      <c r="D90" s="57">
        <f t="shared" si="46"/>
        <v>0</v>
      </c>
      <c r="E90" s="57">
        <f t="shared" si="46"/>
        <v>0</v>
      </c>
      <c r="F90" s="57">
        <f t="shared" si="46"/>
        <v>0</v>
      </c>
      <c r="G90" s="57">
        <f t="shared" si="46"/>
        <v>0</v>
      </c>
      <c r="H90" s="57">
        <f t="shared" si="46"/>
        <v>0</v>
      </c>
      <c r="I90" s="57">
        <f t="shared" si="46"/>
        <v>0</v>
      </c>
      <c r="J90" s="57">
        <f t="shared" si="46"/>
        <v>0</v>
      </c>
      <c r="K90" s="57">
        <f t="shared" si="46"/>
        <v>0</v>
      </c>
      <c r="L90" s="57">
        <f t="shared" si="46"/>
        <v>0</v>
      </c>
      <c r="M90" s="57">
        <f t="shared" si="46"/>
        <v>0</v>
      </c>
      <c r="N90" s="57">
        <f t="shared" si="46"/>
        <v>0</v>
      </c>
      <c r="S90" s="181"/>
      <c r="T90" s="181"/>
    </row>
    <row r="91" spans="1:22" x14ac:dyDescent="0.2">
      <c r="B91" s="163" t="s">
        <v>42</v>
      </c>
      <c r="C91" s="58">
        <f t="shared" ref="C91:N91" si="47">+C78*C64</f>
        <v>-4477.7651544800101</v>
      </c>
      <c r="D91" s="57">
        <f t="shared" si="47"/>
        <v>-4362.7562498100096</v>
      </c>
      <c r="E91" s="57">
        <f t="shared" si="47"/>
        <v>-4175.198355310009</v>
      </c>
      <c r="F91" s="57">
        <f t="shared" si="47"/>
        <v>-4591.4970692300094</v>
      </c>
      <c r="G91" s="57">
        <f t="shared" si="47"/>
        <v>-4103.7667316600091</v>
      </c>
      <c r="H91" s="57">
        <f t="shared" si="47"/>
        <v>-4260.8364918200095</v>
      </c>
      <c r="I91" s="57">
        <f t="shared" si="47"/>
        <v>-4599.87731558001</v>
      </c>
      <c r="J91" s="57">
        <f t="shared" si="47"/>
        <v>-4637.4687063500096</v>
      </c>
      <c r="K91" s="57">
        <f t="shared" si="47"/>
        <v>-5016.4154651100116</v>
      </c>
      <c r="L91" s="57">
        <f t="shared" si="47"/>
        <v>-3840.7068081400089</v>
      </c>
      <c r="M91" s="57">
        <f t="shared" si="47"/>
        <v>-4206.5644202200092</v>
      </c>
      <c r="N91" s="57">
        <f t="shared" si="47"/>
        <v>-4246.5501670900103</v>
      </c>
    </row>
    <row r="92" spans="1:22" x14ac:dyDescent="0.2">
      <c r="B92" s="163" t="s">
        <v>43</v>
      </c>
      <c r="C92" s="73">
        <f t="shared" ref="C92:N92" si="48">+C79*C65</f>
        <v>10857.836294079996</v>
      </c>
      <c r="D92" s="65">
        <f t="shared" si="48"/>
        <v>13875.42852191999</v>
      </c>
      <c r="E92" s="65">
        <f t="shared" si="48"/>
        <v>15729.991784959988</v>
      </c>
      <c r="F92" s="65">
        <f t="shared" si="48"/>
        <v>14293.757741619987</v>
      </c>
      <c r="G92" s="57">
        <f t="shared" si="48"/>
        <v>9572.0417233999924</v>
      </c>
      <c r="H92" s="57">
        <f t="shared" si="48"/>
        <v>9486.5832925599952</v>
      </c>
      <c r="I92" s="57">
        <f t="shared" si="48"/>
        <v>9801.8893041999963</v>
      </c>
      <c r="J92" s="57">
        <f t="shared" si="48"/>
        <v>9326.6566731999956</v>
      </c>
      <c r="K92" s="57">
        <f t="shared" si="48"/>
        <v>8124.8225221799967</v>
      </c>
      <c r="L92" s="57">
        <f t="shared" si="48"/>
        <v>-3377.422358759999</v>
      </c>
      <c r="M92" s="57">
        <f t="shared" si="48"/>
        <v>-3627.9131521199979</v>
      </c>
      <c r="N92" s="57">
        <f t="shared" si="48"/>
        <v>-5661.7100478399989</v>
      </c>
    </row>
    <row r="93" spans="1:22" x14ac:dyDescent="0.2">
      <c r="A93" s="180" t="s">
        <v>49</v>
      </c>
      <c r="B93" s="180"/>
      <c r="C93" s="114">
        <f t="shared" ref="C93:N93" si="49">SUM(C82:C92)</f>
        <v>32017.269140479981</v>
      </c>
      <c r="D93" s="115">
        <f t="shared" si="49"/>
        <v>39522.087497129985</v>
      </c>
      <c r="E93" s="115">
        <f t="shared" si="49"/>
        <v>41690.466080749982</v>
      </c>
      <c r="F93" s="115">
        <f t="shared" si="49"/>
        <v>40150.453861329981</v>
      </c>
      <c r="G93" s="115">
        <f t="shared" si="49"/>
        <v>27492.449269579985</v>
      </c>
      <c r="H93" s="115">
        <f t="shared" si="49"/>
        <v>24210.873985299986</v>
      </c>
      <c r="I93" s="115">
        <f t="shared" si="49"/>
        <v>30320.334477439981</v>
      </c>
      <c r="J93" s="115">
        <f t="shared" si="49"/>
        <v>28511.217643049986</v>
      </c>
      <c r="K93" s="116">
        <f t="shared" si="49"/>
        <v>25999.167962669984</v>
      </c>
      <c r="L93" s="116">
        <f t="shared" si="49"/>
        <v>1927.426135019994</v>
      </c>
      <c r="M93" s="116">
        <f t="shared" si="49"/>
        <v>2267.2908961999929</v>
      </c>
      <c r="N93" s="116">
        <f t="shared" si="49"/>
        <v>2081.1588166599922</v>
      </c>
      <c r="O93" s="183">
        <f>SUM(C93:N93)</f>
        <v>296190.19576560985</v>
      </c>
      <c r="P93" s="183">
        <f>O93/2</f>
        <v>148095.09788280493</v>
      </c>
    </row>
    <row r="94" spans="1:22" x14ac:dyDescent="0.2">
      <c r="A94" s="180" t="s">
        <v>50</v>
      </c>
      <c r="B94" s="180"/>
      <c r="C94" s="114">
        <f t="shared" ref="C94:N94" si="50">+C93/C66</f>
        <v>57.067711999999972</v>
      </c>
      <c r="D94" s="115">
        <f t="shared" si="50"/>
        <v>72.301350999999968</v>
      </c>
      <c r="E94" s="115">
        <f t="shared" si="50"/>
        <v>79.694274999999962</v>
      </c>
      <c r="F94" s="115">
        <f t="shared" si="50"/>
        <v>69.791676999999964</v>
      </c>
      <c r="G94" s="115">
        <f t="shared" si="50"/>
        <v>53.468530999999977</v>
      </c>
      <c r="H94" s="115">
        <f t="shared" si="50"/>
        <v>45.350604999999973</v>
      </c>
      <c r="I94" s="115">
        <f t="shared" si="50"/>
        <v>52.608415999999963</v>
      </c>
      <c r="J94" s="115">
        <f t="shared" si="50"/>
        <v>49.068440999999979</v>
      </c>
      <c r="K94" s="57">
        <f t="shared" si="50"/>
        <v>41.365038999999975</v>
      </c>
      <c r="L94" s="57">
        <f t="shared" si="50"/>
        <v>4.0052909999999873</v>
      </c>
      <c r="M94" s="57">
        <f t="shared" si="50"/>
        <v>4.301769999999987</v>
      </c>
      <c r="N94" s="57">
        <f t="shared" si="50"/>
        <v>3.9114379999999849</v>
      </c>
    </row>
    <row r="95" spans="1:22" ht="8.1" customHeight="1" x14ac:dyDescent="0.2"/>
    <row r="96" spans="1:22" x14ac:dyDescent="0.2">
      <c r="A96" s="180" t="s">
        <v>125</v>
      </c>
      <c r="C96" s="183">
        <f t="shared" ref="C96:N96" si="51">C94*0.7</f>
        <v>39.947398399999976</v>
      </c>
      <c r="D96" s="183">
        <f t="shared" si="51"/>
        <v>50.610945699999974</v>
      </c>
      <c r="E96" s="183">
        <f t="shared" si="51"/>
        <v>55.785992499999971</v>
      </c>
      <c r="F96" s="183">
        <f t="shared" si="51"/>
        <v>48.854173899999971</v>
      </c>
      <c r="G96" s="183">
        <f t="shared" si="51"/>
        <v>37.427971699999979</v>
      </c>
      <c r="H96" s="183">
        <f t="shared" si="51"/>
        <v>31.74542349999998</v>
      </c>
      <c r="I96" s="183">
        <f t="shared" si="51"/>
        <v>36.825891199999973</v>
      </c>
      <c r="J96" s="183">
        <f t="shared" si="51"/>
        <v>34.347908699999984</v>
      </c>
      <c r="K96" s="183">
        <f t="shared" si="51"/>
        <v>28.955527299999979</v>
      </c>
      <c r="L96" s="183">
        <f t="shared" si="51"/>
        <v>2.8037036999999909</v>
      </c>
      <c r="M96" s="183">
        <f t="shared" si="51"/>
        <v>3.0112389999999909</v>
      </c>
      <c r="N96" s="183">
        <f t="shared" si="51"/>
        <v>2.7380065999999892</v>
      </c>
    </row>
    <row r="97" spans="1:10" x14ac:dyDescent="0.2">
      <c r="C97" s="75"/>
      <c r="D97" s="75"/>
      <c r="E97" s="75"/>
      <c r="F97" s="75"/>
      <c r="G97" s="75"/>
      <c r="H97" s="75"/>
      <c r="I97" s="75"/>
      <c r="J97" s="181"/>
    </row>
    <row r="98" spans="1:10" x14ac:dyDescent="0.2">
      <c r="A98" s="180"/>
      <c r="B98" s="180"/>
      <c r="C98" s="114"/>
      <c r="D98" s="114"/>
      <c r="E98" s="114"/>
      <c r="F98" s="114"/>
      <c r="G98" s="114"/>
      <c r="H98" s="114"/>
      <c r="I98" s="114"/>
      <c r="J98" s="182"/>
    </row>
    <row r="99" spans="1:10" ht="8.1" customHeight="1" x14ac:dyDescent="0.2">
      <c r="C99" s="181"/>
      <c r="D99" s="181"/>
      <c r="E99" s="181"/>
      <c r="F99" s="181"/>
      <c r="G99" s="181"/>
      <c r="H99" s="181"/>
      <c r="I99" s="181"/>
      <c r="J99" s="181"/>
    </row>
    <row r="100" spans="1:10" x14ac:dyDescent="0.2">
      <c r="A100" s="180"/>
      <c r="B100" s="180"/>
      <c r="C100" s="182"/>
      <c r="D100" s="182"/>
      <c r="E100" s="182"/>
      <c r="F100" s="182"/>
      <c r="G100" s="182"/>
      <c r="H100" s="182"/>
      <c r="I100" s="182"/>
      <c r="J100" s="182"/>
    </row>
    <row r="101" spans="1:10" ht="8.1" customHeight="1" x14ac:dyDescent="0.2">
      <c r="C101" s="181"/>
      <c r="D101" s="181"/>
      <c r="E101" s="181"/>
      <c r="F101" s="181"/>
      <c r="G101" s="181"/>
      <c r="H101" s="181"/>
      <c r="I101" s="181"/>
      <c r="J101" s="181"/>
    </row>
    <row r="102" spans="1:10" x14ac:dyDescent="0.2">
      <c r="A102" s="180"/>
      <c r="C102" s="75"/>
      <c r="D102" s="75"/>
      <c r="E102" s="75"/>
      <c r="F102" s="75"/>
      <c r="G102" s="75"/>
      <c r="H102" s="75"/>
      <c r="I102" s="75"/>
      <c r="J102" s="77"/>
    </row>
    <row r="105" spans="1:10" x14ac:dyDescent="0.2">
      <c r="B105" s="163" t="str">
        <f ca="1">CELL("filename")</f>
        <v>S:\District\~WUTC Files~\1. RSA\2017-2019 Plan Year\UTC Filing 12-2018\Revised Filing\Lynnwood\[Revised TG-181018 fixed Staff comm CR RS adjust.xlsx]Staff Analysis</v>
      </c>
    </row>
  </sheetData>
  <pageMargins left="0.5" right="0.5" top="0.75" bottom="0.75" header="0.5" footer="0.5"/>
  <pageSetup scale="55" fitToWidth="0" orientation="portrait" horizontalDpi="4294967295" verticalDpi="4294967295" r:id="rId1"/>
  <headerFooter alignWithMargins="0"/>
  <rowBreaks count="1" manualBreakCount="1">
    <brk id="53" max="14"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12"/>
  <sheetViews>
    <sheetView showGridLines="0" zoomScaleNormal="100" workbookViewId="0">
      <selection activeCell="F40" sqref="F40"/>
    </sheetView>
  </sheetViews>
  <sheetFormatPr defaultRowHeight="12.75" x14ac:dyDescent="0.2"/>
  <cols>
    <col min="1" max="1" width="24.28515625" style="5" customWidth="1"/>
    <col min="2" max="2" width="10.5703125" style="5" customWidth="1"/>
    <col min="3" max="3" width="4.42578125" style="5" customWidth="1"/>
    <col min="4" max="4" width="11.28515625" style="5" customWidth="1"/>
    <col min="5" max="5" width="5.85546875" style="5" customWidth="1"/>
    <col min="6" max="6" width="11.28515625" style="5" customWidth="1"/>
    <col min="7" max="7" width="8.7109375" style="5" customWidth="1"/>
    <col min="8" max="8" width="4.42578125" style="5" customWidth="1"/>
    <col min="9" max="9" width="8.7109375" style="5" bestFit="1" customWidth="1"/>
    <col min="10" max="10" width="10.85546875" style="5" customWidth="1"/>
    <col min="11" max="11" width="7.140625" style="5" customWidth="1"/>
    <col min="12" max="12" width="9.5703125" style="5" customWidth="1"/>
    <col min="13" max="14" width="9.5703125" style="5" hidden="1" customWidth="1"/>
    <col min="15" max="15" width="15.28515625" style="5" hidden="1" customWidth="1"/>
    <col min="16" max="16" width="36.7109375" style="5" hidden="1" customWidth="1"/>
    <col min="17"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110</v>
      </c>
      <c r="B1" s="2"/>
      <c r="C1" s="2"/>
      <c r="D1" s="2"/>
      <c r="E1" s="2"/>
      <c r="F1" s="2"/>
      <c r="G1" s="3"/>
      <c r="H1" s="2"/>
      <c r="I1" s="2"/>
      <c r="J1" s="1" t="s">
        <v>54</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"&amp;YEAR(A22)</f>
        <v>For the Year Ended April 2018</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63</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81" t="str">
        <f>"Total "&amp;F5</f>
        <v>Total Commodity</v>
      </c>
      <c r="P5" s="82"/>
      <c r="Q5" s="2"/>
      <c r="R5" s="2"/>
      <c r="S5" s="2"/>
      <c r="T5" s="2"/>
      <c r="U5" s="2"/>
      <c r="V5" s="13"/>
      <c r="W5" s="14"/>
      <c r="X5" s="14"/>
      <c r="Y5" s="14"/>
      <c r="AA5" s="14"/>
    </row>
    <row r="6" spans="1:27" s="16" customFormat="1" ht="11.25" x14ac:dyDescent="0.2">
      <c r="A6" s="15"/>
      <c r="B6" s="12"/>
      <c r="C6" s="12"/>
      <c r="D6" s="12" t="s">
        <v>2</v>
      </c>
      <c r="E6" s="12"/>
      <c r="F6" s="12" t="s">
        <v>3</v>
      </c>
      <c r="G6" s="12"/>
      <c r="H6" s="12"/>
      <c r="I6" s="12"/>
      <c r="J6" s="12"/>
      <c r="K6" s="12"/>
      <c r="O6" s="83" t="str">
        <f>+F6</f>
        <v>Revenue</v>
      </c>
      <c r="P6" s="84"/>
    </row>
    <row r="7" spans="1:27" s="16" customFormat="1" ht="11.25" x14ac:dyDescent="0.2">
      <c r="A7" s="15" t="s">
        <v>5</v>
      </c>
      <c r="B7" s="12" t="s">
        <v>64</v>
      </c>
      <c r="C7" s="12"/>
      <c r="D7" s="12" t="s">
        <v>3</v>
      </c>
      <c r="E7" s="12"/>
      <c r="F7" s="12" t="s">
        <v>65</v>
      </c>
      <c r="G7" s="12"/>
      <c r="H7" s="12"/>
      <c r="I7" s="12"/>
      <c r="J7" s="12" t="s">
        <v>66</v>
      </c>
      <c r="K7" s="12"/>
      <c r="O7" s="83" t="str">
        <f>+F7</f>
        <v>per Yard</v>
      </c>
      <c r="P7" s="84"/>
    </row>
    <row r="8" spans="1:27" s="16" customFormat="1" ht="11.25" x14ac:dyDescent="0.2">
      <c r="A8" s="203">
        <f>'Multi_Family (3)'!$C$6</f>
        <v>42856</v>
      </c>
      <c r="B8" s="217">
        <v>7733</v>
      </c>
      <c r="C8" s="12"/>
      <c r="D8" s="216">
        <f>'Value (4)'!O6</f>
        <v>2387.7130700799999</v>
      </c>
      <c r="E8" s="12"/>
      <c r="F8" s="16">
        <f>ROUND(D8/B14,2)</f>
        <v>0.31</v>
      </c>
      <c r="G8" s="12"/>
      <c r="H8" s="12"/>
      <c r="I8" s="12"/>
      <c r="J8" s="14">
        <f>+B8</f>
        <v>7733</v>
      </c>
      <c r="K8" s="13">
        <f>YEAR(A8)</f>
        <v>2017</v>
      </c>
      <c r="O8" s="85">
        <f>VLOOKUP(A8,'Value (4)'!$A$6:$O$17,13,FALSE)</f>
        <v>4775.4261401599997</v>
      </c>
      <c r="P8" s="84"/>
    </row>
    <row r="9" spans="1:27" s="16" customFormat="1" ht="11.25" x14ac:dyDescent="0.2">
      <c r="A9" s="17">
        <f>EOMONTH(A8,1)</f>
        <v>42916</v>
      </c>
      <c r="B9" s="217">
        <v>7861</v>
      </c>
      <c r="C9" s="19"/>
      <c r="D9" s="216">
        <f>'Value (4)'!O7</f>
        <v>3098.4743971049988</v>
      </c>
      <c r="E9" s="14"/>
      <c r="F9" s="16">
        <f>ROUND(D9/B9,2)</f>
        <v>0.39</v>
      </c>
      <c r="G9" s="14"/>
      <c r="H9" s="14"/>
      <c r="I9" s="14"/>
      <c r="J9" s="14">
        <f>+B9</f>
        <v>7861</v>
      </c>
      <c r="K9" s="13">
        <f>YEAR(A9)</f>
        <v>2017</v>
      </c>
      <c r="O9" s="85">
        <f>VLOOKUP(A9,'Value (4)'!$A$6:$O$17,13,FALSE)</f>
        <v>6196.9487942099977</v>
      </c>
      <c r="P9" s="84"/>
    </row>
    <row r="10" spans="1:27" s="16" customFormat="1" ht="11.25" x14ac:dyDescent="0.2">
      <c r="A10" s="17">
        <f>EOMONTH(A9,1)</f>
        <v>42947</v>
      </c>
      <c r="B10" s="217">
        <v>7812</v>
      </c>
      <c r="C10" s="14"/>
      <c r="D10" s="216">
        <f>'Value (4)'!O8</f>
        <v>3127.6018223749993</v>
      </c>
      <c r="E10" s="14"/>
      <c r="F10" s="16">
        <f>ROUND(D10/B10,2)</f>
        <v>0.4</v>
      </c>
      <c r="G10" s="14"/>
      <c r="H10" s="14"/>
      <c r="I10" s="14"/>
      <c r="J10" s="14">
        <f>+B10</f>
        <v>7812</v>
      </c>
      <c r="K10" s="13">
        <f>YEAR(A10)</f>
        <v>2017</v>
      </c>
      <c r="O10" s="85">
        <f>VLOOKUP(A10,'Value (4)'!$A$6:$O$17,13,FALSE)</f>
        <v>6255.2036447499986</v>
      </c>
      <c r="P10" s="84"/>
    </row>
    <row r="11" spans="1:27" s="16" customFormat="1" ht="11.25" x14ac:dyDescent="0.2">
      <c r="A11" s="17"/>
      <c r="B11" s="14"/>
      <c r="C11" s="14"/>
      <c r="E11" s="14"/>
      <c r="G11" s="14"/>
      <c r="H11" s="14"/>
      <c r="I11" s="14"/>
      <c r="J11" s="14"/>
      <c r="K11" s="13"/>
      <c r="O11" s="85"/>
      <c r="P11" s="84"/>
    </row>
    <row r="12" spans="1:27" s="16" customFormat="1" ht="11.25" x14ac:dyDescent="0.2">
      <c r="A12" s="17" t="s">
        <v>67</v>
      </c>
      <c r="B12" s="20">
        <f>SUM(B8:B11)</f>
        <v>23406</v>
      </c>
      <c r="C12" s="19" t="s">
        <v>8</v>
      </c>
      <c r="D12" s="79">
        <f>SUM(D8:D11)</f>
        <v>8613.789289559998</v>
      </c>
      <c r="E12" s="14"/>
      <c r="G12" s="14"/>
      <c r="H12" s="14"/>
      <c r="I12" s="14"/>
      <c r="J12" s="14"/>
      <c r="K12" s="13"/>
      <c r="O12" s="85"/>
      <c r="P12" s="84"/>
    </row>
    <row r="13" spans="1:27" s="16" customFormat="1" ht="11.25" x14ac:dyDescent="0.2">
      <c r="A13" s="17"/>
      <c r="B13" s="14"/>
      <c r="C13" s="14"/>
      <c r="E13" s="14"/>
      <c r="G13" s="14"/>
      <c r="H13" s="14"/>
      <c r="I13" s="14"/>
      <c r="J13" s="14"/>
      <c r="K13" s="13"/>
      <c r="O13" s="85"/>
      <c r="P13" s="84"/>
    </row>
    <row r="14" spans="1:27" s="16" customFormat="1" ht="11.25" x14ac:dyDescent="0.2">
      <c r="A14" s="17">
        <f>EOMONTH(A10,1)</f>
        <v>42978</v>
      </c>
      <c r="B14" s="218">
        <v>7805</v>
      </c>
      <c r="C14" s="14"/>
      <c r="D14" s="240">
        <f>'Value (4)'!O9</f>
        <v>3371.6359158699988</v>
      </c>
      <c r="E14" s="14"/>
      <c r="F14" s="16">
        <f t="shared" ref="F14:F22" si="0">ROUND(D14/B14,2)</f>
        <v>0.43</v>
      </c>
      <c r="G14" s="21"/>
      <c r="H14" s="14"/>
      <c r="I14" s="14"/>
      <c r="J14" s="14">
        <f t="shared" ref="J14:J22" si="1">+B14</f>
        <v>7805</v>
      </c>
      <c r="K14" s="13">
        <f t="shared" ref="K14:K22" si="2">YEAR(A14)</f>
        <v>2017</v>
      </c>
      <c r="O14" s="85">
        <f>VLOOKUP(A14,'Value (4)'!$A$6:$O$17,13,FALSE)</f>
        <v>6743.2718317399977</v>
      </c>
      <c r="P14" s="84"/>
    </row>
    <row r="15" spans="1:27" s="16" customFormat="1" ht="11.25" x14ac:dyDescent="0.2">
      <c r="A15" s="17">
        <f t="shared" ref="A15:A22" si="3">EOMONTH(A14,1)</f>
        <v>43008</v>
      </c>
      <c r="B15" s="217">
        <v>7757</v>
      </c>
      <c r="C15" s="14"/>
      <c r="D15" s="240">
        <f>'Value (4)'!O10</f>
        <v>2272.6799101549996</v>
      </c>
      <c r="E15" s="14"/>
      <c r="F15" s="16">
        <f t="shared" si="0"/>
        <v>0.28999999999999998</v>
      </c>
      <c r="G15" s="21"/>
      <c r="H15" s="14"/>
      <c r="I15" s="14"/>
      <c r="J15" s="14">
        <f t="shared" si="1"/>
        <v>7757</v>
      </c>
      <c r="K15" s="13">
        <f t="shared" si="2"/>
        <v>2017</v>
      </c>
      <c r="O15" s="85">
        <f>VLOOKUP(A15,'Value (4)'!$A$6:$O$17,13,FALSE)</f>
        <v>4545.3598203099991</v>
      </c>
      <c r="P15" s="84"/>
    </row>
    <row r="16" spans="1:27" s="16" customFormat="1" ht="11.25" x14ac:dyDescent="0.2">
      <c r="A16" s="17">
        <f t="shared" si="3"/>
        <v>43039</v>
      </c>
      <c r="B16" s="217">
        <v>7770</v>
      </c>
      <c r="C16" s="14"/>
      <c r="D16" s="240">
        <f>'Value (4)'!O11</f>
        <v>2056.8766897749988</v>
      </c>
      <c r="E16" s="14"/>
      <c r="F16" s="16">
        <f t="shared" si="0"/>
        <v>0.26</v>
      </c>
      <c r="G16" s="21"/>
      <c r="H16" s="14"/>
      <c r="I16" s="14"/>
      <c r="J16" s="14">
        <f t="shared" si="1"/>
        <v>7770</v>
      </c>
      <c r="K16" s="13">
        <f t="shared" si="2"/>
        <v>2017</v>
      </c>
      <c r="O16" s="85">
        <f>VLOOKUP(A16,'Value (4)'!$A$6:$O$17,13,FALSE)</f>
        <v>4113.7533795499976</v>
      </c>
      <c r="P16" s="84"/>
    </row>
    <row r="17" spans="1:27" s="16" customFormat="1" ht="11.25" x14ac:dyDescent="0.2">
      <c r="A17" s="17">
        <f t="shared" si="3"/>
        <v>43069</v>
      </c>
      <c r="B17" s="217">
        <v>7749</v>
      </c>
      <c r="C17" s="14"/>
      <c r="D17" s="240">
        <f>'Value (4)'!O12</f>
        <v>2585.966688479999</v>
      </c>
      <c r="E17" s="14"/>
      <c r="F17" s="16">
        <f t="shared" si="0"/>
        <v>0.33</v>
      </c>
      <c r="G17" s="21"/>
      <c r="H17" s="14"/>
      <c r="I17" s="14"/>
      <c r="J17" s="14">
        <f t="shared" si="1"/>
        <v>7749</v>
      </c>
      <c r="K17" s="13">
        <f t="shared" si="2"/>
        <v>2017</v>
      </c>
      <c r="O17" s="85">
        <f>VLOOKUP(A17,'Value (4)'!$A$6:$O$17,13,FALSE)</f>
        <v>5171.933376959998</v>
      </c>
      <c r="P17" s="84"/>
    </row>
    <row r="18" spans="1:27" s="16" customFormat="1" ht="11.25" x14ac:dyDescent="0.2">
      <c r="A18" s="17">
        <f t="shared" si="3"/>
        <v>43100</v>
      </c>
      <c r="B18" s="217">
        <v>7780</v>
      </c>
      <c r="C18" s="14"/>
      <c r="D18" s="240">
        <f>'Value (4)'!O13</f>
        <v>2190.6605484449992</v>
      </c>
      <c r="E18" s="14"/>
      <c r="F18" s="16">
        <f t="shared" si="0"/>
        <v>0.28000000000000003</v>
      </c>
      <c r="G18" s="21"/>
      <c r="H18" s="14"/>
      <c r="I18" s="14"/>
      <c r="J18" s="14">
        <f t="shared" si="1"/>
        <v>7780</v>
      </c>
      <c r="K18" s="13">
        <f t="shared" si="2"/>
        <v>2017</v>
      </c>
      <c r="O18" s="85">
        <f>VLOOKUP(A18,'Value (4)'!$A$6:$O$17,13,FALSE)</f>
        <v>4381.3210968899984</v>
      </c>
      <c r="P18" s="84"/>
      <c r="X18" s="14"/>
      <c r="Y18" s="14"/>
    </row>
    <row r="19" spans="1:27" s="16" customFormat="1" ht="11.25" x14ac:dyDescent="0.2">
      <c r="A19" s="17">
        <f t="shared" si="3"/>
        <v>43131</v>
      </c>
      <c r="B19" s="217">
        <v>7741</v>
      </c>
      <c r="C19" s="14"/>
      <c r="D19" s="240">
        <f>'Value (4)'!O14</f>
        <v>2198.1381724599992</v>
      </c>
      <c r="E19" s="14"/>
      <c r="F19" s="16">
        <f t="shared" si="0"/>
        <v>0.28000000000000003</v>
      </c>
      <c r="G19" s="21"/>
      <c r="H19" s="14"/>
      <c r="I19" s="14"/>
      <c r="J19" s="14">
        <f t="shared" si="1"/>
        <v>7741</v>
      </c>
      <c r="K19" s="13">
        <f t="shared" si="2"/>
        <v>2018</v>
      </c>
      <c r="L19" s="14"/>
      <c r="M19" s="14"/>
      <c r="N19" s="14"/>
      <c r="O19" s="85">
        <f>VLOOKUP(A19,'Value (4)'!$A$6:$O$17,13,FALSE)</f>
        <v>4396.2763449199983</v>
      </c>
      <c r="P19" s="84"/>
      <c r="Q19" s="14"/>
      <c r="R19" s="14"/>
      <c r="S19" s="14"/>
      <c r="T19" s="14"/>
      <c r="U19" s="14"/>
      <c r="V19" s="14"/>
      <c r="W19" s="14"/>
      <c r="Y19" s="14"/>
      <c r="AA19" s="14"/>
    </row>
    <row r="20" spans="1:27" s="16" customFormat="1" ht="11.25" x14ac:dyDescent="0.2">
      <c r="A20" s="17">
        <f t="shared" si="3"/>
        <v>43159</v>
      </c>
      <c r="B20" s="217">
        <v>7697</v>
      </c>
      <c r="C20" s="14"/>
      <c r="D20" s="240">
        <f>'Value (4)'!O15</f>
        <v>148.97679874499937</v>
      </c>
      <c r="E20" s="14"/>
      <c r="F20" s="16">
        <f t="shared" si="0"/>
        <v>0.02</v>
      </c>
      <c r="G20" s="21"/>
      <c r="H20" s="14"/>
      <c r="I20" s="14"/>
      <c r="J20" s="14">
        <f t="shared" si="1"/>
        <v>7697</v>
      </c>
      <c r="K20" s="13">
        <f t="shared" si="2"/>
        <v>2018</v>
      </c>
      <c r="O20" s="85">
        <f>VLOOKUP(A20,'Value (4)'!$A$6:$O$17,13,FALSE)</f>
        <v>297.95359748999874</v>
      </c>
      <c r="P20" s="31"/>
    </row>
    <row r="21" spans="1:27" s="16" customFormat="1" ht="11.25" x14ac:dyDescent="0.2">
      <c r="A21" s="17">
        <f t="shared" si="3"/>
        <v>43190</v>
      </c>
      <c r="B21" s="217">
        <v>7705</v>
      </c>
      <c r="C21" s="14"/>
      <c r="D21" s="240">
        <f>'Value (4)'!O16</f>
        <v>163.05859184999929</v>
      </c>
      <c r="E21" s="14"/>
      <c r="F21" s="16">
        <f t="shared" si="0"/>
        <v>0.02</v>
      </c>
      <c r="G21" s="21"/>
      <c r="H21" s="19"/>
      <c r="I21" s="14"/>
      <c r="J21" s="14">
        <f t="shared" si="1"/>
        <v>7705</v>
      </c>
      <c r="K21" s="13">
        <f t="shared" si="2"/>
        <v>2018</v>
      </c>
      <c r="O21" s="85">
        <f>VLOOKUP(A21,'Value (4)'!$A$6:$O$17,13,FALSE)</f>
        <v>326.11718369999858</v>
      </c>
      <c r="P21" s="84"/>
    </row>
    <row r="22" spans="1:27" s="16" customFormat="1" ht="11.25" x14ac:dyDescent="0.2">
      <c r="A22" s="17">
        <f t="shared" si="3"/>
        <v>43220</v>
      </c>
      <c r="B22" s="217">
        <v>7705</v>
      </c>
      <c r="C22" s="14"/>
      <c r="D22" s="240">
        <f>'Value (4)'!O17</f>
        <v>182.95751244999911</v>
      </c>
      <c r="E22" s="14"/>
      <c r="F22" s="16">
        <f t="shared" si="0"/>
        <v>0.02</v>
      </c>
      <c r="G22" s="21"/>
      <c r="H22" s="19"/>
      <c r="I22" s="14"/>
      <c r="J22" s="14">
        <f t="shared" si="1"/>
        <v>7705</v>
      </c>
      <c r="K22" s="13">
        <f t="shared" si="2"/>
        <v>2018</v>
      </c>
      <c r="O22" s="85">
        <f>VLOOKUP(A22,'Value (4)'!$A$6:$O$17,13,FALSE)</f>
        <v>365.91502489999823</v>
      </c>
      <c r="P22" s="84"/>
    </row>
    <row r="23" spans="1:27" s="16" customFormat="1" ht="11.25" x14ac:dyDescent="0.2">
      <c r="A23" s="17"/>
      <c r="B23" s="14"/>
      <c r="C23" s="14"/>
      <c r="E23" s="14"/>
      <c r="G23" s="14"/>
      <c r="H23" s="14"/>
      <c r="I23" s="14"/>
      <c r="J23" s="14"/>
      <c r="K23" s="13"/>
      <c r="O23" s="86"/>
    </row>
    <row r="24" spans="1:27" s="16" customFormat="1" ht="11.25" x14ac:dyDescent="0.2">
      <c r="A24" s="17" t="s">
        <v>68</v>
      </c>
      <c r="B24" s="20">
        <f>SUM(B13:B23)</f>
        <v>69709</v>
      </c>
      <c r="C24" s="19" t="s">
        <v>9</v>
      </c>
      <c r="D24" s="79">
        <f>SUM(D13:D23)</f>
        <v>15170.950828229994</v>
      </c>
      <c r="E24" s="14"/>
      <c r="G24" s="14"/>
      <c r="H24" s="14"/>
      <c r="I24" s="14"/>
      <c r="J24" s="14"/>
      <c r="K24" s="13"/>
      <c r="O24" s="86"/>
      <c r="P24" s="87" t="s">
        <v>55</v>
      </c>
    </row>
    <row r="25" spans="1:27" s="16" customFormat="1" x14ac:dyDescent="0.2">
      <c r="A25" s="5"/>
      <c r="B25" s="5"/>
      <c r="C25" s="5"/>
      <c r="D25" s="22"/>
      <c r="E25" s="5"/>
      <c r="F25" s="5"/>
      <c r="G25" s="5"/>
      <c r="H25" s="5"/>
      <c r="I25" s="5"/>
      <c r="J25" s="5"/>
      <c r="K25" s="5"/>
      <c r="O25" s="86">
        <f>SUM(O8:O24)</f>
        <v>47569.480235579991</v>
      </c>
      <c r="P25" s="88"/>
    </row>
    <row r="26" spans="1:27" s="16" customFormat="1" ht="12" thickBot="1" x14ac:dyDescent="0.25">
      <c r="A26" s="23"/>
      <c r="B26" s="24">
        <f>+B12+B24</f>
        <v>93115</v>
      </c>
      <c r="C26" s="19"/>
      <c r="D26" s="93">
        <f>+D12+D24</f>
        <v>23784.740117789992</v>
      </c>
      <c r="E26" s="19" t="s">
        <v>10</v>
      </c>
      <c r="F26" s="21">
        <f>ROUND(D26/B26,3)</f>
        <v>0.255</v>
      </c>
      <c r="H26" s="14"/>
      <c r="I26" s="14"/>
      <c r="J26" s="24">
        <f>SUM(J8:J25)</f>
        <v>93115</v>
      </c>
      <c r="K26" s="19" t="s">
        <v>12</v>
      </c>
      <c r="O26" s="89">
        <f>ROUND(O25/J26,3)</f>
        <v>0.51100000000000001</v>
      </c>
      <c r="P26" s="84" t="s">
        <v>56</v>
      </c>
    </row>
    <row r="27" spans="1:27" s="16" customFormat="1" ht="12" thickTop="1" x14ac:dyDescent="0.2">
      <c r="B27" s="14"/>
      <c r="C27" s="19"/>
      <c r="D27" s="14"/>
      <c r="E27" s="14"/>
      <c r="F27" s="14"/>
      <c r="G27" s="14"/>
      <c r="H27" s="14"/>
      <c r="I27" s="14"/>
      <c r="J27" s="14"/>
      <c r="K27" s="14"/>
      <c r="O27" s="215">
        <f>J22</f>
        <v>7705</v>
      </c>
      <c r="P27" s="84" t="s">
        <v>57</v>
      </c>
    </row>
    <row r="28" spans="1:27" s="16" customFormat="1" ht="11.25" x14ac:dyDescent="0.2">
      <c r="B28" s="14"/>
      <c r="C28" s="19"/>
      <c r="D28" s="14"/>
      <c r="E28" s="14"/>
      <c r="F28" s="14"/>
      <c r="G28" s="14"/>
      <c r="H28" s="14"/>
      <c r="I28" s="14"/>
      <c r="J28" s="14"/>
      <c r="K28" s="14"/>
      <c r="O28" s="214"/>
      <c r="P28" s="84"/>
    </row>
    <row r="29" spans="1:27" s="16" customFormat="1" ht="11.25" x14ac:dyDescent="0.2">
      <c r="A29" s="16" t="s">
        <v>98</v>
      </c>
      <c r="B29" s="14">
        <f>SUM(B17:B22)</f>
        <v>46377</v>
      </c>
      <c r="C29" s="19"/>
      <c r="D29" s="14">
        <f>SUM(D17:D22)</f>
        <v>7469.7583124299954</v>
      </c>
      <c r="E29" s="14"/>
      <c r="F29" s="21">
        <f>D29/B29</f>
        <v>0.16106600928110906</v>
      </c>
      <c r="G29" s="19" t="s">
        <v>11</v>
      </c>
      <c r="H29" s="14"/>
      <c r="I29" s="14"/>
      <c r="J29" s="14"/>
      <c r="K29" s="14"/>
      <c r="O29" s="214"/>
      <c r="P29" s="84"/>
    </row>
    <row r="30" spans="1:27" s="16" customFormat="1" ht="11.25" x14ac:dyDescent="0.2">
      <c r="A30" s="16" t="s">
        <v>97</v>
      </c>
      <c r="B30" s="14"/>
      <c r="C30" s="19"/>
      <c r="D30" s="14"/>
      <c r="E30" s="14"/>
      <c r="F30" s="14"/>
      <c r="G30" s="14"/>
      <c r="H30" s="14"/>
      <c r="I30" s="14"/>
      <c r="J30" s="14"/>
      <c r="K30" s="14"/>
      <c r="O30" s="214"/>
      <c r="P30" s="84"/>
    </row>
    <row r="31" spans="1:27" s="16" customFormat="1" ht="11.25" x14ac:dyDescent="0.2">
      <c r="B31" s="14"/>
      <c r="C31" s="19"/>
      <c r="D31" s="14"/>
      <c r="E31" s="14"/>
      <c r="F31" s="14"/>
      <c r="G31" s="14"/>
      <c r="H31" s="14"/>
      <c r="I31" s="14"/>
      <c r="J31" s="14"/>
      <c r="K31" s="14"/>
      <c r="O31" s="214"/>
      <c r="P31" s="84"/>
    </row>
    <row r="32" spans="1:27" s="16" customFormat="1" ht="11.25" x14ac:dyDescent="0.2">
      <c r="B32" s="14"/>
      <c r="C32" s="19"/>
      <c r="D32" s="14"/>
      <c r="E32" s="14"/>
      <c r="F32" s="14"/>
      <c r="G32" s="14"/>
      <c r="H32" s="14"/>
      <c r="I32" s="14"/>
      <c r="J32" s="14"/>
      <c r="K32" s="14"/>
      <c r="O32" s="214"/>
      <c r="P32" s="84"/>
    </row>
    <row r="33" spans="1:27" s="16" customFormat="1" ht="11.25" x14ac:dyDescent="0.2">
      <c r="B33" s="14"/>
      <c r="C33" s="19"/>
      <c r="D33" s="14"/>
      <c r="E33" s="14"/>
      <c r="F33" s="14"/>
      <c r="G33" s="14"/>
      <c r="H33" s="14"/>
      <c r="I33" s="14"/>
      <c r="J33" s="14"/>
      <c r="K33" s="14"/>
      <c r="O33" s="214"/>
      <c r="P33" s="84"/>
    </row>
    <row r="34" spans="1:27" s="16" customFormat="1" ht="11.25" x14ac:dyDescent="0.2">
      <c r="B34" s="14"/>
      <c r="C34" s="14"/>
      <c r="D34" s="14"/>
      <c r="E34" s="14"/>
      <c r="F34" s="14"/>
      <c r="G34" s="14"/>
      <c r="H34" s="14"/>
      <c r="I34" s="14"/>
      <c r="J34" s="14"/>
      <c r="K34" s="14"/>
      <c r="O34" s="84"/>
      <c r="P34" s="84" t="s">
        <v>58</v>
      </c>
    </row>
    <row r="35" spans="1:27" s="16" customFormat="1" ht="12" thickBot="1" x14ac:dyDescent="0.25">
      <c r="B35" s="25" t="s">
        <v>13</v>
      </c>
      <c r="C35" s="26"/>
      <c r="D35" s="26"/>
      <c r="E35" s="26"/>
      <c r="F35" s="14"/>
      <c r="G35" s="14"/>
      <c r="H35" s="14"/>
      <c r="I35" s="14"/>
      <c r="J35" s="14"/>
      <c r="K35" s="14"/>
    </row>
    <row r="36" spans="1:27" s="16" customFormat="1" ht="12" thickTop="1" x14ac:dyDescent="0.2">
      <c r="A36" s="6"/>
      <c r="B36" s="27"/>
      <c r="C36" s="14"/>
      <c r="D36" s="14"/>
      <c r="E36" s="14"/>
      <c r="F36" s="14"/>
      <c r="G36" s="14"/>
      <c r="H36" s="14"/>
      <c r="I36" s="14"/>
      <c r="J36" s="14"/>
      <c r="K36" s="14"/>
      <c r="X36" s="14"/>
      <c r="Y36" s="14"/>
    </row>
    <row r="37" spans="1:27" s="16" customFormat="1" ht="11.25" x14ac:dyDescent="0.2">
      <c r="A37" s="8"/>
      <c r="B37" s="27"/>
      <c r="C37" s="14"/>
      <c r="D37" s="14"/>
      <c r="E37" s="14"/>
      <c r="F37" s="28" t="s">
        <v>14</v>
      </c>
      <c r="G37" s="14">
        <f>+D26</f>
        <v>23784.740117789992</v>
      </c>
      <c r="H37" s="19" t="s">
        <v>10</v>
      </c>
      <c r="I37" s="14"/>
      <c r="J37" s="14"/>
      <c r="K37" s="14"/>
    </row>
    <row r="38" spans="1:27" s="13" customFormat="1" ht="11.25" x14ac:dyDescent="0.2">
      <c r="A38" s="29"/>
      <c r="B38" s="27"/>
      <c r="C38" s="14"/>
      <c r="D38" s="14"/>
      <c r="E38" s="14"/>
      <c r="F38" s="14"/>
      <c r="G38" s="14"/>
      <c r="H38" s="19"/>
      <c r="I38" s="14"/>
      <c r="J38" s="14"/>
      <c r="K38" s="14"/>
      <c r="O38" s="16">
        <f>12*O27*O26</f>
        <v>47247.06</v>
      </c>
      <c r="P38" s="13" t="s">
        <v>59</v>
      </c>
      <c r="W38" s="14"/>
      <c r="X38" s="16"/>
      <c r="Y38" s="16"/>
      <c r="AA38" s="14"/>
    </row>
    <row r="39" spans="1:27" s="16" customFormat="1" ht="11.25" x14ac:dyDescent="0.2">
      <c r="B39" s="14" t="s">
        <v>69</v>
      </c>
      <c r="C39" s="14"/>
      <c r="D39" s="14"/>
      <c r="E39" s="14"/>
      <c r="F39" s="239">
        <v>0.34</v>
      </c>
      <c r="G39" s="14"/>
      <c r="H39" s="14"/>
      <c r="I39" s="14"/>
      <c r="J39" s="14"/>
      <c r="K39" s="14"/>
      <c r="O39" s="16">
        <f>12*O27*G62</f>
        <v>14892.163218131342</v>
      </c>
      <c r="P39" s="16" t="s">
        <v>60</v>
      </c>
    </row>
    <row r="40" spans="1:27" s="16" customFormat="1" ht="11.25" x14ac:dyDescent="0.2">
      <c r="B40" s="14"/>
      <c r="C40" s="14" t="str">
        <f>"Customers from "&amp;TEXT($A$8,"mm/yy")&amp;" - "&amp;TEXT($A$10,"mm/yy")</f>
        <v>Customers from 05/17 - 07/17</v>
      </c>
      <c r="D40" s="14"/>
      <c r="E40" s="14"/>
      <c r="F40" s="14">
        <f>+B12</f>
        <v>23406</v>
      </c>
      <c r="G40" s="19" t="s">
        <v>8</v>
      </c>
      <c r="H40" s="14"/>
      <c r="I40" s="14"/>
      <c r="J40" s="14"/>
      <c r="K40" s="14"/>
      <c r="O40" s="90">
        <f>+O39/O38</f>
        <v>0.31519766982604508</v>
      </c>
    </row>
    <row r="41" spans="1:27" s="16" customFormat="1" ht="11.25" x14ac:dyDescent="0.2">
      <c r="B41" s="14"/>
      <c r="C41" s="14" t="s">
        <v>16</v>
      </c>
      <c r="D41" s="14"/>
      <c r="E41" s="14"/>
      <c r="F41" s="20">
        <f>ROUND(F39*F40,0)</f>
        <v>7958</v>
      </c>
      <c r="G41" s="19"/>
      <c r="H41" s="14"/>
      <c r="I41" s="14"/>
      <c r="J41" s="14"/>
      <c r="K41" s="14"/>
    </row>
    <row r="42" spans="1:27" s="16" customFormat="1" ht="11.25" x14ac:dyDescent="0.2">
      <c r="B42" s="14"/>
      <c r="C42" s="14"/>
      <c r="D42" s="14"/>
      <c r="E42" s="14"/>
      <c r="F42" s="31"/>
      <c r="G42" s="19"/>
      <c r="H42" s="14"/>
      <c r="I42" s="14"/>
      <c r="J42" s="14"/>
      <c r="K42" s="14"/>
    </row>
    <row r="43" spans="1:27" s="16" customFormat="1" ht="11.25" x14ac:dyDescent="0.2">
      <c r="B43" s="14" t="s">
        <v>69</v>
      </c>
      <c r="C43" s="14"/>
      <c r="D43" s="14"/>
      <c r="E43" s="14"/>
      <c r="F43" s="239">
        <v>0.371</v>
      </c>
      <c r="G43" s="14"/>
      <c r="H43" s="14"/>
      <c r="I43" s="14"/>
      <c r="J43" s="14"/>
      <c r="K43" s="14"/>
    </row>
    <row r="44" spans="1:27" s="16" customFormat="1" ht="11.25" x14ac:dyDescent="0.2">
      <c r="B44" s="14"/>
      <c r="C44" s="14" t="str">
        <f>"Customers from "&amp;TEXT($A$14,"mm/yy")&amp;" - "&amp;TEXT($A$22,"mm/yy")</f>
        <v>Customers from 08/17 - 04/18</v>
      </c>
      <c r="D44" s="14"/>
      <c r="E44" s="14"/>
      <c r="F44" s="14">
        <f>+B26-F40</f>
        <v>69709</v>
      </c>
      <c r="G44" s="19" t="s">
        <v>9</v>
      </c>
      <c r="H44" s="14"/>
      <c r="I44" s="14"/>
      <c r="J44" s="14"/>
      <c r="K44" s="14"/>
    </row>
    <row r="45" spans="1:27" s="16" customFormat="1" ht="11.25" x14ac:dyDescent="0.2">
      <c r="B45" s="14"/>
      <c r="C45" s="14" t="s">
        <v>16</v>
      </c>
      <c r="D45" s="14"/>
      <c r="E45" s="14"/>
      <c r="F45" s="20">
        <f>ROUND(F43*F44,0)</f>
        <v>25862</v>
      </c>
      <c r="G45" s="19"/>
      <c r="H45" s="14"/>
      <c r="I45" s="14"/>
      <c r="J45" s="14"/>
      <c r="K45" s="14"/>
    </row>
    <row r="46" spans="1:27" s="16" customFormat="1" ht="11.25" x14ac:dyDescent="0.2">
      <c r="B46" s="14"/>
      <c r="C46" s="14"/>
      <c r="D46" s="14"/>
      <c r="E46" s="14"/>
      <c r="F46" s="32"/>
      <c r="G46" s="19"/>
      <c r="H46" s="14"/>
      <c r="I46" s="14"/>
      <c r="J46" s="14"/>
      <c r="K46" s="14"/>
    </row>
    <row r="47" spans="1:27" s="16" customFormat="1" ht="12" thickBot="1" x14ac:dyDescent="0.25">
      <c r="B47" s="14"/>
      <c r="C47" s="14" t="s">
        <v>17</v>
      </c>
      <c r="D47" s="14"/>
      <c r="E47" s="14"/>
      <c r="F47" s="24">
        <f>+F41+F45</f>
        <v>33820</v>
      </c>
      <c r="G47" s="33">
        <f>+F47</f>
        <v>33820</v>
      </c>
      <c r="H47" s="14"/>
      <c r="I47" s="14"/>
      <c r="J47" s="14"/>
      <c r="K47" s="14"/>
    </row>
    <row r="48" spans="1:27" s="16" customFormat="1" ht="12" thickTop="1" x14ac:dyDescent="0.2">
      <c r="B48" s="14"/>
      <c r="C48" s="14"/>
      <c r="D48" s="14"/>
      <c r="E48" s="14"/>
      <c r="F48" s="14"/>
      <c r="G48" s="14"/>
      <c r="H48" s="14"/>
      <c r="I48" s="14"/>
      <c r="J48" s="14"/>
      <c r="K48" s="14"/>
    </row>
    <row r="49" spans="2:27" s="16" customFormat="1" ht="11.25" x14ac:dyDescent="0.2">
      <c r="B49" s="14"/>
      <c r="C49" s="14"/>
      <c r="D49" s="14"/>
      <c r="E49" s="14"/>
      <c r="F49" s="14"/>
      <c r="G49" s="14"/>
      <c r="H49" s="14"/>
      <c r="I49" s="14"/>
      <c r="J49" s="14"/>
      <c r="K49" s="14"/>
    </row>
    <row r="50" spans="2:27" s="16" customFormat="1" ht="12" thickBot="1" x14ac:dyDescent="0.25">
      <c r="B50" s="14"/>
      <c r="C50" s="14"/>
      <c r="D50" s="14"/>
      <c r="E50" s="14"/>
      <c r="F50" s="28" t="s">
        <v>128</v>
      </c>
      <c r="G50" s="34">
        <f>+G37-G47</f>
        <v>-10035.259882210008</v>
      </c>
      <c r="H50" s="14"/>
      <c r="I50" s="14"/>
      <c r="J50" s="14"/>
      <c r="K50" s="14"/>
    </row>
    <row r="51" spans="2:27" s="16" customFormat="1" ht="12" thickTop="1" x14ac:dyDescent="0.2">
      <c r="B51" s="14"/>
      <c r="C51" s="14"/>
      <c r="D51" s="14"/>
      <c r="E51" s="14"/>
      <c r="F51" s="14"/>
      <c r="G51" s="14"/>
      <c r="H51" s="14"/>
      <c r="I51" s="14"/>
      <c r="J51" s="14"/>
      <c r="K51" s="14"/>
      <c r="Y51" s="14"/>
    </row>
    <row r="52" spans="2:27" s="16" customFormat="1" ht="11.25" x14ac:dyDescent="0.2">
      <c r="B52" s="14"/>
      <c r="C52" s="14"/>
      <c r="D52" s="14"/>
      <c r="E52" s="14"/>
      <c r="F52" s="14"/>
      <c r="G52" s="14"/>
      <c r="H52" s="14"/>
      <c r="I52" s="14"/>
      <c r="J52" s="14"/>
      <c r="K52" s="14"/>
    </row>
    <row r="53" spans="2:27" s="16" customFormat="1" ht="12" thickBot="1" x14ac:dyDescent="0.25">
      <c r="B53" s="25" t="str">
        <f>$K$22+1&amp;" Recycle Adjustment Calculation"</f>
        <v>2019 Recycle Adjustment Calculation</v>
      </c>
      <c r="C53" s="26"/>
      <c r="D53" s="26"/>
      <c r="E53" s="26"/>
      <c r="F53" s="26"/>
      <c r="G53" s="14"/>
      <c r="H53" s="14"/>
      <c r="I53" s="14"/>
      <c r="J53" s="14"/>
      <c r="K53" s="14"/>
    </row>
    <row r="54" spans="2:27" s="16" customFormat="1" ht="12" thickTop="1" x14ac:dyDescent="0.2">
      <c r="B54" s="27"/>
      <c r="C54" s="14"/>
      <c r="D54" s="14"/>
      <c r="E54" s="14"/>
      <c r="F54" s="14"/>
      <c r="G54" s="14"/>
      <c r="H54" s="14"/>
      <c r="I54" s="14"/>
      <c r="J54" s="14"/>
      <c r="K54" s="14"/>
      <c r="L54" s="14"/>
      <c r="M54" s="14"/>
      <c r="N54" s="14"/>
      <c r="O54" s="14"/>
      <c r="P54" s="14"/>
      <c r="Q54" s="14"/>
      <c r="R54" s="14"/>
      <c r="S54" s="14"/>
      <c r="T54" s="14"/>
      <c r="U54" s="14"/>
      <c r="V54" s="14"/>
      <c r="W54" s="14"/>
      <c r="AA54" s="14"/>
    </row>
    <row r="55" spans="2:27" s="16" customFormat="1" ht="11.25" x14ac:dyDescent="0.2">
      <c r="B55" s="14" t="str">
        <f>$K$10&amp;"/"&amp;$K$22&amp;" True-up Computation"</f>
        <v>2017/2018 True-up Computation</v>
      </c>
      <c r="C55" s="14"/>
      <c r="D55" s="14"/>
      <c r="E55" s="14"/>
      <c r="F55" s="14"/>
      <c r="G55" s="14"/>
      <c r="H55" s="14"/>
      <c r="I55" s="14"/>
      <c r="J55" s="14"/>
      <c r="K55" s="14"/>
    </row>
    <row r="56" spans="2:27" s="16" customFormat="1" ht="11.25" x14ac:dyDescent="0.2">
      <c r="B56" s="14"/>
      <c r="C56" s="14"/>
      <c r="D56" s="14"/>
      <c r="E56" s="14"/>
      <c r="F56" s="28" t="s">
        <v>18</v>
      </c>
      <c r="G56" s="238">
        <f>+J26</f>
        <v>93115</v>
      </c>
      <c r="H56" s="19" t="s">
        <v>12</v>
      </c>
      <c r="I56" s="14"/>
      <c r="J56" s="14"/>
      <c r="K56" s="14"/>
    </row>
    <row r="57" spans="2:27" s="16" customFormat="1" ht="11.25" x14ac:dyDescent="0.2">
      <c r="B57" s="14"/>
      <c r="C57" s="14"/>
      <c r="D57" s="14"/>
      <c r="E57" s="14"/>
      <c r="F57" s="28" t="s">
        <v>109</v>
      </c>
      <c r="G57" s="14">
        <f>+G50</f>
        <v>-10035.259882210008</v>
      </c>
      <c r="H57" s="14"/>
      <c r="I57" s="14"/>
      <c r="J57" s="14"/>
      <c r="K57" s="14"/>
    </row>
    <row r="58" spans="2:27" s="16" customFormat="1" ht="11.25" x14ac:dyDescent="0.2">
      <c r="B58" s="14"/>
      <c r="C58" s="14"/>
      <c r="D58" s="14"/>
      <c r="E58" s="14"/>
      <c r="F58" s="28"/>
      <c r="G58" s="14"/>
      <c r="H58" s="14"/>
      <c r="I58" s="14"/>
      <c r="J58" s="14"/>
      <c r="K58" s="14"/>
    </row>
    <row r="59" spans="2:27" s="16" customFormat="1" ht="12" thickBot="1" x14ac:dyDescent="0.25">
      <c r="B59" s="14"/>
      <c r="C59" s="14"/>
      <c r="D59" s="14"/>
      <c r="E59" s="14"/>
      <c r="F59" s="28" t="s">
        <v>108</v>
      </c>
      <c r="G59" s="35">
        <f>ROUND(G57/G56,2)</f>
        <v>-0.11</v>
      </c>
      <c r="H59" s="14"/>
      <c r="I59" s="21">
        <f>+G59</f>
        <v>-0.11</v>
      </c>
      <c r="J59" s="14"/>
      <c r="K59" s="14"/>
    </row>
    <row r="60" spans="2:27" s="16" customFormat="1" ht="12" thickTop="1" x14ac:dyDescent="0.2">
      <c r="B60" s="14"/>
      <c r="C60" s="14"/>
      <c r="D60" s="14"/>
      <c r="E60" s="14"/>
      <c r="F60" s="28"/>
      <c r="G60" s="14"/>
      <c r="H60" s="14"/>
      <c r="I60" s="21"/>
      <c r="J60" s="14"/>
      <c r="K60" s="14"/>
      <c r="Y60" s="14"/>
    </row>
    <row r="61" spans="2:27" s="16" customFormat="1" ht="11.25" x14ac:dyDescent="0.2">
      <c r="B61" s="14" t="str">
        <f>$K$22+1&amp;" Projected Credit"</f>
        <v>2019 Projected Credit</v>
      </c>
      <c r="C61" s="14"/>
      <c r="D61" s="14"/>
      <c r="E61" s="14"/>
      <c r="F61" s="28"/>
      <c r="G61" s="14"/>
      <c r="H61" s="14"/>
      <c r="I61" s="21"/>
      <c r="J61" s="14"/>
      <c r="K61" s="14"/>
      <c r="M61" s="197" t="s">
        <v>61</v>
      </c>
    </row>
    <row r="62" spans="2:27" s="16" customFormat="1" ht="12" thickBot="1" x14ac:dyDescent="0.25">
      <c r="B62" s="27"/>
      <c r="C62" s="14"/>
      <c r="D62" s="14"/>
      <c r="E62" s="14"/>
      <c r="F62" s="28" t="s">
        <v>51</v>
      </c>
      <c r="G62" s="237">
        <f>+F29/'Value (4)'!P18*M62</f>
        <v>0.16106600928110903</v>
      </c>
      <c r="H62" s="14"/>
      <c r="I62" s="21">
        <f>+G62</f>
        <v>0.16106600928110903</v>
      </c>
      <c r="J62" s="19" t="s">
        <v>11</v>
      </c>
      <c r="K62" s="14"/>
      <c r="M62" s="213">
        <v>0.5</v>
      </c>
    </row>
    <row r="63" spans="2:27" s="14" customFormat="1" ht="12" thickTop="1" x14ac:dyDescent="0.2">
      <c r="B63" s="27"/>
      <c r="I63" s="21"/>
      <c r="X63" s="16"/>
      <c r="Y63" s="16"/>
    </row>
    <row r="64" spans="2:27" s="16" customFormat="1" ht="12" thickBot="1" x14ac:dyDescent="0.25">
      <c r="B64" s="14"/>
      <c r="C64" s="14"/>
      <c r="D64" s="14"/>
      <c r="E64" s="14"/>
      <c r="F64" s="14"/>
      <c r="G64" s="28" t="str">
        <f>$K$22+1&amp;" Adjusted Credit"</f>
        <v>2019 Adjusted Credit</v>
      </c>
      <c r="H64" s="24"/>
      <c r="I64" s="35">
        <f>+I59+I62</f>
        <v>5.1066009281109034E-2</v>
      </c>
      <c r="J64" s="14"/>
      <c r="K64" s="14"/>
    </row>
    <row r="65" spans="1:25" s="16" customFormat="1" ht="12" thickTop="1" x14ac:dyDescent="0.2">
      <c r="I65" s="21"/>
    </row>
    <row r="66" spans="1:25" s="16" customFormat="1" ht="11.25" x14ac:dyDescent="0.2">
      <c r="G66" s="78" t="s">
        <v>72</v>
      </c>
      <c r="I66" s="21">
        <f>+I64*3.5</f>
        <v>0.17873103248388161</v>
      </c>
    </row>
    <row r="67" spans="1:25" s="16" customFormat="1" ht="11.25" x14ac:dyDescent="0.2">
      <c r="A67" s="84"/>
      <c r="B67" s="84"/>
      <c r="C67" s="84"/>
      <c r="D67" s="84"/>
      <c r="E67" s="84"/>
      <c r="F67" s="84"/>
      <c r="G67" s="78" t="s">
        <v>73</v>
      </c>
      <c r="I67" s="21">
        <f>I64*5</f>
        <v>0.25533004640554519</v>
      </c>
    </row>
    <row r="68" spans="1:25" s="16" customFormat="1" ht="11.25" x14ac:dyDescent="0.2">
      <c r="A68" s="94"/>
      <c r="B68" s="95"/>
      <c r="C68" s="96"/>
      <c r="D68" s="96"/>
      <c r="E68" s="96"/>
      <c r="F68" s="97"/>
      <c r="G68" s="78"/>
    </row>
    <row r="69" spans="1:25" s="16" customFormat="1" ht="11.25" x14ac:dyDescent="0.2">
      <c r="A69" s="87"/>
      <c r="B69" s="97"/>
      <c r="C69" s="97"/>
      <c r="D69" s="97"/>
      <c r="E69" s="97"/>
      <c r="F69" s="97"/>
      <c r="G69" s="78" t="s">
        <v>52</v>
      </c>
      <c r="I69" s="209">
        <f>'[2]2014-2015'!$C$14</f>
        <v>0</v>
      </c>
      <c r="J69" s="98"/>
      <c r="K69" s="98"/>
      <c r="Y69" s="14"/>
    </row>
    <row r="70" spans="1:25" s="16" customFormat="1" ht="11.25" x14ac:dyDescent="0.2">
      <c r="A70" s="87"/>
      <c r="B70" s="97"/>
      <c r="C70" s="97"/>
      <c r="D70" s="97"/>
      <c r="E70" s="97"/>
      <c r="F70" s="97"/>
    </row>
    <row r="71" spans="1:25" s="16" customFormat="1" ht="11.25" hidden="1" x14ac:dyDescent="0.2">
      <c r="A71" s="236"/>
      <c r="B71" s="211"/>
      <c r="C71" s="97"/>
      <c r="D71" s="235"/>
      <c r="E71" s="97"/>
      <c r="F71" s="84"/>
      <c r="G71" s="78" t="s">
        <v>105</v>
      </c>
      <c r="I71" s="209">
        <v>292961.99994565477</v>
      </c>
    </row>
    <row r="72" spans="1:25" s="16" customFormat="1" ht="11.25" hidden="1" x14ac:dyDescent="0.2">
      <c r="A72" s="100"/>
      <c r="B72" s="101"/>
      <c r="C72" s="103"/>
      <c r="D72" s="84"/>
      <c r="E72" s="31"/>
      <c r="F72" s="84"/>
      <c r="G72" s="78" t="s">
        <v>104</v>
      </c>
      <c r="I72" s="209">
        <v>56929</v>
      </c>
    </row>
    <row r="73" spans="1:25" s="14" customFormat="1" ht="11.25" x14ac:dyDescent="0.2">
      <c r="A73" s="100"/>
      <c r="B73" s="101"/>
      <c r="C73" s="31"/>
      <c r="D73" s="84"/>
      <c r="E73" s="31"/>
      <c r="F73" s="84"/>
      <c r="G73" s="16"/>
      <c r="H73" s="16"/>
      <c r="I73" s="16"/>
      <c r="X73" s="16"/>
      <c r="Y73" s="16"/>
    </row>
    <row r="74" spans="1:25" s="16" customFormat="1" ht="11.25" x14ac:dyDescent="0.2">
      <c r="B74" s="100" t="s">
        <v>127</v>
      </c>
      <c r="C74" s="31"/>
      <c r="D74" s="84"/>
      <c r="E74" s="31"/>
      <c r="F74" s="84"/>
      <c r="G74" s="78" t="s">
        <v>70</v>
      </c>
      <c r="I74" s="99">
        <v>0</v>
      </c>
    </row>
    <row r="75" spans="1:25" s="16" customFormat="1" ht="11.25" x14ac:dyDescent="0.2">
      <c r="A75" s="100"/>
      <c r="B75" s="31"/>
      <c r="C75" s="103"/>
      <c r="D75" s="84"/>
      <c r="E75" s="31"/>
      <c r="F75" s="84"/>
      <c r="G75" s="14"/>
      <c r="H75" s="14"/>
      <c r="I75" s="14"/>
    </row>
    <row r="76" spans="1:25" s="16" customFormat="1" ht="11.25" x14ac:dyDescent="0.2">
      <c r="A76" s="100"/>
      <c r="B76" s="31"/>
      <c r="C76" s="31"/>
      <c r="D76" s="84"/>
      <c r="E76" s="31"/>
      <c r="F76" s="84"/>
      <c r="G76" s="78" t="s">
        <v>71</v>
      </c>
      <c r="I76" s="79">
        <f>I74/(B17*12)</f>
        <v>0</v>
      </c>
    </row>
    <row r="77" spans="1:25" s="16" customFormat="1" ht="11.25" x14ac:dyDescent="0.2">
      <c r="A77" s="100"/>
      <c r="B77" s="101"/>
      <c r="C77" s="31"/>
      <c r="D77" s="84"/>
      <c r="E77" s="31"/>
      <c r="F77" s="84"/>
    </row>
    <row r="78" spans="1:25" s="16" customFormat="1" ht="12" thickBot="1" x14ac:dyDescent="0.25">
      <c r="A78" s="100"/>
      <c r="B78" s="101"/>
      <c r="C78" s="31"/>
      <c r="D78" s="84"/>
      <c r="E78" s="31"/>
      <c r="F78" s="84"/>
      <c r="G78" s="28" t="str">
        <f>$K$22+1&amp;" Net Credit"</f>
        <v>2019 Net Credit</v>
      </c>
      <c r="H78" s="24"/>
      <c r="I78" s="161">
        <f>+I64+I76</f>
        <v>5.1066009281109034E-2</v>
      </c>
    </row>
    <row r="79" spans="1:25" s="16" customFormat="1" ht="12" thickTop="1" x14ac:dyDescent="0.2">
      <c r="A79" s="100"/>
      <c r="B79" s="101"/>
      <c r="C79" s="31"/>
      <c r="D79" s="84"/>
      <c r="E79" s="31"/>
      <c r="F79" s="84"/>
      <c r="Y79" s="14"/>
    </row>
    <row r="80" spans="1:25" s="16" customFormat="1" ht="11.25" x14ac:dyDescent="0.2">
      <c r="A80" s="100"/>
      <c r="B80" s="101"/>
      <c r="C80" s="31"/>
      <c r="D80" s="84"/>
      <c r="E80" s="31"/>
      <c r="F80" s="84"/>
      <c r="G80" s="78" t="s">
        <v>72</v>
      </c>
      <c r="I80" s="102">
        <f>+I78*3.5</f>
        <v>0.17873103248388161</v>
      </c>
    </row>
    <row r="81" spans="1:27" s="16" customFormat="1" ht="11.25" x14ac:dyDescent="0.2">
      <c r="A81" s="100"/>
      <c r="B81" s="101"/>
      <c r="C81" s="31"/>
      <c r="D81" s="84"/>
      <c r="E81" s="31"/>
      <c r="F81" s="84"/>
      <c r="G81" s="78" t="s">
        <v>73</v>
      </c>
      <c r="I81" s="16">
        <f>I78*5</f>
        <v>0.25533004640554519</v>
      </c>
    </row>
    <row r="82" spans="1:27" s="16" customFormat="1" ht="11.25" x14ac:dyDescent="0.2">
      <c r="A82" s="100"/>
      <c r="B82" s="101"/>
      <c r="C82" s="31"/>
      <c r="D82" s="84"/>
      <c r="E82" s="31"/>
      <c r="F82" s="84"/>
    </row>
    <row r="83" spans="1:27" s="16" customFormat="1" ht="11.25" x14ac:dyDescent="0.2">
      <c r="A83" s="100"/>
      <c r="B83" s="101"/>
      <c r="C83" s="31"/>
      <c r="D83" s="84"/>
      <c r="E83" s="31"/>
      <c r="F83" s="84"/>
      <c r="G83" s="14"/>
      <c r="H83" s="13"/>
      <c r="I83" s="14"/>
      <c r="J83" s="14"/>
      <c r="K83" s="13"/>
      <c r="L83" s="14"/>
      <c r="M83" s="14"/>
      <c r="N83" s="14"/>
      <c r="O83" s="14"/>
      <c r="P83" s="14"/>
      <c r="Q83" s="14"/>
      <c r="R83" s="14"/>
      <c r="S83" s="14"/>
      <c r="T83" s="14"/>
      <c r="U83" s="14"/>
      <c r="V83" s="13"/>
      <c r="W83" s="14"/>
      <c r="AA83" s="14"/>
    </row>
    <row r="84" spans="1:27" s="16" customFormat="1" ht="11.25" x14ac:dyDescent="0.2">
      <c r="A84" s="100"/>
      <c r="B84" s="101"/>
      <c r="C84" s="31"/>
      <c r="D84" s="84"/>
      <c r="E84" s="31"/>
      <c r="F84" s="84"/>
    </row>
    <row r="85" spans="1:27" s="16" customFormat="1" ht="11.25" x14ac:dyDescent="0.2">
      <c r="A85" s="100"/>
      <c r="B85" s="101"/>
      <c r="C85" s="31"/>
      <c r="D85" s="84"/>
      <c r="E85" s="31"/>
      <c r="F85" s="84"/>
    </row>
    <row r="86" spans="1:27" s="16" customFormat="1" ht="11.25" x14ac:dyDescent="0.2">
      <c r="A86" s="100"/>
      <c r="B86" s="31"/>
      <c r="C86" s="31"/>
      <c r="D86" s="84"/>
      <c r="E86" s="31"/>
      <c r="F86" s="84"/>
    </row>
    <row r="87" spans="1:27" s="16" customFormat="1" ht="11.25" x14ac:dyDescent="0.2">
      <c r="A87" s="100"/>
      <c r="B87" s="31"/>
      <c r="C87" s="103"/>
      <c r="D87" s="84"/>
      <c r="E87" s="31"/>
      <c r="F87" s="84"/>
    </row>
    <row r="88" spans="1:27" s="16" customFormat="1" x14ac:dyDescent="0.2">
      <c r="A88" s="88"/>
      <c r="B88" s="88"/>
      <c r="C88" s="88"/>
      <c r="D88" s="104"/>
      <c r="E88" s="88"/>
      <c r="F88" s="88"/>
      <c r="Y88" s="14"/>
    </row>
    <row r="89" spans="1:27" s="16" customFormat="1" ht="11.25" x14ac:dyDescent="0.2">
      <c r="A89" s="105"/>
      <c r="B89" s="31"/>
      <c r="C89" s="103"/>
      <c r="D89" s="84"/>
      <c r="E89" s="103"/>
      <c r="F89" s="106"/>
    </row>
    <row r="90" spans="1:27" s="16" customFormat="1" ht="11.25" x14ac:dyDescent="0.2"/>
    <row r="91" spans="1:27" s="16" customFormat="1" ht="11.25" x14ac:dyDescent="0.2"/>
    <row r="92" spans="1:27" s="16" customFormat="1" ht="11.25" x14ac:dyDescent="0.2">
      <c r="B92" s="8"/>
    </row>
    <row r="93" spans="1:27" s="14" customFormat="1" ht="11.25" x14ac:dyDescent="0.2">
      <c r="B93" s="27"/>
      <c r="X93" s="16"/>
      <c r="Y93" s="16"/>
    </row>
    <row r="94" spans="1:27" s="16" customFormat="1" ht="11.25" x14ac:dyDescent="0.2"/>
    <row r="95" spans="1:27" s="16" customFormat="1" ht="11.25" x14ac:dyDescent="0.2"/>
    <row r="96" spans="1:27" s="16" customFormat="1" ht="11.25" x14ac:dyDescent="0.2"/>
    <row r="97" spans="1:27" s="16" customFormat="1" ht="11.25" x14ac:dyDescent="0.2"/>
    <row r="98" spans="1:27" s="16" customFormat="1" ht="11.25" x14ac:dyDescent="0.2"/>
    <row r="99" spans="1:27" s="16" customFormat="1" ht="11.25" x14ac:dyDescent="0.2"/>
    <row r="100" spans="1:27" s="16" customFormat="1" ht="11.25" x14ac:dyDescent="0.2"/>
    <row r="101" spans="1:27" s="16" customFormat="1" ht="11.25" x14ac:dyDescent="0.2"/>
    <row r="102" spans="1:27" s="16" customFormat="1" ht="11.25" x14ac:dyDescent="0.2">
      <c r="A102" s="6"/>
    </row>
    <row r="103" spans="1:27" s="16" customFormat="1" x14ac:dyDescent="0.2">
      <c r="AA103" s="5"/>
    </row>
    <row r="104" spans="1:27" s="16" customFormat="1" x14ac:dyDescent="0.2">
      <c r="AA104" s="5"/>
    </row>
    <row r="105" spans="1:27" s="16" customFormat="1" x14ac:dyDescent="0.2">
      <c r="AA105" s="5"/>
    </row>
    <row r="106" spans="1:27" s="16" customFormat="1" x14ac:dyDescent="0.2">
      <c r="AA106" s="5"/>
    </row>
    <row r="107" spans="1:27" s="16" customFormat="1" x14ac:dyDescent="0.2">
      <c r="G107" s="36"/>
      <c r="I107" s="36"/>
      <c r="J107" s="36"/>
      <c r="L107" s="36"/>
      <c r="M107" s="36"/>
      <c r="N107" s="36"/>
      <c r="O107" s="36"/>
      <c r="P107" s="36"/>
      <c r="Q107" s="36"/>
      <c r="R107" s="36"/>
      <c r="S107" s="36"/>
      <c r="T107" s="36"/>
      <c r="U107" s="36"/>
      <c r="V107" s="36"/>
      <c r="W107" s="36"/>
      <c r="X107" s="36"/>
      <c r="Y107" s="36"/>
      <c r="AA107" s="5"/>
    </row>
    <row r="108" spans="1:27" s="16" customFormat="1" x14ac:dyDescent="0.2">
      <c r="AA108" s="5"/>
    </row>
    <row r="109" spans="1:27" s="16" customFormat="1" ht="13.5" thickBot="1" x14ac:dyDescent="0.25">
      <c r="G109" s="37"/>
      <c r="I109" s="37"/>
      <c r="J109" s="37"/>
      <c r="L109" s="37"/>
      <c r="M109" s="37"/>
      <c r="N109" s="37"/>
      <c r="O109" s="37"/>
      <c r="P109" s="37"/>
      <c r="Q109" s="37"/>
      <c r="R109" s="37"/>
      <c r="S109" s="37"/>
      <c r="T109" s="37"/>
      <c r="U109" s="37"/>
      <c r="V109" s="37"/>
      <c r="W109" s="37"/>
      <c r="X109" s="37"/>
      <c r="Y109" s="37"/>
      <c r="AA109" s="5"/>
    </row>
    <row r="110" spans="1:27" ht="13.5" thickTop="1" x14ac:dyDescent="0.2"/>
    <row r="111" spans="1:27" x14ac:dyDescent="0.2">
      <c r="W111" s="38"/>
      <c r="X111" s="38"/>
      <c r="Y111" s="38"/>
    </row>
    <row r="112" spans="1:27" x14ac:dyDescent="0.2">
      <c r="W112" s="38"/>
      <c r="AA112" s="38"/>
    </row>
  </sheetData>
  <printOptions horizontalCentered="1"/>
  <pageMargins left="0" right="0" top="0.26" bottom="0.33" header="0" footer="0"/>
  <pageSetup scale="58" orientation="portrait" horizontalDpi="4294967292" verticalDpi="4294967292" r:id="rId1"/>
  <headerFooter alignWithMargins="0">
    <oddFooter>&amp;R&amp;"Helv,Regular"&amp;6\\SERVER1\DPUBLIC\EXCEL\WUTC\&amp;F, &amp;A, &amp;D, &amp;T, Page &amp;P of &amp;N</oddFoot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8"/>
  <sheetViews>
    <sheetView showGridLines="0" topLeftCell="D1" zoomScaleNormal="100" workbookViewId="0">
      <selection activeCell="O20" sqref="O20"/>
    </sheetView>
  </sheetViews>
  <sheetFormatPr defaultRowHeight="12.75" x14ac:dyDescent="0.2"/>
  <cols>
    <col min="1" max="1" width="8.140625" customWidth="1"/>
    <col min="2" max="2" width="2.140625" customWidth="1"/>
    <col min="3" max="13" width="11.7109375" customWidth="1"/>
    <col min="14" max="14" width="2.85546875" customWidth="1"/>
    <col min="15" max="15" width="9.7109375" style="53" customWidth="1"/>
    <col min="16" max="16" width="14.5703125" bestFit="1" customWidth="1"/>
  </cols>
  <sheetData>
    <row r="1" spans="1:17" x14ac:dyDescent="0.2">
      <c r="A1" s="39" t="s">
        <v>112</v>
      </c>
      <c r="B1" s="40"/>
    </row>
    <row r="2" spans="1:17" x14ac:dyDescent="0.2">
      <c r="A2" s="41" t="str">
        <f>'WUTC_AW of Lynnwood_MF'!A1</f>
        <v>Rabanco Ltd (dba Allied Waste of Lynnwood)</v>
      </c>
      <c r="B2" s="41"/>
    </row>
    <row r="3" spans="1:17" x14ac:dyDescent="0.2">
      <c r="B3" s="51"/>
    </row>
    <row r="4" spans="1:17" x14ac:dyDescent="0.2">
      <c r="B4" s="51"/>
      <c r="C4" s="51"/>
      <c r="D4" s="51"/>
      <c r="E4" s="51"/>
      <c r="F4" s="51"/>
      <c r="G4" s="51"/>
      <c r="H4" s="51"/>
      <c r="I4" s="51"/>
      <c r="J4" s="51"/>
      <c r="K4" s="51"/>
      <c r="L4" s="51"/>
      <c r="M4" s="51"/>
      <c r="O4" s="54" t="str">
        <f>+TEXT(P18,"00.0%")&amp;" of"</f>
        <v>50.0% of</v>
      </c>
    </row>
    <row r="5" spans="1:17" x14ac:dyDescent="0.2">
      <c r="B5" s="51"/>
      <c r="C5" s="43" t="s">
        <v>19</v>
      </c>
      <c r="D5" s="43" t="s">
        <v>20</v>
      </c>
      <c r="E5" s="43" t="s">
        <v>111</v>
      </c>
      <c r="F5" s="43" t="s">
        <v>21</v>
      </c>
      <c r="G5" s="43" t="s">
        <v>22</v>
      </c>
      <c r="H5" s="43" t="s">
        <v>23</v>
      </c>
      <c r="I5" s="43" t="s">
        <v>24</v>
      </c>
      <c r="J5" s="43" t="s">
        <v>25</v>
      </c>
      <c r="K5" s="43" t="s">
        <v>26</v>
      </c>
      <c r="L5" s="43" t="s">
        <v>27</v>
      </c>
      <c r="M5" s="43" t="s">
        <v>28</v>
      </c>
      <c r="O5" s="54" t="s">
        <v>28</v>
      </c>
      <c r="P5" s="43" t="s">
        <v>62</v>
      </c>
    </row>
    <row r="6" spans="1:17" ht="15.75" customHeight="1" x14ac:dyDescent="0.2">
      <c r="A6" s="46">
        <f>+'Pricing (4)'!A4</f>
        <v>42856</v>
      </c>
      <c r="B6" s="51"/>
      <c r="C6" s="52">
        <f>'Commodity Tonnages (4)'!C6*'Pricing (4)'!C4</f>
        <v>568.19766000000004</v>
      </c>
      <c r="D6" s="56">
        <f>'Commodity Tonnages (4)'!D6*'Pricing (4)'!D4</f>
        <v>-235.38246784000003</v>
      </c>
      <c r="E6" s="56">
        <f>'Commodity Tonnages (4)'!E6*'Pricing (4)'!E4</f>
        <v>0</v>
      </c>
      <c r="F6" s="56">
        <f>'Commodity Tonnages (4)'!F6*'Pricing (4)'!F4</f>
        <v>99.39803280000001</v>
      </c>
      <c r="G6" s="56">
        <f>'Commodity Tonnages (4)'!G6*'Pricing (4)'!G4</f>
        <v>1065.5392800000002</v>
      </c>
      <c r="H6" s="56">
        <f>'Commodity Tonnages (4)'!H6*'Pricing (4)'!H4</f>
        <v>1619.4633913600001</v>
      </c>
      <c r="I6" s="56">
        <f>'Commodity Tonnages (4)'!I6*'Pricing (4)'!I4</f>
        <v>173.79076616000003</v>
      </c>
      <c r="J6" s="56">
        <f>'Commodity Tonnages (4)'!J6*'Pricing (4)'!J4</f>
        <v>173.79076616000003</v>
      </c>
      <c r="K6" s="56">
        <f>'Commodity Tonnages (4)'!K6*'Pricing (4)'!K4</f>
        <v>1978.4944396800004</v>
      </c>
      <c r="L6" s="56">
        <f>'Commodity Tonnages (4)'!L6*'Pricing (4)'!L4</f>
        <v>-667.86572816000159</v>
      </c>
      <c r="M6" s="242">
        <f t="shared" ref="M6:M18" si="0">SUM(C6:L6)</f>
        <v>4775.4261401599997</v>
      </c>
      <c r="O6" s="58">
        <f t="shared" ref="O6:O17" si="1">M6*P6</f>
        <v>2387.7130700799999</v>
      </c>
      <c r="P6" s="223">
        <v>0.5</v>
      </c>
      <c r="Q6" s="55"/>
    </row>
    <row r="7" spans="1:17" ht="15.75" customHeight="1" x14ac:dyDescent="0.2">
      <c r="A7" s="46">
        <f>+'Pricing (4)'!A5</f>
        <v>42916</v>
      </c>
      <c r="B7" s="51"/>
      <c r="C7" s="52">
        <f>'Commodity Tonnages (4)'!C7*'Pricing (4)'!C5</f>
        <v>574.9041105</v>
      </c>
      <c r="D7" s="56">
        <f>'Commodity Tonnages (4)'!D7*'Pricing (4)'!D5</f>
        <v>-96.982579200000004</v>
      </c>
      <c r="E7" s="56">
        <f>'Commodity Tonnages (4)'!E7*'Pricing (4)'!E5</f>
        <v>0</v>
      </c>
      <c r="F7" s="56">
        <f>'Commodity Tonnages (4)'!F7*'Pricing (4)'!F5</f>
        <v>97.693972200000005</v>
      </c>
      <c r="G7" s="56">
        <f>'Commodity Tonnages (4)'!G7*'Pricing (4)'!G5</f>
        <v>1421.6460569999999</v>
      </c>
      <c r="H7" s="56">
        <f>'Commodity Tonnages (4)'!H7*'Pricing (4)'!H5</f>
        <v>2175.6269846399996</v>
      </c>
      <c r="I7" s="56">
        <f>'Commodity Tonnages (4)'!I7*'Pricing (4)'!I5</f>
        <v>135.84777869999999</v>
      </c>
      <c r="J7" s="56">
        <f>'Commodity Tonnages (4)'!J7*'Pricing (4)'!J5</f>
        <v>135.84777869999999</v>
      </c>
      <c r="K7" s="56">
        <f>'Commodity Tonnages (4)'!K7*'Pricing (4)'!K5</f>
        <v>2436.4322294399999</v>
      </c>
      <c r="L7" s="56">
        <f>'Commodity Tonnages (4)'!L7*'Pricing (4)'!L5</f>
        <v>-684.06753777000142</v>
      </c>
      <c r="M7" s="242">
        <f t="shared" si="0"/>
        <v>6196.9487942099977</v>
      </c>
      <c r="O7" s="58">
        <f t="shared" si="1"/>
        <v>3098.4743971049988</v>
      </c>
      <c r="P7" s="223">
        <v>0.5</v>
      </c>
      <c r="Q7" s="55"/>
    </row>
    <row r="8" spans="1:17" ht="15.75" customHeight="1" x14ac:dyDescent="0.2">
      <c r="A8" s="46">
        <f>+'Pricing (4)'!A6</f>
        <v>42947</v>
      </c>
      <c r="B8" s="47"/>
      <c r="C8" s="52">
        <f>'Commodity Tonnages (4)'!C8*'Pricing (4)'!C6</f>
        <v>512.79479249999997</v>
      </c>
      <c r="D8" s="56">
        <f>'Commodity Tonnages (4)'!D8*'Pricing (4)'!D6</f>
        <v>-91.727181520000002</v>
      </c>
      <c r="E8" s="56">
        <f>'Commodity Tonnages (4)'!E8*'Pricing (4)'!E6</f>
        <v>0</v>
      </c>
      <c r="F8" s="56">
        <f>'Commodity Tonnages (4)'!F8*'Pricing (4)'!F6</f>
        <v>87.586598549999991</v>
      </c>
      <c r="G8" s="56">
        <f>'Commodity Tonnages (4)'!G8*'Pricing (4)'!G6</f>
        <v>1508.5150080000001</v>
      </c>
      <c r="H8" s="56">
        <f>'Commodity Tonnages (4)'!H8*'Pricing (4)'!H6</f>
        <v>2360.1151820799996</v>
      </c>
      <c r="I8" s="56">
        <f>'Commodity Tonnages (4)'!I8*'Pricing (4)'!I6</f>
        <v>110.21938627500001</v>
      </c>
      <c r="J8" s="56">
        <f>'Commodity Tonnages (4)'!J8*'Pricing (4)'!J6</f>
        <v>110.21938627500001</v>
      </c>
      <c r="K8" s="56">
        <f>'Commodity Tonnages (4)'!K8*'Pricing (4)'!K6</f>
        <v>2283.9238402199999</v>
      </c>
      <c r="L8" s="56">
        <f>'Commodity Tonnages (4)'!L8*'Pricing (4)'!L6</f>
        <v>-626.44336763000126</v>
      </c>
      <c r="M8" s="242">
        <f t="shared" si="0"/>
        <v>6255.2036447499986</v>
      </c>
      <c r="O8" s="58">
        <f t="shared" si="1"/>
        <v>3127.6018223749993</v>
      </c>
      <c r="P8" s="223">
        <v>0.5</v>
      </c>
      <c r="Q8" s="55"/>
    </row>
    <row r="9" spans="1:17" ht="15.75" customHeight="1" x14ac:dyDescent="0.2">
      <c r="A9" s="46">
        <f>+'Pricing (4)'!A7</f>
        <v>42978</v>
      </c>
      <c r="B9" s="47"/>
      <c r="C9" s="52">
        <f>'Commodity Tonnages (4)'!C9*'Pricing (4)'!C7</f>
        <v>656.06912399999999</v>
      </c>
      <c r="D9" s="56">
        <f>'Commodity Tonnages (4)'!D9*'Pricing (4)'!D7</f>
        <v>-74.137685440000013</v>
      </c>
      <c r="E9" s="56">
        <f>'Commodity Tonnages (4)'!E9*'Pricing (4)'!E7</f>
        <v>0</v>
      </c>
      <c r="F9" s="56">
        <f>'Commodity Tonnages (4)'!F9*'Pricing (4)'!F7</f>
        <v>124.52530530000001</v>
      </c>
      <c r="G9" s="56">
        <f>'Commodity Tonnages (4)'!G9*'Pricing (4)'!G7</f>
        <v>1537.982667</v>
      </c>
      <c r="H9" s="56">
        <f>'Commodity Tonnages (4)'!H9*'Pricing (4)'!H7</f>
        <v>2400.6377183599998</v>
      </c>
      <c r="I9" s="56">
        <f>'Commodity Tonnages (4)'!I9*'Pricing (4)'!I7</f>
        <v>180.10195057000001</v>
      </c>
      <c r="J9" s="56">
        <f>'Commodity Tonnages (4)'!J9*'Pricing (4)'!J7</f>
        <v>180.10195057000001</v>
      </c>
      <c r="K9" s="56">
        <f>'Commodity Tonnages (4)'!K9*'Pricing (4)'!K7</f>
        <v>2509.1330893200002</v>
      </c>
      <c r="L9" s="56">
        <f>'Commodity Tonnages (4)'!L9*'Pricing (4)'!L7</f>
        <v>-771.14228794000167</v>
      </c>
      <c r="M9" s="242">
        <f t="shared" si="0"/>
        <v>6743.2718317399977</v>
      </c>
      <c r="O9" s="58">
        <f t="shared" si="1"/>
        <v>3371.6359158699988</v>
      </c>
      <c r="P9" s="223">
        <v>0.5</v>
      </c>
      <c r="Q9" s="55"/>
    </row>
    <row r="10" spans="1:17" ht="15.75" customHeight="1" x14ac:dyDescent="0.2">
      <c r="A10" s="46">
        <f>+'Pricing (4)'!A8</f>
        <v>43008</v>
      </c>
      <c r="B10" s="47"/>
      <c r="C10" s="52">
        <f>'Commodity Tonnages (4)'!C10*'Pricing (4)'!C8</f>
        <v>607.67910825000001</v>
      </c>
      <c r="D10" s="56">
        <f>'Commodity Tonnages (4)'!D10*'Pricing (4)'!D8</f>
        <v>-84.316998480000024</v>
      </c>
      <c r="E10" s="56">
        <f>'Commodity Tonnages (4)'!E10*'Pricing (4)'!E8</f>
        <v>0</v>
      </c>
      <c r="F10" s="56">
        <f>'Commodity Tonnages (4)'!F10*'Pricing (4)'!F8</f>
        <v>121.37260245</v>
      </c>
      <c r="G10" s="56">
        <f>'Commodity Tonnages (4)'!G10*'Pricing (4)'!G8</f>
        <v>1044.6793890000001</v>
      </c>
      <c r="H10" s="56">
        <f>'Commodity Tonnages (4)'!H10*'Pricing (4)'!H8</f>
        <v>1582.5572112999998</v>
      </c>
      <c r="I10" s="56">
        <f>'Commodity Tonnages (4)'!I10*'Pricing (4)'!I8</f>
        <v>137.60101145000002</v>
      </c>
      <c r="J10" s="56">
        <f>'Commodity Tonnages (4)'!J10*'Pricing (4)'!J8</f>
        <v>137.60101145000002</v>
      </c>
      <c r="K10" s="56">
        <f>'Commodity Tonnages (4)'!K10*'Pricing (4)'!K8</f>
        <v>1676.6671917600002</v>
      </c>
      <c r="L10" s="56">
        <f>'Commodity Tonnages (4)'!L10*'Pricing (4)'!L8</f>
        <v>-678.48070687000154</v>
      </c>
      <c r="M10" s="242">
        <f t="shared" si="0"/>
        <v>4545.3598203099991</v>
      </c>
      <c r="O10" s="58">
        <f t="shared" si="1"/>
        <v>2272.6799101549996</v>
      </c>
      <c r="P10" s="223">
        <v>0.5</v>
      </c>
      <c r="Q10" s="55"/>
    </row>
    <row r="11" spans="1:17" ht="15.75" customHeight="1" x14ac:dyDescent="0.2">
      <c r="A11" s="46">
        <f>+'Pricing (4)'!A9</f>
        <v>43039</v>
      </c>
      <c r="B11" s="47"/>
      <c r="C11" s="52">
        <f>'Commodity Tonnages (4)'!C11*'Pricing (4)'!C9</f>
        <v>667.20153074999996</v>
      </c>
      <c r="D11" s="56">
        <f>'Commodity Tonnages (4)'!D11*'Pricing (4)'!D9</f>
        <v>-140.80949584000001</v>
      </c>
      <c r="E11" s="56">
        <f>'Commodity Tonnages (4)'!E11*'Pricing (4)'!E9</f>
        <v>0</v>
      </c>
      <c r="F11" s="56">
        <f>'Commodity Tonnages (4)'!F11*'Pricing (4)'!F9</f>
        <v>113.8401429</v>
      </c>
      <c r="G11" s="56">
        <f>'Commodity Tonnages (4)'!G11*'Pricing (4)'!G9</f>
        <v>1067.1441884999999</v>
      </c>
      <c r="H11" s="56">
        <f>'Commodity Tonnages (4)'!H11*'Pricing (4)'!H9</f>
        <v>1611.8981951599997</v>
      </c>
      <c r="I11" s="56">
        <f>'Commodity Tonnages (4)'!I11*'Pricing (4)'!I9</f>
        <v>98.339663455000007</v>
      </c>
      <c r="J11" s="56">
        <f>'Commodity Tonnages (4)'!J11*'Pricing (4)'!J9</f>
        <v>98.339663455000007</v>
      </c>
      <c r="K11" s="56">
        <f>'Commodity Tonnages (4)'!K11*'Pricing (4)'!K9</f>
        <v>1321.7729639399997</v>
      </c>
      <c r="L11" s="56">
        <f>'Commodity Tonnages (4)'!L11*'Pricing (4)'!L9</f>
        <v>-723.97347277000154</v>
      </c>
      <c r="M11" s="242">
        <f t="shared" si="0"/>
        <v>4113.7533795499976</v>
      </c>
      <c r="O11" s="58">
        <f t="shared" si="1"/>
        <v>2056.8766897749988</v>
      </c>
      <c r="P11" s="223">
        <v>0.5</v>
      </c>
      <c r="Q11" s="55"/>
    </row>
    <row r="12" spans="1:17" ht="15.75" customHeight="1" x14ac:dyDescent="0.2">
      <c r="A12" s="46">
        <f>+'Pricing (4)'!A10</f>
        <v>43069</v>
      </c>
      <c r="B12" s="47"/>
      <c r="C12" s="52">
        <f>'Commodity Tonnages (4)'!C12*'Pricing (4)'!C10</f>
        <v>716.42920949999996</v>
      </c>
      <c r="D12" s="56">
        <f>'Commodity Tonnages (4)'!D12*'Pricing (4)'!D10</f>
        <v>-43.62683208</v>
      </c>
      <c r="E12" s="56">
        <f>'Commodity Tonnages (4)'!E12*'Pricing (4)'!E10</f>
        <v>0</v>
      </c>
      <c r="F12" s="56">
        <f>'Commodity Tonnages (4)'!F12*'Pricing (4)'!F10</f>
        <v>126.65473920000001</v>
      </c>
      <c r="G12" s="56">
        <f>'Commodity Tonnages (4)'!G12*'Pricing (4)'!G10</f>
        <v>1263.9077685000002</v>
      </c>
      <c r="H12" s="56">
        <f>'Commodity Tonnages (4)'!H12*'Pricing (4)'!H10</f>
        <v>1671.9709502999999</v>
      </c>
      <c r="I12" s="56">
        <f>'Commodity Tonnages (4)'!I12*'Pricing (4)'!I10</f>
        <v>110.463327975</v>
      </c>
      <c r="J12" s="56">
        <f>'Commodity Tonnages (4)'!J12*'Pricing (4)'!J10</f>
        <v>110.463327975</v>
      </c>
      <c r="K12" s="56">
        <f>'Commodity Tonnages (4)'!K12*'Pricing (4)'!K10</f>
        <v>2000.30137956</v>
      </c>
      <c r="L12" s="56">
        <f>'Commodity Tonnages (4)'!L12*'Pricing (4)'!L10</f>
        <v>-784.63049397000179</v>
      </c>
      <c r="M12" s="242">
        <f t="shared" si="0"/>
        <v>5171.933376959998</v>
      </c>
      <c r="O12" s="58">
        <f t="shared" si="1"/>
        <v>2585.966688479999</v>
      </c>
      <c r="P12" s="223">
        <v>0.5</v>
      </c>
      <c r="Q12" s="55"/>
    </row>
    <row r="13" spans="1:17" ht="15.75" customHeight="1" x14ac:dyDescent="0.2">
      <c r="A13" s="46">
        <f>+'Pricing (4)'!A11</f>
        <v>43100</v>
      </c>
      <c r="B13" s="47"/>
      <c r="C13" s="52">
        <f>'Commodity Tonnages (4)'!C13*'Pricing (4)'!C11</f>
        <v>651.83485800000005</v>
      </c>
      <c r="D13" s="56">
        <f>'Commodity Tonnages (4)'!D13*'Pricing (4)'!D11</f>
        <v>-149.34002512000004</v>
      </c>
      <c r="E13" s="56">
        <f>'Commodity Tonnages (4)'!E13*'Pricing (4)'!E11</f>
        <v>0</v>
      </c>
      <c r="F13" s="56">
        <f>'Commodity Tonnages (4)'!F13*'Pricing (4)'!F11</f>
        <v>130.54778385</v>
      </c>
      <c r="G13" s="56">
        <f>'Commodity Tonnages (4)'!G13*'Pricing (4)'!G11</f>
        <v>1108.9416195000001</v>
      </c>
      <c r="H13" s="56">
        <f>'Commodity Tonnages (4)'!H13*'Pricing (4)'!H11</f>
        <v>1433.22807736</v>
      </c>
      <c r="I13" s="56">
        <f>'Commodity Tonnages (4)'!I13*'Pricing (4)'!I11</f>
        <v>103.57564103500002</v>
      </c>
      <c r="J13" s="56">
        <f>'Commodity Tonnages (4)'!J13*'Pricing (4)'!J11</f>
        <v>103.57564103500002</v>
      </c>
      <c r="K13" s="56">
        <f>'Commodity Tonnages (4)'!K13*'Pricing (4)'!K11</f>
        <v>1711.59768846</v>
      </c>
      <c r="L13" s="56">
        <f>'Commodity Tonnages (4)'!L13*'Pricing (4)'!L11</f>
        <v>-712.64018723000163</v>
      </c>
      <c r="M13" s="242">
        <f t="shared" si="0"/>
        <v>4381.3210968899984</v>
      </c>
      <c r="O13" s="58">
        <f t="shared" si="1"/>
        <v>2190.6605484449992</v>
      </c>
      <c r="P13" s="223">
        <v>0.5</v>
      </c>
      <c r="Q13" s="55"/>
    </row>
    <row r="14" spans="1:17" ht="15.75" customHeight="1" x14ac:dyDescent="0.2">
      <c r="A14" s="46">
        <f>+'Pricing (4)'!A12</f>
        <v>43131</v>
      </c>
      <c r="B14" s="47"/>
      <c r="C14" s="52">
        <f>'Commodity Tonnages (4)'!C14*'Pricing (4)'!C12</f>
        <v>807.47824200000002</v>
      </c>
      <c r="D14" s="56">
        <f>'Commodity Tonnages (4)'!D14*'Pricing (4)'!D12</f>
        <v>-187.52723392000004</v>
      </c>
      <c r="E14" s="56">
        <f>'Commodity Tonnages (4)'!E14*'Pricing (4)'!E12</f>
        <v>0</v>
      </c>
      <c r="F14" s="56">
        <f>'Commodity Tonnages (4)'!F14*'Pricing (4)'!F12</f>
        <v>180.55271519999999</v>
      </c>
      <c r="G14" s="56">
        <f>'Commodity Tonnages (4)'!G14*'Pricing (4)'!G12</f>
        <v>824.83908000000008</v>
      </c>
      <c r="H14" s="56">
        <f>'Commodity Tonnages (4)'!H14*'Pricing (4)'!H12</f>
        <v>1373.8503136799998</v>
      </c>
      <c r="I14" s="56">
        <f>'Commodity Tonnages (4)'!I14*'Pricing (4)'!I12</f>
        <v>127.50709183999999</v>
      </c>
      <c r="J14" s="56">
        <f>'Commodity Tonnages (4)'!J14*'Pricing (4)'!J12</f>
        <v>127.50709183999999</v>
      </c>
      <c r="K14" s="56">
        <f>'Commodity Tonnages (4)'!K14*'Pricing (4)'!K12</f>
        <v>1990.3095986399999</v>
      </c>
      <c r="L14" s="56">
        <f>'Commodity Tonnages (4)'!L14*'Pricing (4)'!L12</f>
        <v>-848.24055436000197</v>
      </c>
      <c r="M14" s="242">
        <f t="shared" si="0"/>
        <v>4396.2763449199983</v>
      </c>
      <c r="O14" s="58">
        <f t="shared" si="1"/>
        <v>2198.1381724599992</v>
      </c>
      <c r="P14" s="223">
        <v>0.5</v>
      </c>
      <c r="Q14" s="55"/>
    </row>
    <row r="15" spans="1:17" ht="15.75" customHeight="1" x14ac:dyDescent="0.2">
      <c r="A15" s="46">
        <f>+'Pricing (4)'!A13</f>
        <v>43159</v>
      </c>
      <c r="B15" s="47"/>
      <c r="C15" s="52">
        <f>'Commodity Tonnages (4)'!C15*'Pricing (4)'!C13</f>
        <v>551.33590575000005</v>
      </c>
      <c r="D15" s="56">
        <f>'Commodity Tonnages (4)'!D15*'Pricing (4)'!D13</f>
        <v>-105.34873752</v>
      </c>
      <c r="E15" s="56">
        <f>'Commodity Tonnages (4)'!E15*'Pricing (4)'!E13</f>
        <v>0</v>
      </c>
      <c r="F15" s="56">
        <f>'Commodity Tonnages (4)'!F15*'Pricing (4)'!F13</f>
        <v>113.8077732</v>
      </c>
      <c r="G15" s="56">
        <f>'Commodity Tonnages (4)'!G15*'Pricing (4)'!G13</f>
        <v>-262.9946865</v>
      </c>
      <c r="H15" s="56">
        <f>'Commodity Tonnages (4)'!H15*'Pricing (4)'!H13</f>
        <v>-522.10309061999999</v>
      </c>
      <c r="I15" s="56">
        <f>'Commodity Tonnages (4)'!I15*'Pricing (4)'!I13</f>
        <v>142.50583581500001</v>
      </c>
      <c r="J15" s="56">
        <f>'Commodity Tonnages (4)'!J15*'Pricing (4)'!J13</f>
        <v>142.50583581500001</v>
      </c>
      <c r="K15" s="56">
        <f>'Commodity Tonnages (4)'!K15*'Pricing (4)'!K13</f>
        <v>831.96526247999998</v>
      </c>
      <c r="L15" s="56">
        <f>'Commodity Tonnages (4)'!L15*'Pricing (4)'!L13</f>
        <v>-593.72050093000132</v>
      </c>
      <c r="M15" s="242">
        <f t="shared" si="0"/>
        <v>297.95359748999874</v>
      </c>
      <c r="O15" s="58">
        <f t="shared" si="1"/>
        <v>148.97679874499937</v>
      </c>
      <c r="P15" s="223">
        <v>0.5</v>
      </c>
      <c r="Q15" s="55"/>
    </row>
    <row r="16" spans="1:17" ht="15.75" customHeight="1" x14ac:dyDescent="0.2">
      <c r="A16" s="46">
        <f>+'Pricing (4)'!A14</f>
        <v>43190</v>
      </c>
      <c r="B16" s="47"/>
      <c r="C16" s="52">
        <f>'Commodity Tonnages (4)'!C16*'Pricing (4)'!C14</f>
        <v>556.01517824999996</v>
      </c>
      <c r="D16" s="56">
        <f>'Commodity Tonnages (4)'!D16*'Pricing (4)'!D14</f>
        <v>-120.62887200000002</v>
      </c>
      <c r="E16" s="56">
        <f>'Commodity Tonnages (4)'!E16*'Pricing (4)'!E14</f>
        <v>0</v>
      </c>
      <c r="F16" s="56">
        <f>'Commodity Tonnages (4)'!F16*'Pricing (4)'!F14</f>
        <v>133.46729550000001</v>
      </c>
      <c r="G16" s="56">
        <f>'Commodity Tonnages (4)'!G16*'Pricing (4)'!G14</f>
        <v>-239.92727850000003</v>
      </c>
      <c r="H16" s="56">
        <f>'Commodity Tonnages (4)'!H16*'Pricing (4)'!H14</f>
        <v>-521.82312461999993</v>
      </c>
      <c r="I16" s="56">
        <f>'Commodity Tonnages (4)'!I16*'Pricing (4)'!I14</f>
        <v>179.11158678000001</v>
      </c>
      <c r="J16" s="56">
        <f>'Commodity Tonnages (4)'!J16*'Pricing (4)'!J14</f>
        <v>179.11158678000001</v>
      </c>
      <c r="K16" s="56">
        <f>'Commodity Tonnages (4)'!K16*'Pricing (4)'!K14</f>
        <v>765.84459798</v>
      </c>
      <c r="L16" s="56">
        <f>'Commodity Tonnages (4)'!L16*'Pricing (4)'!L14</f>
        <v>-605.05378647000134</v>
      </c>
      <c r="M16" s="242">
        <f t="shared" si="0"/>
        <v>326.11718369999858</v>
      </c>
      <c r="O16" s="58">
        <f t="shared" si="1"/>
        <v>163.05859184999929</v>
      </c>
      <c r="P16" s="223">
        <v>0.5</v>
      </c>
      <c r="Q16" s="55"/>
    </row>
    <row r="17" spans="1:17" ht="15.75" customHeight="1" x14ac:dyDescent="0.2">
      <c r="A17" s="46">
        <f>+'Pricing (4)'!A15</f>
        <v>43220</v>
      </c>
      <c r="B17" s="47"/>
      <c r="C17" s="52">
        <f>'Commodity Tonnages (4)'!C17*'Pricing (4)'!C15</f>
        <v>694.51753874999997</v>
      </c>
      <c r="D17" s="56">
        <f>'Commodity Tonnages (4)'!D17*'Pricing (4)'!D15</f>
        <v>-169.20051720000004</v>
      </c>
      <c r="E17" s="56">
        <f>'Commodity Tonnages (4)'!E17*'Pricing (4)'!E15</f>
        <v>0</v>
      </c>
      <c r="F17" s="56">
        <f>'Commodity Tonnages (4)'!F17*'Pricing (4)'!F15</f>
        <v>169.03689825000001</v>
      </c>
      <c r="G17" s="56">
        <v>0</v>
      </c>
      <c r="H17" s="56">
        <f>'Commodity Tonnages (4)'!H17*'Pricing (4)'!H15</f>
        <v>-995.45731760000001</v>
      </c>
      <c r="I17" s="56">
        <f>'Commodity Tonnages (4)'!I17*'Pricing (4)'!I15</f>
        <v>226.63231222500002</v>
      </c>
      <c r="J17" s="56">
        <f>'Commodity Tonnages (4)'!J17*'Pricing (4)'!J15</f>
        <v>226.63231222500002</v>
      </c>
      <c r="K17" s="56">
        <f>'Commodity Tonnages (4)'!K17*'Pricing (4)'!K15</f>
        <v>960.39384210000003</v>
      </c>
      <c r="L17" s="56">
        <f>'Commodity Tonnages (4)'!L17*'Pricing (4)'!L15</f>
        <v>-746.64004385000169</v>
      </c>
      <c r="M17" s="242">
        <f t="shared" si="0"/>
        <v>365.91502489999823</v>
      </c>
      <c r="O17" s="58">
        <f t="shared" si="1"/>
        <v>182.95751244999911</v>
      </c>
      <c r="P17" s="223">
        <v>0.5</v>
      </c>
      <c r="Q17" s="55"/>
    </row>
    <row r="18" spans="1:17" ht="15.75" customHeight="1" x14ac:dyDescent="0.2">
      <c r="A18" s="50" t="s">
        <v>30</v>
      </c>
      <c r="B18" s="47"/>
      <c r="C18" s="59">
        <f t="shared" ref="C18:L18" si="2">SUM(C6:C17)</f>
        <v>7564.4572582500005</v>
      </c>
      <c r="D18" s="60">
        <f t="shared" si="2"/>
        <v>-1499.0286261600004</v>
      </c>
      <c r="E18" s="60">
        <f t="shared" si="2"/>
        <v>0</v>
      </c>
      <c r="F18" s="59">
        <f t="shared" si="2"/>
        <v>1498.4838594</v>
      </c>
      <c r="G18" s="59">
        <f t="shared" si="2"/>
        <v>10340.273092500001</v>
      </c>
      <c r="H18" s="59">
        <f t="shared" si="2"/>
        <v>14189.964491399998</v>
      </c>
      <c r="I18" s="59">
        <f t="shared" si="2"/>
        <v>1725.6963522799999</v>
      </c>
      <c r="J18" s="59">
        <f t="shared" si="2"/>
        <v>1725.6963522799999</v>
      </c>
      <c r="K18" s="59">
        <f t="shared" si="2"/>
        <v>20466.83612358</v>
      </c>
      <c r="L18" s="60">
        <f t="shared" si="2"/>
        <v>-8442.8986679500194</v>
      </c>
      <c r="M18" s="107">
        <f t="shared" si="0"/>
        <v>47569.480235579977</v>
      </c>
      <c r="O18" s="222">
        <f>SUM(O6:O17)</f>
        <v>23784.740117789996</v>
      </c>
      <c r="P18" s="80">
        <f>+O18/M18</f>
        <v>0.50000000000000011</v>
      </c>
    </row>
    <row r="19" spans="1:17" x14ac:dyDescent="0.2">
      <c r="A19" s="47"/>
      <c r="B19" s="47"/>
      <c r="C19" s="52"/>
      <c r="D19" s="52"/>
      <c r="E19" s="52"/>
      <c r="F19" s="52"/>
      <c r="G19" s="52"/>
      <c r="H19" s="52"/>
      <c r="I19" s="52"/>
      <c r="J19" s="52"/>
      <c r="K19" s="52"/>
      <c r="L19" s="52"/>
      <c r="M19" s="52"/>
      <c r="O19" s="160"/>
    </row>
    <row r="20" spans="1:17" x14ac:dyDescent="0.2">
      <c r="A20" s="47"/>
      <c r="B20" s="47"/>
      <c r="C20" s="47"/>
      <c r="D20" s="47"/>
      <c r="E20" s="47"/>
      <c r="F20" s="47"/>
      <c r="G20" s="47"/>
      <c r="H20" s="47"/>
      <c r="I20" s="47"/>
      <c r="J20" s="47"/>
      <c r="K20" s="47"/>
      <c r="L20" s="47"/>
      <c r="M20" s="48"/>
      <c r="O20" s="241"/>
    </row>
    <row r="21" spans="1:17" x14ac:dyDescent="0.2">
      <c r="A21" s="47"/>
      <c r="B21" s="47"/>
      <c r="C21" s="47"/>
      <c r="D21" s="47"/>
      <c r="E21" s="47"/>
      <c r="F21" s="47"/>
      <c r="G21" s="47"/>
      <c r="H21" s="47"/>
      <c r="I21" s="47"/>
      <c r="J21" s="47"/>
      <c r="K21" s="47"/>
      <c r="L21" s="47"/>
      <c r="M21" s="48"/>
      <c r="O21" s="220"/>
    </row>
    <row r="22" spans="1:17" x14ac:dyDescent="0.2">
      <c r="A22" s="47"/>
      <c r="B22" s="47"/>
      <c r="C22" s="47"/>
      <c r="D22" s="47"/>
      <c r="E22" s="47"/>
      <c r="F22" s="47"/>
      <c r="G22" s="47"/>
      <c r="H22" s="47"/>
      <c r="I22" s="47"/>
      <c r="J22" s="47"/>
      <c r="K22" s="47"/>
      <c r="L22" s="47"/>
      <c r="M22" s="48"/>
    </row>
    <row r="23" spans="1:17" x14ac:dyDescent="0.2">
      <c r="A23" s="47"/>
      <c r="B23" s="47"/>
      <c r="C23" s="47"/>
      <c r="D23" s="47"/>
      <c r="E23" s="47"/>
      <c r="F23" s="47"/>
      <c r="G23" s="47"/>
      <c r="H23" s="47"/>
      <c r="I23" s="47"/>
      <c r="J23" s="47"/>
      <c r="K23" s="47"/>
      <c r="L23" s="47"/>
      <c r="M23" s="48"/>
    </row>
    <row r="24" spans="1:17" x14ac:dyDescent="0.2">
      <c r="A24" s="47"/>
      <c r="B24" s="47"/>
      <c r="C24" s="47"/>
      <c r="D24" s="47"/>
      <c r="E24" s="47"/>
      <c r="F24" s="47"/>
      <c r="G24" s="47"/>
      <c r="H24" s="47"/>
      <c r="I24" s="47"/>
      <c r="J24" s="47"/>
      <c r="K24" s="47"/>
      <c r="L24" s="47"/>
      <c r="M24" s="48"/>
    </row>
    <row r="25" spans="1:17" x14ac:dyDescent="0.2">
      <c r="A25" s="47"/>
      <c r="B25" s="47"/>
      <c r="C25" s="47"/>
      <c r="D25" s="47"/>
      <c r="E25" s="47"/>
      <c r="F25" s="47"/>
      <c r="G25" s="47"/>
      <c r="H25" s="47"/>
      <c r="I25" s="47"/>
      <c r="J25" s="47"/>
      <c r="K25" s="47"/>
      <c r="L25" s="47"/>
      <c r="M25" s="48"/>
    </row>
    <row r="26" spans="1:17" x14ac:dyDescent="0.2">
      <c r="A26" s="47"/>
      <c r="B26" s="47"/>
      <c r="C26" s="47"/>
      <c r="D26" s="47"/>
      <c r="E26" s="47"/>
      <c r="F26" s="47"/>
      <c r="G26" s="47"/>
      <c r="H26" s="47"/>
      <c r="I26" s="47"/>
      <c r="J26" s="47"/>
      <c r="K26" s="47"/>
      <c r="L26" s="47"/>
      <c r="M26" s="48"/>
    </row>
    <row r="27" spans="1:17" x14ac:dyDescent="0.2">
      <c r="A27" s="47"/>
      <c r="B27" s="47"/>
      <c r="C27" s="47"/>
      <c r="D27" s="47"/>
      <c r="E27" s="47"/>
      <c r="F27" s="47"/>
      <c r="G27" s="47"/>
      <c r="H27" s="47"/>
      <c r="I27" s="47"/>
      <c r="J27" s="47"/>
      <c r="K27" s="47"/>
      <c r="L27" s="47"/>
      <c r="M27" s="48"/>
    </row>
    <row r="28" spans="1:17" x14ac:dyDescent="0.2">
      <c r="A28" s="47"/>
      <c r="B28" s="47"/>
      <c r="C28" s="47"/>
      <c r="D28" s="47"/>
      <c r="E28" s="47"/>
      <c r="F28" s="47"/>
      <c r="G28" s="47"/>
      <c r="H28" s="47"/>
      <c r="I28" s="47"/>
      <c r="J28" s="47"/>
      <c r="K28" s="47"/>
      <c r="L28" s="47"/>
      <c r="M28" s="47"/>
    </row>
    <row r="29" spans="1:17" x14ac:dyDescent="0.2">
      <c r="A29" s="47"/>
      <c r="B29" s="47"/>
      <c r="C29" s="47"/>
      <c r="D29" s="47"/>
      <c r="E29" s="47"/>
      <c r="F29" s="47"/>
      <c r="G29" s="47"/>
      <c r="H29" s="47"/>
      <c r="I29" s="47"/>
      <c r="J29" s="47"/>
      <c r="K29" s="47"/>
      <c r="L29" s="47"/>
      <c r="M29" s="47"/>
    </row>
    <row r="30" spans="1:17" x14ac:dyDescent="0.2">
      <c r="A30" s="47"/>
      <c r="B30" s="47"/>
      <c r="C30" s="47"/>
      <c r="D30" s="47"/>
      <c r="E30" s="47"/>
      <c r="F30" s="47"/>
      <c r="G30" s="47"/>
      <c r="H30" s="47"/>
      <c r="I30" s="47"/>
      <c r="J30" s="47"/>
      <c r="K30" s="47"/>
      <c r="L30" s="47"/>
      <c r="M30" s="47"/>
    </row>
    <row r="31" spans="1:17" x14ac:dyDescent="0.2">
      <c r="A31" s="47"/>
      <c r="B31" s="47"/>
      <c r="C31" s="47"/>
      <c r="D31" s="47"/>
      <c r="E31" s="47"/>
      <c r="F31" s="47"/>
      <c r="G31" s="47"/>
      <c r="H31" s="47"/>
      <c r="I31" s="47"/>
      <c r="J31" s="47"/>
      <c r="K31" s="47"/>
      <c r="L31" s="47"/>
      <c r="M31" s="47"/>
    </row>
    <row r="32" spans="1:17" x14ac:dyDescent="0.2">
      <c r="A32" s="47"/>
      <c r="B32" s="47"/>
      <c r="C32" s="47"/>
      <c r="D32" s="47"/>
      <c r="E32" s="47"/>
      <c r="F32" s="47"/>
      <c r="G32" s="47"/>
      <c r="H32" s="47"/>
      <c r="I32" s="47"/>
      <c r="J32" s="47"/>
      <c r="K32" s="47"/>
      <c r="L32" s="47"/>
      <c r="M32" s="47"/>
    </row>
    <row r="33" spans="1:13" x14ac:dyDescent="0.2">
      <c r="A33" s="47"/>
      <c r="B33" s="47"/>
      <c r="C33" s="47"/>
      <c r="D33" s="47"/>
      <c r="E33" s="47"/>
      <c r="F33" s="47"/>
      <c r="G33" s="47"/>
      <c r="H33" s="47"/>
      <c r="I33" s="47"/>
      <c r="J33" s="47"/>
      <c r="K33" s="47"/>
      <c r="L33" s="47"/>
      <c r="M33" s="47"/>
    </row>
    <row r="34" spans="1:13" x14ac:dyDescent="0.2">
      <c r="A34" s="47"/>
      <c r="B34" s="47"/>
      <c r="C34" s="47"/>
      <c r="D34" s="47"/>
      <c r="E34" s="47"/>
      <c r="F34" s="47"/>
      <c r="G34" s="47"/>
      <c r="H34" s="47"/>
      <c r="I34" s="47"/>
      <c r="J34" s="47"/>
      <c r="K34" s="47"/>
      <c r="L34" s="47"/>
      <c r="M34" s="47"/>
    </row>
    <row r="35" spans="1:13" x14ac:dyDescent="0.2">
      <c r="A35" s="47"/>
      <c r="B35" s="47"/>
      <c r="C35" s="47"/>
      <c r="D35" s="47"/>
      <c r="E35" s="47"/>
      <c r="F35" s="47"/>
      <c r="G35" s="47"/>
      <c r="H35" s="47"/>
      <c r="I35" s="47"/>
      <c r="J35" s="47"/>
      <c r="K35" s="47"/>
      <c r="L35" s="47"/>
      <c r="M35" s="47"/>
    </row>
    <row r="36" spans="1:13" x14ac:dyDescent="0.2">
      <c r="A36" s="47"/>
      <c r="B36" s="47"/>
      <c r="C36" s="47"/>
      <c r="D36" s="47"/>
      <c r="E36" s="47"/>
      <c r="F36" s="47"/>
      <c r="G36" s="47"/>
      <c r="H36" s="47"/>
      <c r="I36" s="47"/>
      <c r="J36" s="47"/>
      <c r="K36" s="47"/>
      <c r="L36" s="47"/>
      <c r="M36" s="47"/>
    </row>
    <row r="37" spans="1:13" x14ac:dyDescent="0.2">
      <c r="A37" s="47"/>
      <c r="B37" s="47"/>
      <c r="C37" s="47"/>
      <c r="D37" s="47"/>
      <c r="E37" s="47"/>
      <c r="F37" s="47"/>
      <c r="G37" s="47"/>
      <c r="H37" s="47"/>
      <c r="I37" s="47"/>
      <c r="J37" s="47"/>
      <c r="K37" s="47"/>
      <c r="L37" s="47"/>
      <c r="M37" s="47"/>
    </row>
    <row r="38" spans="1:13" x14ac:dyDescent="0.2">
      <c r="A38" s="47"/>
      <c r="B38" s="47"/>
      <c r="C38" s="47"/>
      <c r="D38" s="47"/>
      <c r="E38" s="47"/>
      <c r="F38" s="47"/>
      <c r="G38" s="47"/>
      <c r="H38" s="47"/>
      <c r="I38" s="47"/>
      <c r="J38" s="47"/>
      <c r="K38" s="47"/>
      <c r="L38" s="47"/>
      <c r="M38" s="47"/>
    </row>
    <row r="39" spans="1:13" x14ac:dyDescent="0.2">
      <c r="A39" s="47"/>
      <c r="B39" s="47"/>
      <c r="C39" s="47"/>
      <c r="D39" s="47"/>
      <c r="E39" s="47"/>
      <c r="F39" s="47"/>
      <c r="G39" s="47"/>
      <c r="H39" s="47"/>
      <c r="I39" s="47"/>
      <c r="J39" s="47"/>
      <c r="K39" s="47"/>
      <c r="L39" s="47"/>
      <c r="M39" s="47"/>
    </row>
    <row r="40" spans="1:13" x14ac:dyDescent="0.2">
      <c r="A40" s="47"/>
      <c r="B40" s="47"/>
      <c r="C40" s="47"/>
      <c r="D40" s="47"/>
      <c r="E40" s="47"/>
      <c r="F40" s="47"/>
      <c r="G40" s="47"/>
      <c r="H40" s="47"/>
      <c r="I40" s="47"/>
      <c r="J40" s="47"/>
      <c r="K40" s="47"/>
      <c r="L40" s="47"/>
      <c r="M40" s="47"/>
    </row>
    <row r="41" spans="1:13" x14ac:dyDescent="0.2">
      <c r="A41" s="47"/>
      <c r="B41" s="47"/>
      <c r="C41" s="47"/>
      <c r="D41" s="47"/>
      <c r="E41" s="47"/>
      <c r="F41" s="47"/>
      <c r="G41" s="47"/>
      <c r="H41" s="47"/>
      <c r="I41" s="47"/>
      <c r="J41" s="47"/>
      <c r="K41" s="47"/>
      <c r="L41" s="47"/>
      <c r="M41" s="47"/>
    </row>
    <row r="42" spans="1:13" x14ac:dyDescent="0.2">
      <c r="A42" s="47"/>
      <c r="B42" s="47"/>
      <c r="C42" s="47"/>
      <c r="D42" s="47"/>
      <c r="E42" s="47"/>
      <c r="F42" s="47"/>
      <c r="G42" s="47"/>
      <c r="H42" s="47"/>
      <c r="I42" s="47"/>
      <c r="J42" s="47"/>
      <c r="K42" s="47"/>
      <c r="L42" s="47"/>
      <c r="M42" s="47"/>
    </row>
    <row r="43" spans="1:13" x14ac:dyDescent="0.2">
      <c r="A43" s="47"/>
      <c r="B43" s="47"/>
      <c r="C43" s="47"/>
      <c r="D43" s="47"/>
      <c r="E43" s="47"/>
      <c r="F43" s="47"/>
      <c r="G43" s="47"/>
      <c r="H43" s="47"/>
      <c r="I43" s="47"/>
      <c r="J43" s="47"/>
      <c r="K43" s="47"/>
      <c r="L43" s="47"/>
      <c r="M43" s="47"/>
    </row>
    <row r="44" spans="1:13" x14ac:dyDescent="0.2">
      <c r="A44" s="47"/>
      <c r="B44" s="47"/>
      <c r="C44" s="47"/>
      <c r="D44" s="47"/>
      <c r="E44" s="47"/>
      <c r="F44" s="47"/>
      <c r="G44" s="47"/>
      <c r="H44" s="47"/>
      <c r="I44" s="47"/>
      <c r="J44" s="47"/>
      <c r="K44" s="47"/>
      <c r="L44" s="47"/>
      <c r="M44" s="47"/>
    </row>
    <row r="45" spans="1:13" x14ac:dyDescent="0.2">
      <c r="A45" s="47"/>
      <c r="B45" s="47"/>
      <c r="C45" s="47"/>
      <c r="D45" s="47"/>
      <c r="E45" s="47"/>
      <c r="F45" s="47"/>
      <c r="G45" s="47"/>
      <c r="H45" s="47"/>
      <c r="I45" s="47"/>
      <c r="J45" s="47"/>
      <c r="K45" s="47"/>
      <c r="L45" s="47"/>
      <c r="M45" s="47"/>
    </row>
    <row r="46" spans="1:13" x14ac:dyDescent="0.2">
      <c r="A46" s="47"/>
      <c r="B46" s="47"/>
      <c r="C46" s="47"/>
      <c r="D46" s="47"/>
      <c r="E46" s="47"/>
      <c r="F46" s="47"/>
      <c r="G46" s="47"/>
      <c r="H46" s="47"/>
      <c r="I46" s="47"/>
      <c r="J46" s="47"/>
      <c r="K46" s="47"/>
      <c r="L46" s="47"/>
      <c r="M46" s="47"/>
    </row>
    <row r="47" spans="1:13" x14ac:dyDescent="0.2">
      <c r="A47" s="47"/>
      <c r="B47" s="47"/>
      <c r="C47" s="47"/>
      <c r="D47" s="47"/>
      <c r="E47" s="47"/>
      <c r="F47" s="47"/>
      <c r="G47" s="47"/>
      <c r="H47" s="47"/>
      <c r="I47" s="47"/>
      <c r="J47" s="47"/>
      <c r="K47" s="47"/>
      <c r="L47" s="47"/>
      <c r="M47" s="47"/>
    </row>
    <row r="48" spans="1:13" x14ac:dyDescent="0.2">
      <c r="A48" s="47"/>
      <c r="B48" s="47"/>
      <c r="C48" s="47"/>
      <c r="D48" s="47"/>
      <c r="E48" s="47"/>
      <c r="F48" s="47"/>
      <c r="G48" s="47"/>
      <c r="H48" s="47"/>
      <c r="I48" s="47"/>
      <c r="J48" s="47"/>
      <c r="K48" s="47"/>
      <c r="L48" s="47"/>
      <c r="M48" s="47"/>
    </row>
    <row r="49" spans="1:13" x14ac:dyDescent="0.2">
      <c r="A49" s="47"/>
      <c r="B49" s="47"/>
      <c r="C49" s="47"/>
      <c r="D49" s="47"/>
      <c r="E49" s="47"/>
      <c r="F49" s="47"/>
      <c r="G49" s="47"/>
      <c r="H49" s="47"/>
      <c r="I49" s="47"/>
      <c r="J49" s="47"/>
      <c r="K49" s="47"/>
      <c r="L49" s="47"/>
      <c r="M49" s="47"/>
    </row>
    <row r="50" spans="1:13" x14ac:dyDescent="0.2">
      <c r="A50" s="47"/>
      <c r="B50" s="47"/>
      <c r="C50" s="47"/>
      <c r="D50" s="47"/>
      <c r="E50" s="47"/>
      <c r="F50" s="47"/>
      <c r="G50" s="47"/>
      <c r="H50" s="47"/>
      <c r="I50" s="47"/>
      <c r="J50" s="47"/>
      <c r="K50" s="47"/>
      <c r="L50" s="47"/>
      <c r="M50" s="47"/>
    </row>
    <row r="51" spans="1:13" x14ac:dyDescent="0.2">
      <c r="A51" s="47"/>
      <c r="B51" s="47"/>
      <c r="C51" s="47"/>
      <c r="D51" s="47"/>
      <c r="E51" s="47"/>
      <c r="F51" s="47"/>
      <c r="G51" s="47"/>
      <c r="H51" s="47"/>
      <c r="I51" s="47"/>
      <c r="J51" s="47"/>
      <c r="K51" s="47"/>
      <c r="L51" s="47"/>
      <c r="M51" s="47"/>
    </row>
    <row r="52" spans="1:13" x14ac:dyDescent="0.2">
      <c r="A52" s="47"/>
      <c r="B52" s="47"/>
      <c r="C52" s="47"/>
      <c r="D52" s="47"/>
      <c r="E52" s="47"/>
      <c r="F52" s="47"/>
      <c r="G52" s="47"/>
      <c r="H52" s="47"/>
      <c r="I52" s="47"/>
      <c r="J52" s="47"/>
      <c r="K52" s="47"/>
      <c r="L52" s="47"/>
      <c r="M52" s="47"/>
    </row>
    <row r="53" spans="1:13" x14ac:dyDescent="0.2">
      <c r="A53" s="47"/>
      <c r="B53" s="47"/>
      <c r="C53" s="47"/>
      <c r="D53" s="47"/>
      <c r="E53" s="47"/>
      <c r="F53" s="47"/>
      <c r="G53" s="47"/>
      <c r="H53" s="47"/>
      <c r="I53" s="47"/>
      <c r="J53" s="47"/>
      <c r="K53" s="47"/>
      <c r="L53" s="47"/>
      <c r="M53" s="47"/>
    </row>
    <row r="54" spans="1:13" x14ac:dyDescent="0.2">
      <c r="A54" s="47"/>
      <c r="B54" s="47"/>
      <c r="C54" s="47"/>
      <c r="D54" s="47"/>
      <c r="E54" s="47"/>
      <c r="F54" s="47"/>
      <c r="G54" s="47"/>
      <c r="H54" s="47"/>
      <c r="I54" s="47"/>
      <c r="J54" s="47"/>
      <c r="K54" s="47"/>
      <c r="L54" s="47"/>
      <c r="M54" s="47"/>
    </row>
    <row r="55" spans="1:13" x14ac:dyDescent="0.2">
      <c r="A55" s="47"/>
      <c r="B55" s="47"/>
      <c r="C55" s="47"/>
      <c r="D55" s="47"/>
      <c r="E55" s="47"/>
      <c r="F55" s="47"/>
      <c r="G55" s="47"/>
      <c r="H55" s="47"/>
      <c r="I55" s="47"/>
      <c r="J55" s="47"/>
      <c r="K55" s="47"/>
      <c r="L55" s="47"/>
      <c r="M55" s="47"/>
    </row>
    <row r="56" spans="1:13" x14ac:dyDescent="0.2">
      <c r="A56" s="47"/>
      <c r="B56" s="47"/>
      <c r="C56" s="47"/>
      <c r="D56" s="47"/>
      <c r="E56" s="47"/>
      <c r="F56" s="47"/>
      <c r="G56" s="47"/>
      <c r="H56" s="47"/>
      <c r="I56" s="47"/>
      <c r="J56" s="47"/>
      <c r="K56" s="47"/>
      <c r="L56" s="47"/>
      <c r="M56" s="47"/>
    </row>
    <row r="57" spans="1:13" x14ac:dyDescent="0.2">
      <c r="A57" s="47"/>
      <c r="B57" s="47"/>
      <c r="C57" s="47"/>
      <c r="D57" s="47"/>
      <c r="E57" s="47"/>
      <c r="F57" s="47"/>
      <c r="G57" s="47"/>
      <c r="H57" s="47"/>
      <c r="I57" s="47"/>
      <c r="J57" s="47"/>
      <c r="K57" s="47"/>
      <c r="L57" s="47"/>
      <c r="M57" s="47"/>
    </row>
    <row r="58" spans="1:13" x14ac:dyDescent="0.2">
      <c r="A58" s="47"/>
      <c r="B58" s="47"/>
      <c r="C58" s="47"/>
      <c r="D58" s="47"/>
      <c r="E58" s="47"/>
      <c r="F58" s="47"/>
      <c r="G58" s="47"/>
      <c r="H58" s="47"/>
      <c r="I58" s="47"/>
      <c r="J58" s="47"/>
      <c r="K58" s="47"/>
      <c r="L58" s="47"/>
      <c r="M58" s="47"/>
    </row>
    <row r="59" spans="1:13" x14ac:dyDescent="0.2">
      <c r="A59" s="47"/>
      <c r="B59" s="47"/>
      <c r="C59" s="47"/>
      <c r="D59" s="47"/>
      <c r="E59" s="47"/>
      <c r="F59" s="47"/>
      <c r="G59" s="47"/>
      <c r="H59" s="47"/>
      <c r="I59" s="47"/>
      <c r="J59" s="47"/>
      <c r="K59" s="47"/>
      <c r="L59" s="47"/>
      <c r="M59" s="47"/>
    </row>
    <row r="60" spans="1:13" x14ac:dyDescent="0.2">
      <c r="A60" s="47"/>
      <c r="B60" s="47"/>
      <c r="C60" s="47"/>
      <c r="D60" s="47"/>
      <c r="E60" s="47"/>
      <c r="F60" s="47"/>
      <c r="G60" s="47"/>
      <c r="H60" s="47"/>
      <c r="I60" s="47"/>
      <c r="J60" s="47"/>
      <c r="K60" s="47"/>
      <c r="L60" s="47"/>
      <c r="M60" s="47"/>
    </row>
    <row r="61" spans="1:13" x14ac:dyDescent="0.2">
      <c r="A61" s="47"/>
      <c r="B61" s="47"/>
      <c r="C61" s="47"/>
      <c r="D61" s="47"/>
      <c r="E61" s="47"/>
      <c r="F61" s="47"/>
      <c r="G61" s="47"/>
      <c r="H61" s="47"/>
      <c r="I61" s="47"/>
      <c r="J61" s="47"/>
      <c r="K61" s="47"/>
      <c r="L61" s="47"/>
      <c r="M61" s="47"/>
    </row>
    <row r="62" spans="1:13" x14ac:dyDescent="0.2">
      <c r="A62" s="47"/>
      <c r="B62" s="47"/>
      <c r="C62" s="47"/>
      <c r="D62" s="47"/>
      <c r="E62" s="47"/>
      <c r="F62" s="47"/>
      <c r="G62" s="47"/>
      <c r="H62" s="47"/>
      <c r="I62" s="47"/>
      <c r="J62" s="47"/>
      <c r="K62" s="47"/>
      <c r="L62" s="47"/>
      <c r="M62" s="47"/>
    </row>
    <row r="63" spans="1:13" x14ac:dyDescent="0.2">
      <c r="A63" s="47"/>
      <c r="B63" s="47"/>
      <c r="C63" s="47"/>
      <c r="D63" s="47"/>
      <c r="E63" s="47"/>
      <c r="F63" s="47"/>
      <c r="G63" s="47"/>
      <c r="H63" s="47"/>
      <c r="I63" s="47"/>
      <c r="J63" s="47"/>
      <c r="K63" s="47"/>
      <c r="L63" s="47"/>
      <c r="M63" s="47"/>
    </row>
    <row r="64" spans="1:13" x14ac:dyDescent="0.2">
      <c r="A64" s="47"/>
      <c r="B64" s="47"/>
      <c r="C64" s="47"/>
      <c r="D64" s="47"/>
      <c r="E64" s="47"/>
      <c r="F64" s="47"/>
      <c r="G64" s="47"/>
      <c r="H64" s="47"/>
      <c r="I64" s="47"/>
      <c r="J64" s="47"/>
      <c r="K64" s="47"/>
      <c r="L64" s="47"/>
      <c r="M64" s="47"/>
    </row>
    <row r="65" spans="1:13" x14ac:dyDescent="0.2">
      <c r="A65" s="47"/>
      <c r="B65" s="47"/>
      <c r="C65" s="47"/>
      <c r="D65" s="47"/>
      <c r="E65" s="47"/>
      <c r="F65" s="47"/>
      <c r="G65" s="47"/>
      <c r="H65" s="47"/>
      <c r="I65" s="47"/>
      <c r="J65" s="47"/>
      <c r="K65" s="47"/>
      <c r="L65" s="47"/>
      <c r="M65" s="47"/>
    </row>
    <row r="66" spans="1:13" x14ac:dyDescent="0.2">
      <c r="A66" s="47"/>
      <c r="B66" s="47"/>
      <c r="C66" s="47"/>
      <c r="D66" s="47"/>
      <c r="E66" s="47"/>
      <c r="F66" s="47"/>
      <c r="G66" s="47"/>
      <c r="H66" s="47"/>
      <c r="I66" s="47"/>
      <c r="J66" s="47"/>
      <c r="K66" s="47"/>
      <c r="L66" s="47"/>
      <c r="M66" s="47"/>
    </row>
    <row r="67" spans="1:13" x14ac:dyDescent="0.2">
      <c r="A67" s="47"/>
      <c r="B67" s="47"/>
      <c r="C67" s="47"/>
      <c r="D67" s="47"/>
      <c r="E67" s="47"/>
      <c r="F67" s="47"/>
      <c r="G67" s="47"/>
      <c r="H67" s="47"/>
      <c r="I67" s="47"/>
      <c r="J67" s="47"/>
      <c r="K67" s="47"/>
      <c r="L67" s="47"/>
      <c r="M67" s="47"/>
    </row>
    <row r="68" spans="1:13" x14ac:dyDescent="0.2">
      <c r="A68" s="47"/>
      <c r="B68" s="47"/>
      <c r="C68" s="47"/>
      <c r="D68" s="47"/>
      <c r="E68" s="47"/>
      <c r="F68" s="47"/>
      <c r="G68" s="47"/>
      <c r="H68" s="47"/>
      <c r="I68" s="47"/>
      <c r="J68" s="47"/>
      <c r="K68" s="47"/>
      <c r="L68" s="47"/>
      <c r="M68" s="47"/>
    </row>
    <row r="69" spans="1:13" x14ac:dyDescent="0.2">
      <c r="A69" s="47"/>
      <c r="B69" s="47"/>
      <c r="C69" s="47"/>
      <c r="D69" s="47"/>
      <c r="E69" s="47"/>
      <c r="F69" s="47"/>
      <c r="G69" s="47"/>
      <c r="H69" s="47"/>
      <c r="I69" s="47"/>
      <c r="J69" s="47"/>
      <c r="K69" s="47"/>
      <c r="L69" s="47"/>
      <c r="M69" s="47"/>
    </row>
    <row r="70" spans="1:13" x14ac:dyDescent="0.2">
      <c r="A70" s="47"/>
      <c r="B70" s="47"/>
      <c r="C70" s="47"/>
      <c r="D70" s="47"/>
      <c r="E70" s="47"/>
      <c r="F70" s="47"/>
      <c r="G70" s="47"/>
      <c r="H70" s="47"/>
      <c r="I70" s="47"/>
      <c r="J70" s="47"/>
      <c r="K70" s="47"/>
      <c r="L70" s="47"/>
      <c r="M70" s="47"/>
    </row>
    <row r="71" spans="1:13" x14ac:dyDescent="0.2">
      <c r="A71" s="47"/>
      <c r="B71" s="47"/>
      <c r="C71" s="47"/>
      <c r="D71" s="47"/>
      <c r="E71" s="47"/>
      <c r="F71" s="47"/>
      <c r="G71" s="47"/>
      <c r="H71" s="47"/>
      <c r="I71" s="47"/>
      <c r="J71" s="47"/>
      <c r="K71" s="47"/>
      <c r="L71" s="47"/>
      <c r="M71" s="47"/>
    </row>
    <row r="72" spans="1:13" x14ac:dyDescent="0.2">
      <c r="A72" s="47"/>
      <c r="B72" s="47"/>
      <c r="C72" s="47"/>
      <c r="D72" s="47"/>
      <c r="E72" s="47"/>
      <c r="F72" s="47"/>
      <c r="G72" s="47"/>
      <c r="H72" s="47"/>
      <c r="I72" s="47"/>
      <c r="J72" s="47"/>
      <c r="K72" s="47"/>
      <c r="L72" s="47"/>
      <c r="M72" s="47"/>
    </row>
    <row r="73" spans="1:13" x14ac:dyDescent="0.2">
      <c r="A73" s="47"/>
      <c r="B73" s="47"/>
      <c r="C73" s="47"/>
      <c r="D73" s="47"/>
      <c r="E73" s="47"/>
      <c r="F73" s="47"/>
      <c r="G73" s="47"/>
      <c r="H73" s="47"/>
      <c r="I73" s="47"/>
      <c r="J73" s="47"/>
      <c r="K73" s="47"/>
      <c r="L73" s="47"/>
      <c r="M73" s="47"/>
    </row>
    <row r="74" spans="1:13" x14ac:dyDescent="0.2">
      <c r="A74" s="47"/>
      <c r="B74" s="47"/>
      <c r="C74" s="47"/>
      <c r="D74" s="47"/>
      <c r="E74" s="47"/>
      <c r="F74" s="47"/>
      <c r="G74" s="47"/>
      <c r="H74" s="47"/>
      <c r="I74" s="47"/>
      <c r="J74" s="47"/>
      <c r="K74" s="47"/>
      <c r="L74" s="47"/>
      <c r="M74" s="47"/>
    </row>
    <row r="75" spans="1:13" x14ac:dyDescent="0.2">
      <c r="A75" s="47"/>
      <c r="B75" s="47"/>
      <c r="C75" s="47"/>
      <c r="D75" s="47"/>
      <c r="E75" s="47"/>
      <c r="F75" s="47"/>
      <c r="G75" s="47"/>
      <c r="H75" s="47"/>
      <c r="I75" s="47"/>
      <c r="J75" s="47"/>
      <c r="K75" s="47"/>
      <c r="L75" s="47"/>
      <c r="M75" s="47"/>
    </row>
    <row r="76" spans="1:13" x14ac:dyDescent="0.2">
      <c r="A76" s="47"/>
      <c r="B76" s="47"/>
      <c r="C76" s="47"/>
      <c r="D76" s="47"/>
      <c r="E76" s="47"/>
      <c r="F76" s="47"/>
      <c r="G76" s="47"/>
      <c r="H76" s="47"/>
      <c r="I76" s="47"/>
      <c r="J76" s="47"/>
      <c r="K76" s="47"/>
      <c r="L76" s="47"/>
      <c r="M76" s="47"/>
    </row>
    <row r="77" spans="1:13" x14ac:dyDescent="0.2">
      <c r="A77" s="47"/>
      <c r="B77" s="47"/>
      <c r="C77" s="47"/>
      <c r="D77" s="47"/>
      <c r="E77" s="47"/>
      <c r="F77" s="47"/>
      <c r="G77" s="47"/>
      <c r="H77" s="47"/>
      <c r="I77" s="47"/>
      <c r="J77" s="47"/>
      <c r="K77" s="47"/>
      <c r="L77" s="47"/>
      <c r="M77" s="47"/>
    </row>
    <row r="78" spans="1:13" x14ac:dyDescent="0.2">
      <c r="A78" s="47"/>
      <c r="B78" s="47"/>
      <c r="C78" s="47"/>
      <c r="D78" s="47"/>
      <c r="E78" s="47"/>
      <c r="F78" s="47"/>
      <c r="G78" s="47"/>
      <c r="H78" s="47"/>
      <c r="I78" s="47"/>
      <c r="J78" s="47"/>
      <c r="K78" s="47"/>
      <c r="L78" s="47"/>
      <c r="M78" s="47"/>
    </row>
    <row r="79" spans="1:13" x14ac:dyDescent="0.2">
      <c r="A79" s="47"/>
      <c r="B79" s="47"/>
      <c r="C79" s="47"/>
      <c r="D79" s="47"/>
      <c r="E79" s="47"/>
      <c r="F79" s="47"/>
      <c r="G79" s="47"/>
      <c r="H79" s="47"/>
      <c r="I79" s="47"/>
      <c r="J79" s="47"/>
      <c r="K79" s="47"/>
      <c r="L79" s="47"/>
      <c r="M79" s="47"/>
    </row>
    <row r="80" spans="1:13" x14ac:dyDescent="0.2">
      <c r="A80" s="47"/>
      <c r="B80" s="47"/>
      <c r="C80" s="47"/>
      <c r="D80" s="47"/>
      <c r="E80" s="47"/>
      <c r="F80" s="47"/>
      <c r="G80" s="47"/>
      <c r="H80" s="47"/>
      <c r="I80" s="47"/>
      <c r="J80" s="47"/>
      <c r="K80" s="47"/>
      <c r="L80" s="47"/>
      <c r="M80" s="47"/>
    </row>
    <row r="81" spans="1:13" x14ac:dyDescent="0.2">
      <c r="A81" s="47"/>
      <c r="B81" s="47"/>
      <c r="C81" s="47"/>
      <c r="D81" s="47"/>
      <c r="E81" s="47"/>
      <c r="F81" s="47"/>
      <c r="G81" s="47"/>
      <c r="H81" s="47"/>
      <c r="I81" s="47"/>
      <c r="J81" s="47"/>
      <c r="K81" s="47"/>
      <c r="L81" s="47"/>
      <c r="M81" s="47"/>
    </row>
    <row r="82" spans="1:13" x14ac:dyDescent="0.2">
      <c r="A82" s="47"/>
      <c r="B82" s="47"/>
      <c r="C82" s="47"/>
      <c r="D82" s="47"/>
      <c r="E82" s="47"/>
      <c r="F82" s="47"/>
      <c r="G82" s="47"/>
      <c r="H82" s="47"/>
      <c r="I82" s="47"/>
      <c r="J82" s="47"/>
      <c r="K82" s="47"/>
      <c r="L82" s="47"/>
      <c r="M82" s="47"/>
    </row>
    <row r="83" spans="1:13" x14ac:dyDescent="0.2">
      <c r="A83" s="47"/>
      <c r="B83" s="47"/>
      <c r="C83" s="47"/>
      <c r="D83" s="47"/>
      <c r="E83" s="47"/>
      <c r="F83" s="47"/>
      <c r="G83" s="47"/>
      <c r="H83" s="47"/>
      <c r="I83" s="47"/>
      <c r="J83" s="47"/>
      <c r="K83" s="47"/>
      <c r="L83" s="47"/>
      <c r="M83" s="47"/>
    </row>
    <row r="84" spans="1:13" x14ac:dyDescent="0.2">
      <c r="A84" s="47"/>
      <c r="B84" s="47"/>
      <c r="C84" s="47"/>
      <c r="D84" s="47"/>
      <c r="E84" s="47"/>
      <c r="F84" s="47"/>
      <c r="G84" s="47"/>
      <c r="H84" s="47"/>
      <c r="I84" s="47"/>
      <c r="J84" s="47"/>
      <c r="K84" s="47"/>
      <c r="L84" s="47"/>
      <c r="M84" s="47"/>
    </row>
    <row r="85" spans="1:13" x14ac:dyDescent="0.2">
      <c r="A85" s="47"/>
      <c r="B85" s="47"/>
      <c r="C85" s="47"/>
      <c r="D85" s="47"/>
      <c r="E85" s="47"/>
      <c r="F85" s="47"/>
      <c r="G85" s="47"/>
      <c r="H85" s="47"/>
      <c r="I85" s="47"/>
      <c r="J85" s="47"/>
      <c r="K85" s="47"/>
      <c r="L85" s="47"/>
      <c r="M85" s="47"/>
    </row>
    <row r="86" spans="1:13" x14ac:dyDescent="0.2">
      <c r="A86" s="47"/>
      <c r="B86" s="47"/>
      <c r="C86" s="47"/>
      <c r="D86" s="47"/>
      <c r="E86" s="47"/>
      <c r="F86" s="47"/>
      <c r="G86" s="47"/>
      <c r="H86" s="47"/>
      <c r="I86" s="47"/>
      <c r="J86" s="47"/>
      <c r="K86" s="47"/>
      <c r="L86" s="47"/>
      <c r="M86" s="47"/>
    </row>
    <row r="87" spans="1:13" x14ac:dyDescent="0.2">
      <c r="A87" s="47"/>
      <c r="B87" s="47"/>
      <c r="C87" s="47"/>
      <c r="D87" s="47"/>
      <c r="E87" s="47"/>
      <c r="F87" s="47"/>
      <c r="G87" s="47"/>
      <c r="H87" s="47"/>
      <c r="I87" s="47"/>
      <c r="J87" s="47"/>
      <c r="K87" s="47"/>
      <c r="L87" s="47"/>
      <c r="M87" s="47"/>
    </row>
    <row r="88" spans="1:13" x14ac:dyDescent="0.2">
      <c r="A88" s="47"/>
      <c r="B88" s="47"/>
      <c r="C88" s="47"/>
      <c r="D88" s="47"/>
      <c r="E88" s="47"/>
      <c r="F88" s="47"/>
      <c r="G88" s="47"/>
      <c r="H88" s="47"/>
      <c r="I88" s="47"/>
      <c r="J88" s="47"/>
      <c r="K88" s="47"/>
      <c r="L88" s="47"/>
      <c r="M88" s="47"/>
    </row>
    <row r="89" spans="1:13" x14ac:dyDescent="0.2">
      <c r="A89" s="47"/>
      <c r="B89" s="47"/>
      <c r="C89" s="47"/>
      <c r="D89" s="47"/>
      <c r="E89" s="47"/>
      <c r="F89" s="47"/>
      <c r="G89" s="47"/>
      <c r="H89" s="47"/>
      <c r="I89" s="47"/>
      <c r="J89" s="47"/>
      <c r="K89" s="47"/>
      <c r="L89" s="47"/>
      <c r="M89" s="47"/>
    </row>
    <row r="90" spans="1:13" x14ac:dyDescent="0.2">
      <c r="A90" s="47"/>
      <c r="B90" s="47"/>
      <c r="C90" s="47"/>
      <c r="D90" s="47"/>
      <c r="E90" s="47"/>
      <c r="F90" s="47"/>
      <c r="G90" s="47"/>
      <c r="H90" s="47"/>
      <c r="I90" s="47"/>
      <c r="J90" s="47"/>
      <c r="K90" s="47"/>
      <c r="L90" s="47"/>
      <c r="M90" s="47"/>
    </row>
    <row r="91" spans="1:13" x14ac:dyDescent="0.2">
      <c r="A91" s="47"/>
      <c r="B91" s="47"/>
      <c r="C91" s="47"/>
      <c r="D91" s="47"/>
      <c r="E91" s="47"/>
      <c r="F91" s="47"/>
      <c r="G91" s="47"/>
      <c r="H91" s="47"/>
      <c r="I91" s="47"/>
      <c r="J91" s="47"/>
      <c r="K91" s="47"/>
      <c r="L91" s="47"/>
      <c r="M91" s="47"/>
    </row>
    <row r="92" spans="1:13" x14ac:dyDescent="0.2">
      <c r="A92" s="47"/>
      <c r="B92" s="47"/>
      <c r="C92" s="47"/>
      <c r="D92" s="47"/>
      <c r="E92" s="47"/>
      <c r="F92" s="47"/>
      <c r="G92" s="47"/>
      <c r="H92" s="47"/>
      <c r="I92" s="47"/>
      <c r="J92" s="47"/>
      <c r="K92" s="47"/>
      <c r="L92" s="47"/>
      <c r="M92" s="47"/>
    </row>
    <row r="93" spans="1:13" x14ac:dyDescent="0.2">
      <c r="A93" s="47"/>
      <c r="B93" s="47"/>
      <c r="C93" s="47"/>
      <c r="D93" s="47"/>
      <c r="E93" s="47"/>
      <c r="F93" s="47"/>
      <c r="G93" s="47"/>
      <c r="H93" s="47"/>
      <c r="I93" s="47"/>
      <c r="J93" s="47"/>
      <c r="K93" s="47"/>
      <c r="L93" s="47"/>
      <c r="M93" s="47"/>
    </row>
    <row r="94" spans="1:13" x14ac:dyDescent="0.2">
      <c r="A94" s="47"/>
      <c r="B94" s="47"/>
      <c r="C94" s="47"/>
      <c r="D94" s="47"/>
      <c r="E94" s="47"/>
      <c r="F94" s="47"/>
      <c r="G94" s="47"/>
      <c r="H94" s="47"/>
      <c r="I94" s="47"/>
      <c r="J94" s="47"/>
      <c r="K94" s="47"/>
      <c r="L94" s="47"/>
      <c r="M94" s="47"/>
    </row>
    <row r="95" spans="1:13" x14ac:dyDescent="0.2">
      <c r="A95" s="47"/>
      <c r="B95" s="47"/>
      <c r="C95" s="47"/>
      <c r="D95" s="47"/>
      <c r="E95" s="47"/>
      <c r="F95" s="47"/>
      <c r="G95" s="47"/>
      <c r="H95" s="47"/>
      <c r="I95" s="47"/>
      <c r="J95" s="47"/>
      <c r="K95" s="47"/>
      <c r="L95" s="47"/>
      <c r="M95" s="47"/>
    </row>
    <row r="96" spans="1:13" x14ac:dyDescent="0.2">
      <c r="A96" s="47"/>
      <c r="B96" s="47"/>
      <c r="C96" s="47"/>
      <c r="D96" s="47"/>
      <c r="E96" s="47"/>
      <c r="F96" s="47"/>
      <c r="G96" s="47"/>
      <c r="H96" s="47"/>
      <c r="I96" s="47"/>
      <c r="J96" s="47"/>
      <c r="K96" s="47"/>
      <c r="L96" s="47"/>
      <c r="M96" s="47"/>
    </row>
    <row r="97" spans="1:13" x14ac:dyDescent="0.2">
      <c r="A97" s="47"/>
      <c r="B97" s="47"/>
      <c r="C97" s="47"/>
      <c r="D97" s="47"/>
      <c r="E97" s="47"/>
      <c r="F97" s="47"/>
      <c r="G97" s="47"/>
      <c r="H97" s="47"/>
      <c r="I97" s="47"/>
      <c r="J97" s="47"/>
      <c r="K97" s="47"/>
      <c r="L97" s="47"/>
      <c r="M97" s="47"/>
    </row>
    <row r="98" spans="1:13" x14ac:dyDescent="0.2">
      <c r="A98" s="47"/>
      <c r="B98" s="47"/>
      <c r="C98" s="47"/>
      <c r="D98" s="47"/>
      <c r="E98" s="47"/>
      <c r="F98" s="47"/>
      <c r="G98" s="47"/>
      <c r="H98" s="47"/>
      <c r="I98" s="47"/>
      <c r="J98" s="47"/>
      <c r="K98" s="47"/>
      <c r="L98" s="47"/>
      <c r="M98" s="47"/>
    </row>
    <row r="99" spans="1:13" x14ac:dyDescent="0.2">
      <c r="A99" s="47"/>
      <c r="B99" s="47"/>
      <c r="C99" s="47"/>
      <c r="D99" s="47"/>
      <c r="E99" s="47"/>
      <c r="F99" s="47"/>
      <c r="G99" s="47"/>
      <c r="H99" s="47"/>
      <c r="I99" s="47"/>
      <c r="J99" s="47"/>
      <c r="K99" s="47"/>
      <c r="L99" s="47"/>
      <c r="M99" s="47"/>
    </row>
    <row r="100" spans="1:13" x14ac:dyDescent="0.2">
      <c r="A100" s="47"/>
      <c r="B100" s="47"/>
      <c r="C100" s="47"/>
      <c r="D100" s="47"/>
      <c r="E100" s="47"/>
      <c r="F100" s="47"/>
      <c r="G100" s="47"/>
      <c r="H100" s="47"/>
      <c r="I100" s="47"/>
      <c r="J100" s="47"/>
      <c r="K100" s="47"/>
      <c r="L100" s="47"/>
      <c r="M100" s="47"/>
    </row>
    <row r="101" spans="1:13" x14ac:dyDescent="0.2">
      <c r="A101" s="47"/>
      <c r="B101" s="47"/>
      <c r="C101" s="47"/>
      <c r="D101" s="47"/>
      <c r="E101" s="47"/>
      <c r="F101" s="47"/>
      <c r="G101" s="47"/>
      <c r="H101" s="47"/>
      <c r="I101" s="47"/>
      <c r="J101" s="47"/>
      <c r="K101" s="47"/>
      <c r="L101" s="47"/>
      <c r="M101" s="47"/>
    </row>
    <row r="102" spans="1:13" x14ac:dyDescent="0.2">
      <c r="A102" s="47"/>
      <c r="B102" s="47"/>
      <c r="C102" s="47"/>
      <c r="D102" s="47"/>
      <c r="E102" s="47"/>
      <c r="F102" s="47"/>
      <c r="G102" s="47"/>
      <c r="H102" s="47"/>
      <c r="I102" s="47"/>
      <c r="J102" s="47"/>
      <c r="K102" s="47"/>
      <c r="L102" s="47"/>
      <c r="M102" s="47"/>
    </row>
    <row r="103" spans="1:13" x14ac:dyDescent="0.2">
      <c r="A103" s="47"/>
      <c r="B103" s="47"/>
      <c r="C103" s="47"/>
      <c r="D103" s="47"/>
      <c r="E103" s="47"/>
      <c r="F103" s="47"/>
      <c r="G103" s="47"/>
      <c r="H103" s="47"/>
      <c r="I103" s="47"/>
      <c r="J103" s="47"/>
      <c r="K103" s="47"/>
      <c r="L103" s="47"/>
      <c r="M103" s="47"/>
    </row>
    <row r="104" spans="1:13" x14ac:dyDescent="0.2">
      <c r="A104" s="47"/>
      <c r="B104" s="47"/>
      <c r="C104" s="47"/>
      <c r="D104" s="47"/>
      <c r="E104" s="47"/>
      <c r="F104" s="47"/>
      <c r="G104" s="47"/>
      <c r="H104" s="47"/>
      <c r="I104" s="47"/>
      <c r="J104" s="47"/>
      <c r="K104" s="47"/>
      <c r="L104" s="47"/>
      <c r="M104" s="47"/>
    </row>
    <row r="105" spans="1:13" x14ac:dyDescent="0.2">
      <c r="A105" s="47"/>
      <c r="B105" s="47"/>
      <c r="C105" s="47"/>
      <c r="D105" s="47"/>
      <c r="E105" s="47"/>
      <c r="F105" s="47"/>
      <c r="G105" s="47"/>
      <c r="H105" s="47"/>
      <c r="I105" s="47"/>
      <c r="J105" s="47"/>
      <c r="K105" s="47"/>
      <c r="L105" s="47"/>
      <c r="M105" s="47"/>
    </row>
    <row r="106" spans="1:13" x14ac:dyDescent="0.2">
      <c r="A106" s="47"/>
      <c r="B106" s="47"/>
      <c r="C106" s="47"/>
      <c r="D106" s="47"/>
      <c r="E106" s="47"/>
      <c r="F106" s="47"/>
      <c r="G106" s="47"/>
      <c r="H106" s="47"/>
      <c r="I106" s="47"/>
      <c r="J106" s="47"/>
      <c r="K106" s="47"/>
      <c r="L106" s="47"/>
      <c r="M106" s="47"/>
    </row>
    <row r="107" spans="1:13" x14ac:dyDescent="0.2">
      <c r="A107" s="47"/>
      <c r="B107" s="47"/>
      <c r="C107" s="47"/>
      <c r="D107" s="47"/>
      <c r="E107" s="47"/>
      <c r="F107" s="47"/>
      <c r="G107" s="47"/>
      <c r="H107" s="47"/>
      <c r="I107" s="47"/>
      <c r="J107" s="47"/>
      <c r="K107" s="47"/>
      <c r="L107" s="47"/>
      <c r="M107" s="47"/>
    </row>
    <row r="108" spans="1:13" x14ac:dyDescent="0.2">
      <c r="A108" s="47"/>
      <c r="B108" s="47"/>
      <c r="C108" s="47"/>
      <c r="D108" s="47"/>
      <c r="E108" s="47"/>
      <c r="F108" s="47"/>
      <c r="G108" s="47"/>
      <c r="H108" s="47"/>
      <c r="I108" s="47"/>
      <c r="J108" s="47"/>
      <c r="K108" s="47"/>
      <c r="L108" s="47"/>
      <c r="M108" s="47"/>
    </row>
    <row r="109" spans="1:13" x14ac:dyDescent="0.2">
      <c r="A109" s="47"/>
      <c r="B109" s="47"/>
      <c r="C109" s="47"/>
      <c r="D109" s="47"/>
      <c r="E109" s="47"/>
      <c r="F109" s="47"/>
      <c r="G109" s="47"/>
      <c r="H109" s="47"/>
      <c r="I109" s="47"/>
      <c r="J109" s="47"/>
      <c r="K109" s="47"/>
      <c r="L109" s="47"/>
      <c r="M109" s="47"/>
    </row>
    <row r="110" spans="1:13" x14ac:dyDescent="0.2">
      <c r="A110" s="47"/>
      <c r="B110" s="47"/>
      <c r="C110" s="47"/>
      <c r="D110" s="47"/>
      <c r="E110" s="47"/>
      <c r="F110" s="47"/>
      <c r="G110" s="47"/>
      <c r="H110" s="47"/>
      <c r="I110" s="47"/>
      <c r="J110" s="47"/>
      <c r="K110" s="47"/>
      <c r="L110" s="47"/>
      <c r="M110" s="47"/>
    </row>
    <row r="111" spans="1:13" x14ac:dyDescent="0.2">
      <c r="A111" s="47"/>
      <c r="B111" s="47"/>
      <c r="C111" s="47"/>
      <c r="D111" s="47"/>
      <c r="E111" s="47"/>
      <c r="F111" s="47"/>
      <c r="G111" s="47"/>
      <c r="H111" s="47"/>
      <c r="I111" s="47"/>
      <c r="J111" s="47"/>
      <c r="K111" s="47"/>
      <c r="L111" s="47"/>
      <c r="M111" s="47"/>
    </row>
    <row r="112" spans="1:13" x14ac:dyDescent="0.2">
      <c r="A112" s="47"/>
      <c r="B112" s="47"/>
      <c r="C112" s="47"/>
      <c r="D112" s="47"/>
      <c r="E112" s="47"/>
      <c r="F112" s="47"/>
      <c r="G112" s="47"/>
      <c r="H112" s="47"/>
      <c r="I112" s="47"/>
      <c r="J112" s="47"/>
      <c r="K112" s="47"/>
      <c r="L112" s="47"/>
      <c r="M112" s="47"/>
    </row>
    <row r="113" spans="1:13" x14ac:dyDescent="0.2">
      <c r="A113" s="47"/>
      <c r="B113" s="47"/>
      <c r="C113" s="47"/>
      <c r="D113" s="47"/>
      <c r="E113" s="47"/>
      <c r="F113" s="47"/>
      <c r="G113" s="47"/>
      <c r="H113" s="47"/>
      <c r="I113" s="47"/>
      <c r="J113" s="47"/>
      <c r="K113" s="47"/>
      <c r="L113" s="47"/>
      <c r="M113" s="47"/>
    </row>
    <row r="114" spans="1:13" x14ac:dyDescent="0.2">
      <c r="A114" s="47"/>
      <c r="B114" s="47"/>
      <c r="C114" s="47"/>
      <c r="D114" s="47"/>
      <c r="E114" s="47"/>
      <c r="F114" s="47"/>
      <c r="G114" s="47"/>
      <c r="H114" s="47"/>
      <c r="I114" s="47"/>
      <c r="J114" s="47"/>
      <c r="K114" s="47"/>
      <c r="L114" s="47"/>
      <c r="M114" s="47"/>
    </row>
    <row r="115" spans="1:13" x14ac:dyDescent="0.2">
      <c r="A115" s="47"/>
      <c r="B115" s="47"/>
      <c r="C115" s="47"/>
      <c r="D115" s="47"/>
      <c r="E115" s="47"/>
      <c r="F115" s="47"/>
      <c r="G115" s="47"/>
      <c r="H115" s="47"/>
      <c r="I115" s="47"/>
      <c r="J115" s="47"/>
      <c r="K115" s="47"/>
      <c r="L115" s="47"/>
      <c r="M115" s="47"/>
    </row>
    <row r="116" spans="1:13" x14ac:dyDescent="0.2">
      <c r="A116" s="47"/>
      <c r="B116" s="47"/>
      <c r="C116" s="47"/>
      <c r="D116" s="47"/>
      <c r="E116" s="47"/>
      <c r="F116" s="47"/>
      <c r="G116" s="47"/>
      <c r="H116" s="47"/>
      <c r="I116" s="47"/>
      <c r="J116" s="47"/>
      <c r="K116" s="47"/>
      <c r="L116" s="47"/>
      <c r="M116" s="47"/>
    </row>
    <row r="117" spans="1:13" x14ac:dyDescent="0.2">
      <c r="A117" s="47"/>
      <c r="B117" s="47"/>
      <c r="C117" s="47"/>
      <c r="D117" s="47"/>
      <c r="E117" s="47"/>
      <c r="F117" s="47"/>
      <c r="G117" s="47"/>
      <c r="H117" s="47"/>
      <c r="I117" s="47"/>
      <c r="J117" s="47"/>
      <c r="K117" s="47"/>
      <c r="L117" s="47"/>
      <c r="M117" s="47"/>
    </row>
    <row r="118" spans="1:13" x14ac:dyDescent="0.2">
      <c r="A118" s="47"/>
      <c r="B118" s="47"/>
      <c r="C118" s="47"/>
      <c r="D118" s="47"/>
      <c r="E118" s="47"/>
      <c r="F118" s="47"/>
      <c r="G118" s="47"/>
      <c r="H118" s="47"/>
      <c r="I118" s="47"/>
      <c r="J118" s="47"/>
      <c r="K118" s="47"/>
      <c r="L118" s="47"/>
      <c r="M118" s="47"/>
    </row>
  </sheetData>
  <pageMargins left="0.5" right="0.5" top="0.75" bottom="0.75" header="0.5" footer="0.5"/>
  <pageSetup scale="73"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showGridLines="0" zoomScaleNormal="100" workbookViewId="0">
      <selection activeCell="C9" sqref="C9"/>
    </sheetView>
  </sheetViews>
  <sheetFormatPr defaultRowHeight="12.75" x14ac:dyDescent="0.2"/>
  <cols>
    <col min="2" max="2" width="2.28515625" style="47" bestFit="1" customWidth="1"/>
    <col min="3" max="12" width="11.7109375" customWidth="1"/>
  </cols>
  <sheetData>
    <row r="1" spans="1:13" x14ac:dyDescent="0.2">
      <c r="A1" s="39" t="str">
        <f>"Commodity Pricing ("&amp;TEXT(A4,"mmmm yyyy")&amp;" through "&amp;TEXT(A15,"mmmm yyyy")&amp;")"</f>
        <v>Commodity Pricing (May 2017 through April 2018)</v>
      </c>
      <c r="B1" s="76"/>
    </row>
    <row r="2" spans="1:13" x14ac:dyDescent="0.2">
      <c r="A2" s="41" t="s">
        <v>129</v>
      </c>
      <c r="B2" s="251"/>
    </row>
    <row r="3" spans="1:13" x14ac:dyDescent="0.2">
      <c r="B3" s="46"/>
      <c r="C3" s="43" t="s">
        <v>19</v>
      </c>
      <c r="D3" s="43" t="s">
        <v>20</v>
      </c>
      <c r="E3" s="43" t="s">
        <v>111</v>
      </c>
      <c r="F3" s="43" t="s">
        <v>21</v>
      </c>
      <c r="G3" s="43" t="s">
        <v>22</v>
      </c>
      <c r="H3" s="43" t="s">
        <v>23</v>
      </c>
      <c r="I3" s="43" t="s">
        <v>24</v>
      </c>
      <c r="J3" s="43" t="s">
        <v>25</v>
      </c>
      <c r="K3" s="43" t="s">
        <v>26</v>
      </c>
      <c r="L3" s="43" t="s">
        <v>27</v>
      </c>
      <c r="M3" s="43"/>
    </row>
    <row r="4" spans="1:13" ht="15.75" customHeight="1" x14ac:dyDescent="0.2">
      <c r="A4" s="250">
        <f>'Multi_Family (3)'!$C$6</f>
        <v>42856</v>
      </c>
      <c r="B4" s="46" t="s">
        <v>124</v>
      </c>
      <c r="C4" s="243">
        <f>'Multi_Family (3)'!C74</f>
        <v>905.35</v>
      </c>
      <c r="D4" s="243">
        <f>'Multi_Family (3)'!C76</f>
        <v>-15.91</v>
      </c>
      <c r="E4" s="243">
        <f>'Multi_Family (3)'!C77</f>
        <v>0</v>
      </c>
      <c r="F4" s="243">
        <f>'Multi_Family (3)'!C72</f>
        <v>71.989999999999995</v>
      </c>
      <c r="G4" s="243">
        <f>'Multi_Family (3)'!C69</f>
        <v>65.3</v>
      </c>
      <c r="H4" s="243">
        <f>'Multi_Family (3)'!C79</f>
        <v>60.14</v>
      </c>
      <c r="I4" s="243">
        <f>'Multi_Family (3)'!C73</f>
        <v>92.51</v>
      </c>
      <c r="J4" s="243">
        <f>'Multi_Family (3)'!C73</f>
        <v>92.51</v>
      </c>
      <c r="K4" s="243">
        <f>'Multi_Family (3)'!C70</f>
        <v>132.68</v>
      </c>
      <c r="L4" s="243">
        <f>'Multi_Family (3)'!C78</f>
        <v>-134.59</v>
      </c>
      <c r="M4" s="51"/>
    </row>
    <row r="5" spans="1:13" ht="15.75" customHeight="1" x14ac:dyDescent="0.2">
      <c r="A5" s="46">
        <f t="shared" ref="A5:A15" si="0">EOMONTH(A4,1)</f>
        <v>42916</v>
      </c>
      <c r="B5" s="46" t="s">
        <v>123</v>
      </c>
      <c r="C5" s="243">
        <f>'Multi_Family (3)'!D74</f>
        <v>894.34</v>
      </c>
      <c r="D5" s="243">
        <f>'Multi_Family (3)'!D76</f>
        <v>-6.4</v>
      </c>
      <c r="E5" s="243">
        <f>'Multi_Family (3)'!D77</f>
        <v>0</v>
      </c>
      <c r="F5" s="243">
        <f>'Multi_Family (3)'!D72</f>
        <v>69.08</v>
      </c>
      <c r="G5" s="243">
        <f>'Multi_Family (3)'!D69</f>
        <v>85.06</v>
      </c>
      <c r="H5" s="243">
        <f>'Multi_Family (3)'!D79</f>
        <v>78.88</v>
      </c>
      <c r="I5" s="243">
        <f>'Multi_Family (3)'!D73</f>
        <v>70.599999999999994</v>
      </c>
      <c r="J5" s="243">
        <f>'Multi_Family (3)'!D73</f>
        <v>70.599999999999994</v>
      </c>
      <c r="K5" s="243">
        <f>'Multi_Family (3)'!D70</f>
        <v>159.52000000000001</v>
      </c>
      <c r="L5" s="243">
        <f>'Multi_Family (3)'!D78</f>
        <v>-134.59</v>
      </c>
      <c r="M5" s="51"/>
    </row>
    <row r="6" spans="1:13" ht="15.75" customHeight="1" x14ac:dyDescent="0.2">
      <c r="A6" s="46">
        <f t="shared" si="0"/>
        <v>42947</v>
      </c>
      <c r="B6" s="47" t="s">
        <v>122</v>
      </c>
      <c r="C6" s="243">
        <f>'Multi_Family (3)'!E74</f>
        <v>871.1</v>
      </c>
      <c r="D6" s="243">
        <f>'Multi_Family (3)'!E76</f>
        <v>-6.61</v>
      </c>
      <c r="E6" s="243">
        <f>'Multi_Family (3)'!E77</f>
        <v>0</v>
      </c>
      <c r="F6" s="243">
        <f>'Multi_Family (3)'!E72</f>
        <v>67.63</v>
      </c>
      <c r="G6" s="243">
        <f>'Multi_Family (3)'!E69</f>
        <v>98.56</v>
      </c>
      <c r="H6" s="243">
        <f>'Multi_Family (3)'!E79</f>
        <v>93.44</v>
      </c>
      <c r="I6" s="243">
        <f>'Multi_Family (3)'!E73</f>
        <v>62.55</v>
      </c>
      <c r="J6" s="243">
        <f>'Multi_Family (3)'!E73</f>
        <v>62.55</v>
      </c>
      <c r="K6" s="243">
        <f>'Multi_Family (3)'!E70</f>
        <v>163.29</v>
      </c>
      <c r="L6" s="243">
        <f>'Multi_Family (3)'!E78</f>
        <v>-134.59</v>
      </c>
      <c r="M6" s="48"/>
    </row>
    <row r="7" spans="1:13" ht="15.75" customHeight="1" x14ac:dyDescent="0.2">
      <c r="A7" s="46">
        <f t="shared" si="0"/>
        <v>42978</v>
      </c>
      <c r="B7" s="47" t="s">
        <v>121</v>
      </c>
      <c r="C7" s="243">
        <f>'Multi_Family (3)'!F74</f>
        <v>905.36</v>
      </c>
      <c r="D7" s="243">
        <f>'Multi_Family (3)'!F76</f>
        <v>-4.34</v>
      </c>
      <c r="E7" s="243">
        <f>'Multi_Family (3)'!F77</f>
        <v>0</v>
      </c>
      <c r="F7" s="243">
        <f>'Multi_Family (3)'!F72</f>
        <v>78.11</v>
      </c>
      <c r="G7" s="243">
        <f>'Multi_Family (3)'!F69</f>
        <v>81.63</v>
      </c>
      <c r="H7" s="243">
        <f>'Multi_Family (3)'!F79</f>
        <v>77.209999999999994</v>
      </c>
      <c r="I7" s="243">
        <f>'Multi_Family (3)'!F73</f>
        <v>83.03</v>
      </c>
      <c r="J7" s="243">
        <f>'Multi_Family (3)'!F73</f>
        <v>83.03</v>
      </c>
      <c r="K7" s="243">
        <f>'Multi_Family (3)'!F70</f>
        <v>145.72999999999999</v>
      </c>
      <c r="L7" s="243">
        <f>'Multi_Family (3)'!F78</f>
        <v>-134.59</v>
      </c>
      <c r="M7" s="48"/>
    </row>
    <row r="8" spans="1:13" ht="15.75" customHeight="1" x14ac:dyDescent="0.2">
      <c r="A8" s="46">
        <f t="shared" si="0"/>
        <v>43008</v>
      </c>
      <c r="B8" s="47" t="s">
        <v>120</v>
      </c>
      <c r="C8" s="249">
        <f>'Multi_Family (3)'!G74</f>
        <v>953.11</v>
      </c>
      <c r="D8" s="249">
        <f>'Multi_Family (3)'!G76</f>
        <v>-5.61</v>
      </c>
      <c r="E8" s="249">
        <f>'Multi_Family (3)'!G77</f>
        <v>0</v>
      </c>
      <c r="F8" s="249">
        <f>'Multi_Family (3)'!G72</f>
        <v>86.53</v>
      </c>
      <c r="G8" s="249">
        <f>'Multi_Family (3)'!G69</f>
        <v>63.02</v>
      </c>
      <c r="H8" s="249">
        <f>'Multi_Family (3)'!G79</f>
        <v>57.85</v>
      </c>
      <c r="I8" s="249">
        <f>'Multi_Family (3)'!G73</f>
        <v>72.099999999999994</v>
      </c>
      <c r="J8" s="249">
        <f>'Multi_Family (3)'!G73</f>
        <v>72.099999999999994</v>
      </c>
      <c r="K8" s="249">
        <f>'Multi_Family (3)'!G70</f>
        <v>110.68</v>
      </c>
      <c r="L8" s="243">
        <f>'Multi_Family (3)'!G78</f>
        <v>-134.59</v>
      </c>
      <c r="M8" s="48"/>
    </row>
    <row r="9" spans="1:13" ht="15.75" customHeight="1" x14ac:dyDescent="0.2">
      <c r="A9" s="46">
        <f t="shared" si="0"/>
        <v>43039</v>
      </c>
      <c r="B9" s="47" t="s">
        <v>119</v>
      </c>
      <c r="C9" s="249">
        <f>'Multi_Family (3)'!H74</f>
        <v>980.71</v>
      </c>
      <c r="D9" s="249">
        <f>'Multi_Family (3)'!H76</f>
        <v>-8.7799999999999994</v>
      </c>
      <c r="E9" s="249">
        <f>'Multi_Family (3)'!H77</f>
        <v>0</v>
      </c>
      <c r="F9" s="249">
        <f>'Multi_Family (3)'!H72</f>
        <v>76.06</v>
      </c>
      <c r="G9" s="249">
        <f>'Multi_Family (3)'!H69</f>
        <v>60.33</v>
      </c>
      <c r="H9" s="249">
        <f>'Multi_Family (3)'!H79</f>
        <v>55.22</v>
      </c>
      <c r="I9" s="249">
        <f>'Multi_Family (3)'!H73</f>
        <v>48.29</v>
      </c>
      <c r="J9" s="249">
        <f>'Multi_Family (3)'!H73</f>
        <v>48.29</v>
      </c>
      <c r="K9" s="249">
        <f>'Multi_Family (3)'!H70</f>
        <v>81.77</v>
      </c>
      <c r="L9" s="243">
        <f>'Multi_Family (3)'!H78</f>
        <v>-134.59</v>
      </c>
      <c r="M9" s="48"/>
    </row>
    <row r="10" spans="1:13" ht="15.75" customHeight="1" x14ac:dyDescent="0.2">
      <c r="A10" s="46">
        <f t="shared" si="0"/>
        <v>43069</v>
      </c>
      <c r="B10" s="47" t="s">
        <v>118</v>
      </c>
      <c r="C10" s="243">
        <f>'Multi_Family (3)'!I74</f>
        <v>971.66</v>
      </c>
      <c r="D10" s="243">
        <f>'Multi_Family (3)'!I76</f>
        <v>-2.5099999999999998</v>
      </c>
      <c r="E10" s="243">
        <f>'Multi_Family (3)'!I77</f>
        <v>0</v>
      </c>
      <c r="F10" s="243">
        <f>'Multi_Family (3)'!I72</f>
        <v>78.08</v>
      </c>
      <c r="G10" s="243">
        <f>'Multi_Family (3)'!I69</f>
        <v>65.930000000000007</v>
      </c>
      <c r="H10" s="243">
        <f>'Multi_Family (3)'!I79</f>
        <v>52.85</v>
      </c>
      <c r="I10" s="243">
        <f>'Multi_Family (3)'!I73</f>
        <v>50.05</v>
      </c>
      <c r="J10" s="243">
        <f>'Multi_Family (3)'!I73</f>
        <v>50.05</v>
      </c>
      <c r="K10" s="243">
        <f>'Multi_Family (3)'!I70</f>
        <v>114.18</v>
      </c>
      <c r="L10" s="243">
        <f>'Multi_Family (3)'!I78</f>
        <v>-134.59</v>
      </c>
      <c r="M10" s="48"/>
    </row>
    <row r="11" spans="1:13" s="244" customFormat="1" ht="15.75" customHeight="1" x14ac:dyDescent="0.2">
      <c r="A11" s="248">
        <f t="shared" si="0"/>
        <v>43100</v>
      </c>
      <c r="B11" s="247" t="s">
        <v>117</v>
      </c>
      <c r="C11" s="246">
        <f>'Multi_Family (3)'!J74</f>
        <v>973.36</v>
      </c>
      <c r="D11" s="246">
        <f>'Multi_Family (3)'!J76</f>
        <v>-9.4600000000000009</v>
      </c>
      <c r="E11" s="246">
        <f>'Multi_Family (3)'!J77</f>
        <v>0</v>
      </c>
      <c r="F11" s="246">
        <f>'Multi_Family (3)'!J72</f>
        <v>88.61</v>
      </c>
      <c r="G11" s="246">
        <f>'Multi_Family (3)'!J69</f>
        <v>63.69</v>
      </c>
      <c r="H11" s="246">
        <f>'Multi_Family (3)'!J79</f>
        <v>49.88</v>
      </c>
      <c r="I11" s="246">
        <f>'Multi_Family (3)'!J73</f>
        <v>51.67</v>
      </c>
      <c r="J11" s="246">
        <f>'Multi_Family (3)'!J73</f>
        <v>51.67</v>
      </c>
      <c r="K11" s="246">
        <f>'Multi_Family (3)'!J70</f>
        <v>107.57</v>
      </c>
      <c r="L11" s="246">
        <f>'Multi_Family (3)'!J78</f>
        <v>-134.59</v>
      </c>
      <c r="M11" s="245"/>
    </row>
    <row r="12" spans="1:13" ht="15.75" customHeight="1" x14ac:dyDescent="0.2">
      <c r="A12" s="46">
        <f t="shared" si="0"/>
        <v>43131</v>
      </c>
      <c r="B12" s="47" t="s">
        <v>116</v>
      </c>
      <c r="C12" s="243">
        <f>'Multi_Family (3)'!K74</f>
        <v>1013.02</v>
      </c>
      <c r="D12" s="243">
        <f>'Multi_Family (3)'!K76</f>
        <v>-9.98</v>
      </c>
      <c r="E12" s="243">
        <f>'Multi_Family (3)'!K77</f>
        <v>0</v>
      </c>
      <c r="F12" s="243">
        <f>'Multi_Family (3)'!K72</f>
        <v>102.96</v>
      </c>
      <c r="G12" s="243">
        <f>'Multi_Family (3)'!K69</f>
        <v>39.799999999999997</v>
      </c>
      <c r="H12" s="243">
        <f>'Multi_Family (3)'!K79</f>
        <v>40.17</v>
      </c>
      <c r="I12" s="243">
        <f>'Multi_Family (3)'!K73</f>
        <v>53.44</v>
      </c>
      <c r="J12" s="243">
        <f>'Multi_Family (3)'!K73</f>
        <v>53.44</v>
      </c>
      <c r="K12" s="243">
        <f>'Multi_Family (3)'!K70</f>
        <v>105.09</v>
      </c>
      <c r="L12" s="243">
        <f>'Multi_Family (3)'!K78</f>
        <v>-134.59</v>
      </c>
      <c r="M12" s="48"/>
    </row>
    <row r="13" spans="1:13" ht="15.75" customHeight="1" x14ac:dyDescent="0.2">
      <c r="A13" s="46">
        <f t="shared" si="0"/>
        <v>43159</v>
      </c>
      <c r="B13" s="47" t="s">
        <v>115</v>
      </c>
      <c r="C13" s="243">
        <f>'Multi_Family (3)'!L74</f>
        <v>988.19</v>
      </c>
      <c r="D13" s="243">
        <f>'Multi_Family (3)'!L76</f>
        <v>-8.01</v>
      </c>
      <c r="E13" s="243">
        <f>'Multi_Family (3)'!L77</f>
        <v>0</v>
      </c>
      <c r="F13" s="243">
        <f>'Multi_Family (3)'!L72</f>
        <v>92.72</v>
      </c>
      <c r="G13" s="243">
        <f>'Multi_Family (3)'!L69</f>
        <v>-18.13</v>
      </c>
      <c r="H13" s="243">
        <f>'Multi_Family (3)'!L79</f>
        <v>-21.81</v>
      </c>
      <c r="I13" s="243">
        <f>'Multi_Family (3)'!L73</f>
        <v>85.33</v>
      </c>
      <c r="J13" s="243">
        <f>'Multi_Family (3)'!L73</f>
        <v>85.33</v>
      </c>
      <c r="K13" s="243">
        <f>'Multi_Family (3)'!L70</f>
        <v>62.76</v>
      </c>
      <c r="L13" s="243">
        <f>'Multi_Family (3)'!L78</f>
        <v>-134.59</v>
      </c>
      <c r="M13" s="48"/>
    </row>
    <row r="14" spans="1:13" ht="15.75" customHeight="1" x14ac:dyDescent="0.2">
      <c r="A14" s="46">
        <f t="shared" si="0"/>
        <v>43190</v>
      </c>
      <c r="B14" s="47" t="s">
        <v>114</v>
      </c>
      <c r="C14" s="243">
        <f>'Multi_Family (3)'!M74</f>
        <v>977.91</v>
      </c>
      <c r="D14" s="243">
        <f>'Multi_Family (3)'!M76</f>
        <v>-9</v>
      </c>
      <c r="E14" s="243">
        <f>'Multi_Family (3)'!M77</f>
        <v>0</v>
      </c>
      <c r="F14" s="243">
        <f>'Multi_Family (3)'!M72</f>
        <v>106.7</v>
      </c>
      <c r="G14" s="243">
        <f>'Multi_Family (3)'!M69</f>
        <v>-16.23</v>
      </c>
      <c r="H14" s="243">
        <f>'Multi_Family (3)'!M79</f>
        <v>-21.39</v>
      </c>
      <c r="I14" s="243">
        <f>'Multi_Family (3)'!M73</f>
        <v>105.24</v>
      </c>
      <c r="J14" s="243">
        <f>'Multi_Family (3)'!M73</f>
        <v>105.24</v>
      </c>
      <c r="K14" s="243">
        <f>'Multi_Family (3)'!M70</f>
        <v>56.69</v>
      </c>
      <c r="L14" s="243">
        <f>'Multi_Family (3)'!M78</f>
        <v>-134.59</v>
      </c>
      <c r="M14" s="48"/>
    </row>
    <row r="15" spans="1:13" ht="15.75" customHeight="1" x14ac:dyDescent="0.2">
      <c r="A15" s="46">
        <f t="shared" si="0"/>
        <v>43220</v>
      </c>
      <c r="B15" s="47" t="s">
        <v>113</v>
      </c>
      <c r="C15" s="243">
        <f>'Multi_Family (3)'!N74</f>
        <v>989.87</v>
      </c>
      <c r="D15" s="243">
        <f>'Multi_Family (3)'!N76</f>
        <v>-10.23</v>
      </c>
      <c r="E15" s="243">
        <f>'Multi_Family (3)'!N77</f>
        <v>0</v>
      </c>
      <c r="F15" s="243">
        <f>'Multi_Family (3)'!N72</f>
        <v>109.51</v>
      </c>
      <c r="G15" s="243">
        <f>'Multi_Family (3)'!N69</f>
        <v>0</v>
      </c>
      <c r="H15" s="243">
        <f>'Multi_Family (3)'!N79</f>
        <v>-20.59</v>
      </c>
      <c r="I15" s="243">
        <f>'Multi_Family (3)'!N73</f>
        <v>107.91</v>
      </c>
      <c r="J15" s="243">
        <f>'Multi_Family (3)'!N73</f>
        <v>107.91</v>
      </c>
      <c r="K15" s="243">
        <f>'Multi_Family (3)'!N70</f>
        <v>57.61</v>
      </c>
      <c r="L15" s="243">
        <f>'Multi_Family (3)'!N78</f>
        <v>-134.59</v>
      </c>
      <c r="M15" s="48"/>
    </row>
    <row r="16" spans="1:13" x14ac:dyDescent="0.2">
      <c r="A16" s="47"/>
      <c r="C16" s="48"/>
      <c r="D16" s="48"/>
      <c r="E16" s="48"/>
      <c r="F16" s="48"/>
      <c r="G16" s="48"/>
      <c r="H16" s="48"/>
      <c r="I16" s="48"/>
      <c r="J16" s="48"/>
      <c r="K16" s="48"/>
      <c r="L16" s="47"/>
      <c r="M16" s="48"/>
    </row>
    <row r="17" spans="1:14" x14ac:dyDescent="0.2">
      <c r="A17" s="50"/>
      <c r="C17" s="48"/>
      <c r="D17" s="48"/>
      <c r="E17" s="48"/>
      <c r="F17" s="48"/>
      <c r="G17" s="48"/>
      <c r="H17" s="48"/>
      <c r="I17" s="48"/>
      <c r="J17" s="48"/>
      <c r="K17" s="48"/>
      <c r="L17" s="48"/>
      <c r="M17" s="48"/>
      <c r="N17" s="48" t="s">
        <v>29</v>
      </c>
    </row>
    <row r="18" spans="1:14" x14ac:dyDescent="0.2">
      <c r="A18" s="47"/>
      <c r="C18" s="47"/>
      <c r="D18" s="47"/>
      <c r="E18" s="47"/>
      <c r="F18" s="47"/>
      <c r="G18" s="47"/>
      <c r="H18" s="47"/>
      <c r="I18" s="47"/>
      <c r="J18" s="47"/>
      <c r="K18" s="47"/>
      <c r="L18" s="47"/>
      <c r="M18" s="48"/>
    </row>
    <row r="19" spans="1:14" x14ac:dyDescent="0.2">
      <c r="A19" s="47"/>
      <c r="C19" s="47"/>
      <c r="D19" s="47"/>
      <c r="E19" s="47"/>
      <c r="F19" s="47"/>
      <c r="G19" s="47"/>
      <c r="H19" s="47"/>
      <c r="I19" s="47"/>
      <c r="J19" s="47"/>
      <c r="K19" s="47"/>
      <c r="L19" s="47"/>
      <c r="M19" s="48"/>
    </row>
    <row r="20" spans="1:14" x14ac:dyDescent="0.2">
      <c r="A20" s="47"/>
      <c r="C20" s="47"/>
      <c r="D20" s="47"/>
      <c r="F20" s="47"/>
      <c r="G20" s="47"/>
      <c r="H20" s="47"/>
      <c r="I20" s="47"/>
      <c r="J20" s="47"/>
      <c r="K20" s="47"/>
      <c r="L20" s="47"/>
      <c r="M20" s="48"/>
    </row>
    <row r="21" spans="1:14" x14ac:dyDescent="0.2">
      <c r="A21" s="47"/>
      <c r="C21" s="47"/>
      <c r="D21" s="47"/>
      <c r="F21" s="47"/>
      <c r="G21" s="47"/>
      <c r="H21" s="47"/>
      <c r="I21" s="47"/>
      <c r="J21" s="47"/>
      <c r="K21" s="47"/>
      <c r="L21" s="47"/>
      <c r="M21" s="48"/>
    </row>
    <row r="22" spans="1:14" x14ac:dyDescent="0.2">
      <c r="A22" s="47"/>
      <c r="C22" s="47"/>
      <c r="D22" s="47"/>
      <c r="G22" s="47"/>
      <c r="H22" s="47"/>
      <c r="I22" s="47"/>
      <c r="J22" s="47"/>
      <c r="K22" s="47"/>
      <c r="L22" s="47"/>
      <c r="M22" s="48"/>
    </row>
    <row r="23" spans="1:14" x14ac:dyDescent="0.2">
      <c r="A23" s="47"/>
      <c r="C23" s="47"/>
      <c r="D23" s="47"/>
      <c r="F23" s="47"/>
      <c r="G23" s="47"/>
      <c r="H23" s="47"/>
      <c r="I23" s="47"/>
      <c r="J23" s="47"/>
      <c r="K23" s="47"/>
      <c r="L23" s="47"/>
      <c r="M23" s="48"/>
    </row>
    <row r="24" spans="1:14" x14ac:dyDescent="0.2">
      <c r="A24" s="47"/>
      <c r="C24" s="47"/>
      <c r="D24" s="47"/>
      <c r="F24" s="47"/>
      <c r="G24" s="47"/>
      <c r="H24" s="47"/>
      <c r="I24" s="47"/>
      <c r="J24" s="47"/>
      <c r="K24" s="47"/>
      <c r="L24" s="47"/>
      <c r="M24" s="48"/>
    </row>
    <row r="25" spans="1:14" x14ac:dyDescent="0.2">
      <c r="A25" s="47"/>
      <c r="C25" s="47"/>
      <c r="D25" s="47"/>
      <c r="F25" s="47"/>
      <c r="G25" s="47"/>
      <c r="H25" s="47"/>
      <c r="I25" s="47"/>
      <c r="J25" s="47"/>
      <c r="K25" s="47"/>
      <c r="L25" s="47"/>
      <c r="M25" s="48"/>
    </row>
    <row r="26" spans="1:14" x14ac:dyDescent="0.2">
      <c r="A26" s="47"/>
      <c r="C26" s="47"/>
      <c r="D26" s="47"/>
      <c r="F26" s="47"/>
      <c r="G26" s="47"/>
      <c r="H26" s="47"/>
      <c r="I26" s="47"/>
      <c r="J26" s="47"/>
      <c r="K26" s="47"/>
      <c r="L26" s="47"/>
      <c r="M26" s="48"/>
    </row>
    <row r="27" spans="1:14" x14ac:dyDescent="0.2">
      <c r="A27" s="47"/>
      <c r="C27" s="47"/>
      <c r="D27" s="47"/>
      <c r="F27" s="47"/>
      <c r="G27" s="47"/>
      <c r="H27" s="47"/>
      <c r="I27" s="47"/>
      <c r="J27" s="47"/>
      <c r="K27" s="47"/>
      <c r="L27" s="47"/>
      <c r="M27" s="48"/>
    </row>
    <row r="28" spans="1:14" x14ac:dyDescent="0.2">
      <c r="A28" s="47"/>
      <c r="C28" s="47"/>
      <c r="D28" s="47"/>
      <c r="F28" s="47"/>
      <c r="G28" s="47"/>
      <c r="H28" s="47"/>
      <c r="I28" s="47"/>
      <c r="J28" s="47"/>
      <c r="K28" s="47"/>
      <c r="L28" s="47"/>
      <c r="M28" s="47"/>
    </row>
    <row r="29" spans="1:14" x14ac:dyDescent="0.2">
      <c r="A29" s="47"/>
      <c r="C29" s="47"/>
      <c r="D29" s="47"/>
      <c r="F29" s="47"/>
      <c r="G29" s="47"/>
      <c r="H29" s="47"/>
      <c r="I29" s="47"/>
      <c r="J29" s="47"/>
      <c r="K29" s="47"/>
      <c r="L29" s="47"/>
      <c r="M29" s="47"/>
    </row>
    <row r="30" spans="1:14" x14ac:dyDescent="0.2">
      <c r="A30" s="47"/>
      <c r="C30" s="47"/>
      <c r="D30" s="47"/>
      <c r="F30" s="47"/>
      <c r="G30" s="47"/>
      <c r="H30" s="47"/>
      <c r="I30" s="47"/>
      <c r="J30" s="47"/>
      <c r="K30" s="47"/>
      <c r="L30" s="47"/>
      <c r="M30" s="47"/>
    </row>
    <row r="31" spans="1:14" x14ac:dyDescent="0.2">
      <c r="A31" s="47"/>
      <c r="C31" s="47"/>
      <c r="D31" s="47"/>
      <c r="F31" s="47"/>
      <c r="G31" s="47"/>
      <c r="H31" s="47"/>
      <c r="I31" s="47"/>
      <c r="J31" s="47"/>
      <c r="K31" s="47"/>
      <c r="L31" s="47"/>
      <c r="M31" s="47"/>
    </row>
    <row r="32" spans="1:14" x14ac:dyDescent="0.2">
      <c r="A32" s="47"/>
      <c r="C32" s="47"/>
      <c r="D32" s="47"/>
      <c r="E32" s="47"/>
      <c r="F32" s="47"/>
      <c r="G32" s="47"/>
      <c r="H32" s="47"/>
      <c r="I32" s="47"/>
      <c r="J32" s="47"/>
      <c r="K32" s="47"/>
      <c r="L32" s="47"/>
      <c r="M32" s="47"/>
    </row>
    <row r="33" spans="1:13" x14ac:dyDescent="0.2">
      <c r="A33" s="47"/>
      <c r="C33" s="47"/>
      <c r="D33" s="47"/>
      <c r="E33" s="47"/>
      <c r="F33" s="47"/>
      <c r="G33" s="47"/>
      <c r="H33" s="47"/>
      <c r="I33" s="47"/>
      <c r="J33" s="47"/>
      <c r="K33" s="47"/>
      <c r="L33" s="47"/>
      <c r="M33" s="47"/>
    </row>
    <row r="34" spans="1:13" x14ac:dyDescent="0.2">
      <c r="A34" s="47"/>
      <c r="C34" s="47"/>
      <c r="D34" s="47"/>
      <c r="E34" s="47"/>
      <c r="F34" s="47"/>
      <c r="G34" s="47"/>
      <c r="H34" s="47"/>
      <c r="I34" s="47"/>
      <c r="J34" s="47"/>
      <c r="K34" s="47"/>
      <c r="L34" s="47"/>
      <c r="M34" s="47"/>
    </row>
    <row r="35" spans="1:13" x14ac:dyDescent="0.2">
      <c r="A35" s="47"/>
      <c r="C35" s="47"/>
      <c r="D35" s="47"/>
      <c r="E35" s="47"/>
      <c r="F35" s="47"/>
      <c r="G35" s="47"/>
      <c r="H35" s="47"/>
      <c r="I35" s="47"/>
      <c r="J35" s="47"/>
      <c r="K35" s="47"/>
      <c r="L35" s="47"/>
      <c r="M35" s="47"/>
    </row>
    <row r="36" spans="1:13" x14ac:dyDescent="0.2">
      <c r="A36" s="47"/>
      <c r="C36" s="47"/>
      <c r="D36" s="47"/>
      <c r="E36" s="47"/>
      <c r="F36" s="47"/>
      <c r="G36" s="47"/>
      <c r="H36" s="47"/>
      <c r="I36" s="47"/>
      <c r="J36" s="47"/>
      <c r="K36" s="47"/>
      <c r="L36" s="47"/>
      <c r="M36" s="47"/>
    </row>
    <row r="37" spans="1:13" x14ac:dyDescent="0.2">
      <c r="A37" s="47"/>
      <c r="C37" s="47"/>
      <c r="D37" s="47"/>
      <c r="E37" s="47"/>
      <c r="F37" s="47"/>
      <c r="G37" s="47"/>
      <c r="H37" s="47"/>
      <c r="I37" s="47"/>
      <c r="J37" s="47"/>
      <c r="K37" s="47"/>
      <c r="L37" s="47"/>
      <c r="M37" s="47"/>
    </row>
    <row r="38" spans="1:13" x14ac:dyDescent="0.2">
      <c r="A38" s="47"/>
      <c r="C38" s="47"/>
      <c r="D38" s="47"/>
      <c r="E38" s="47"/>
      <c r="F38" s="47"/>
      <c r="G38" s="47"/>
      <c r="H38" s="47"/>
      <c r="I38" s="47"/>
      <c r="J38" s="47"/>
      <c r="K38" s="47"/>
      <c r="L38" s="47"/>
      <c r="M38" s="47"/>
    </row>
    <row r="39" spans="1:13" x14ac:dyDescent="0.2">
      <c r="A39" s="47"/>
      <c r="C39" s="47"/>
      <c r="D39" s="47"/>
      <c r="E39" s="47"/>
      <c r="F39" s="47"/>
      <c r="G39" s="47"/>
      <c r="H39" s="47"/>
      <c r="I39" s="47"/>
      <c r="J39" s="47"/>
      <c r="K39" s="47"/>
      <c r="L39" s="47"/>
      <c r="M39" s="47"/>
    </row>
    <row r="40" spans="1:13" x14ac:dyDescent="0.2">
      <c r="A40" s="47"/>
      <c r="C40" s="47"/>
      <c r="D40" s="47"/>
      <c r="E40" s="47"/>
      <c r="F40" s="47"/>
      <c r="G40" s="47"/>
      <c r="H40" s="47"/>
      <c r="I40" s="47"/>
      <c r="J40" s="47"/>
      <c r="K40" s="47"/>
      <c r="L40" s="47"/>
      <c r="M40" s="47"/>
    </row>
    <row r="41" spans="1:13" x14ac:dyDescent="0.2">
      <c r="A41" s="47"/>
      <c r="C41" s="47"/>
      <c r="D41" s="47"/>
      <c r="E41" s="47"/>
      <c r="F41" s="47"/>
      <c r="G41" s="47"/>
      <c r="H41" s="47"/>
      <c r="I41" s="47"/>
      <c r="J41" s="47"/>
      <c r="K41" s="47"/>
      <c r="L41" s="47"/>
      <c r="M41" s="47"/>
    </row>
    <row r="42" spans="1:13" x14ac:dyDescent="0.2">
      <c r="A42" s="47"/>
      <c r="C42" s="47"/>
      <c r="D42" s="47"/>
      <c r="E42" s="47"/>
      <c r="F42" s="47"/>
      <c r="G42" s="47"/>
      <c r="H42" s="47"/>
      <c r="I42" s="47"/>
      <c r="J42" s="47"/>
      <c r="K42" s="47"/>
      <c r="L42" s="47"/>
      <c r="M42" s="47"/>
    </row>
    <row r="43" spans="1:13" x14ac:dyDescent="0.2">
      <c r="A43" s="47"/>
      <c r="C43" s="47"/>
      <c r="D43" s="47"/>
      <c r="E43" s="47"/>
      <c r="F43" s="47"/>
      <c r="G43" s="47"/>
      <c r="H43" s="47"/>
      <c r="I43" s="47"/>
      <c r="J43" s="47"/>
      <c r="K43" s="47"/>
      <c r="L43" s="47"/>
      <c r="M43" s="47"/>
    </row>
    <row r="44" spans="1:13" x14ac:dyDescent="0.2">
      <c r="A44" s="47"/>
      <c r="C44" s="47"/>
      <c r="D44" s="47"/>
      <c r="E44" s="47"/>
      <c r="F44" s="47"/>
      <c r="G44" s="47"/>
      <c r="H44" s="47"/>
      <c r="I44" s="47"/>
      <c r="J44" s="47"/>
      <c r="K44" s="47"/>
      <c r="L44" s="47"/>
      <c r="M44" s="47"/>
    </row>
    <row r="45" spans="1:13" x14ac:dyDescent="0.2">
      <c r="A45" s="47"/>
      <c r="C45" s="47"/>
      <c r="D45" s="47"/>
      <c r="E45" s="47"/>
      <c r="F45" s="47"/>
      <c r="G45" s="47"/>
      <c r="H45" s="47"/>
      <c r="I45" s="47"/>
      <c r="J45" s="47"/>
      <c r="K45" s="47"/>
      <c r="L45" s="47"/>
      <c r="M45" s="47"/>
    </row>
    <row r="46" spans="1:13" x14ac:dyDescent="0.2">
      <c r="A46" s="47"/>
      <c r="C46" s="47"/>
      <c r="D46" s="47"/>
      <c r="E46" s="47"/>
      <c r="F46" s="47"/>
      <c r="G46" s="47"/>
      <c r="H46" s="47"/>
      <c r="I46" s="47"/>
      <c r="J46" s="47"/>
      <c r="K46" s="47"/>
      <c r="L46" s="47"/>
      <c r="M46" s="47"/>
    </row>
    <row r="47" spans="1:13" x14ac:dyDescent="0.2">
      <c r="A47" s="47"/>
      <c r="C47" s="47"/>
      <c r="D47" s="47"/>
      <c r="E47" s="47"/>
      <c r="F47" s="47"/>
      <c r="G47" s="47"/>
      <c r="H47" s="47"/>
      <c r="I47" s="47"/>
      <c r="J47" s="47"/>
      <c r="K47" s="47"/>
      <c r="L47" s="47"/>
      <c r="M47" s="47"/>
    </row>
    <row r="48" spans="1:13" x14ac:dyDescent="0.2">
      <c r="A48" s="47"/>
      <c r="C48" s="47"/>
      <c r="D48" s="47"/>
      <c r="E48" s="47"/>
      <c r="F48" s="47"/>
      <c r="G48" s="47"/>
      <c r="H48" s="47"/>
      <c r="I48" s="47"/>
      <c r="J48" s="47"/>
      <c r="K48" s="47"/>
      <c r="L48" s="47"/>
      <c r="M48" s="47"/>
    </row>
    <row r="49" spans="1:13" x14ac:dyDescent="0.2">
      <c r="A49" s="47"/>
      <c r="C49" s="47"/>
      <c r="D49" s="47"/>
      <c r="E49" s="47"/>
      <c r="F49" s="47"/>
      <c r="G49" s="47"/>
      <c r="H49" s="47"/>
      <c r="I49" s="47"/>
      <c r="J49" s="47"/>
      <c r="K49" s="47"/>
      <c r="L49" s="47"/>
      <c r="M49" s="47"/>
    </row>
    <row r="50" spans="1:13" x14ac:dyDescent="0.2">
      <c r="A50" s="47"/>
      <c r="C50" s="47"/>
      <c r="D50" s="47"/>
      <c r="E50" s="47"/>
      <c r="F50" s="47"/>
      <c r="G50" s="47"/>
      <c r="H50" s="47"/>
      <c r="I50" s="47"/>
      <c r="J50" s="47"/>
      <c r="K50" s="47"/>
      <c r="L50" s="47"/>
      <c r="M50" s="47"/>
    </row>
    <row r="51" spans="1:13" x14ac:dyDescent="0.2">
      <c r="A51" s="47"/>
      <c r="C51" s="47"/>
      <c r="D51" s="47"/>
      <c r="E51" s="47"/>
      <c r="F51" s="47"/>
      <c r="G51" s="47"/>
      <c r="H51" s="47"/>
      <c r="I51" s="47"/>
      <c r="J51" s="47"/>
      <c r="K51" s="47"/>
      <c r="L51" s="47"/>
      <c r="M51" s="47"/>
    </row>
    <row r="52" spans="1:13" x14ac:dyDescent="0.2">
      <c r="A52" s="47"/>
      <c r="C52" s="47"/>
      <c r="D52" s="47"/>
      <c r="E52" s="47"/>
      <c r="F52" s="47"/>
      <c r="G52" s="47"/>
      <c r="H52" s="47"/>
      <c r="I52" s="47"/>
      <c r="J52" s="47"/>
      <c r="K52" s="47"/>
      <c r="L52" s="47"/>
      <c r="M52" s="47"/>
    </row>
    <row r="53" spans="1:13" x14ac:dyDescent="0.2">
      <c r="A53" s="47"/>
      <c r="C53" s="47"/>
      <c r="D53" s="47"/>
      <c r="E53" s="47"/>
      <c r="F53" s="47"/>
      <c r="G53" s="47"/>
      <c r="H53" s="47"/>
      <c r="I53" s="47"/>
      <c r="J53" s="47"/>
      <c r="K53" s="47"/>
      <c r="L53" s="47"/>
      <c r="M53" s="47"/>
    </row>
    <row r="54" spans="1:13" x14ac:dyDescent="0.2">
      <c r="A54" s="47"/>
      <c r="C54" s="47"/>
      <c r="D54" s="47"/>
      <c r="E54" s="47"/>
      <c r="F54" s="47"/>
      <c r="G54" s="47"/>
      <c r="H54" s="47"/>
      <c r="I54" s="47"/>
      <c r="J54" s="47"/>
      <c r="K54" s="47"/>
      <c r="L54" s="47"/>
      <c r="M54" s="47"/>
    </row>
    <row r="55" spans="1:13" x14ac:dyDescent="0.2">
      <c r="A55" s="47"/>
      <c r="C55" s="47"/>
      <c r="D55" s="47"/>
      <c r="E55" s="47"/>
      <c r="F55" s="47"/>
      <c r="G55" s="47"/>
      <c r="H55" s="47"/>
      <c r="I55" s="47"/>
      <c r="J55" s="47"/>
      <c r="K55" s="47"/>
      <c r="L55" s="47"/>
      <c r="M55" s="47"/>
    </row>
    <row r="56" spans="1:13" x14ac:dyDescent="0.2">
      <c r="A56" s="47"/>
      <c r="C56" s="47"/>
      <c r="D56" s="47"/>
      <c r="E56" s="47"/>
      <c r="F56" s="47"/>
      <c r="G56" s="47"/>
      <c r="H56" s="47"/>
      <c r="I56" s="47"/>
      <c r="J56" s="47"/>
      <c r="K56" s="47"/>
      <c r="L56" s="47"/>
      <c r="M56" s="47"/>
    </row>
    <row r="57" spans="1:13" x14ac:dyDescent="0.2">
      <c r="A57" s="47"/>
      <c r="C57" s="47"/>
      <c r="D57" s="47"/>
      <c r="E57" s="47"/>
      <c r="F57" s="47"/>
      <c r="G57" s="47"/>
      <c r="H57" s="47"/>
      <c r="I57" s="47"/>
      <c r="J57" s="47"/>
      <c r="K57" s="47"/>
      <c r="L57" s="47"/>
      <c r="M57" s="47"/>
    </row>
    <row r="58" spans="1:13" x14ac:dyDescent="0.2">
      <c r="A58" s="47"/>
      <c r="C58" s="47"/>
      <c r="D58" s="47"/>
      <c r="E58" s="47"/>
      <c r="F58" s="47"/>
      <c r="G58" s="47"/>
      <c r="H58" s="47"/>
      <c r="I58" s="47"/>
      <c r="J58" s="47"/>
      <c r="K58" s="47"/>
      <c r="L58" s="47"/>
      <c r="M58" s="47"/>
    </row>
    <row r="59" spans="1:13" x14ac:dyDescent="0.2">
      <c r="A59" s="47"/>
      <c r="C59" s="47"/>
      <c r="D59" s="47"/>
      <c r="E59" s="47"/>
      <c r="F59" s="47"/>
      <c r="G59" s="47"/>
      <c r="H59" s="47"/>
      <c r="I59" s="47"/>
      <c r="J59" s="47"/>
      <c r="K59" s="47"/>
      <c r="L59" s="47"/>
      <c r="M59" s="47"/>
    </row>
    <row r="60" spans="1:13" x14ac:dyDescent="0.2">
      <c r="A60" s="47"/>
      <c r="C60" s="47"/>
      <c r="D60" s="47"/>
      <c r="E60" s="47"/>
      <c r="F60" s="47"/>
      <c r="G60" s="47"/>
      <c r="H60" s="47"/>
      <c r="I60" s="47"/>
      <c r="J60" s="47"/>
      <c r="K60" s="47"/>
      <c r="L60" s="47"/>
      <c r="M60" s="47"/>
    </row>
    <row r="61" spans="1:13" x14ac:dyDescent="0.2">
      <c r="A61" s="47"/>
      <c r="C61" s="47"/>
      <c r="D61" s="47"/>
      <c r="E61" s="47"/>
      <c r="F61" s="47"/>
      <c r="G61" s="47"/>
      <c r="H61" s="47"/>
      <c r="I61" s="47"/>
      <c r="J61" s="47"/>
      <c r="K61" s="47"/>
      <c r="L61" s="47"/>
      <c r="M61" s="47"/>
    </row>
    <row r="62" spans="1:13" x14ac:dyDescent="0.2">
      <c r="A62" s="47"/>
      <c r="C62" s="47"/>
      <c r="D62" s="47"/>
      <c r="E62" s="47"/>
      <c r="F62" s="47"/>
      <c r="G62" s="47"/>
      <c r="H62" s="47"/>
      <c r="I62" s="47"/>
      <c r="J62" s="47"/>
      <c r="K62" s="47"/>
      <c r="L62" s="47"/>
      <c r="M62" s="47"/>
    </row>
    <row r="63" spans="1:13" x14ac:dyDescent="0.2">
      <c r="A63" s="47"/>
      <c r="C63" s="47"/>
      <c r="D63" s="47"/>
      <c r="E63" s="47"/>
      <c r="F63" s="47"/>
      <c r="G63" s="47"/>
      <c r="H63" s="47"/>
      <c r="I63" s="47"/>
      <c r="J63" s="47"/>
      <c r="K63" s="47"/>
      <c r="L63" s="47"/>
      <c r="M63" s="47"/>
    </row>
    <row r="64" spans="1:13" x14ac:dyDescent="0.2">
      <c r="A64" s="47"/>
      <c r="C64" s="47"/>
      <c r="D64" s="47"/>
      <c r="E64" s="47"/>
      <c r="F64" s="47"/>
      <c r="G64" s="47"/>
      <c r="H64" s="47"/>
      <c r="I64" s="47"/>
      <c r="J64" s="47"/>
      <c r="K64" s="47"/>
      <c r="L64" s="47"/>
      <c r="M64" s="47"/>
    </row>
    <row r="65" spans="1:13" x14ac:dyDescent="0.2">
      <c r="A65" s="47"/>
      <c r="C65" s="47"/>
      <c r="D65" s="47"/>
      <c r="E65" s="47"/>
      <c r="F65" s="47"/>
      <c r="G65" s="47"/>
      <c r="H65" s="47"/>
      <c r="I65" s="47"/>
      <c r="J65" s="47"/>
      <c r="K65" s="47"/>
      <c r="L65" s="47"/>
      <c r="M65" s="47"/>
    </row>
    <row r="66" spans="1:13" x14ac:dyDescent="0.2">
      <c r="A66" s="47"/>
      <c r="C66" s="47"/>
      <c r="D66" s="47"/>
      <c r="E66" s="47"/>
      <c r="F66" s="47"/>
      <c r="G66" s="47"/>
      <c r="H66" s="47"/>
      <c r="I66" s="47"/>
      <c r="J66" s="47"/>
      <c r="K66" s="47"/>
      <c r="L66" s="47"/>
      <c r="M66" s="47"/>
    </row>
    <row r="67" spans="1:13" x14ac:dyDescent="0.2">
      <c r="A67" s="47"/>
      <c r="C67" s="47"/>
      <c r="D67" s="47"/>
      <c r="E67" s="47"/>
      <c r="F67" s="47"/>
      <c r="G67" s="47"/>
      <c r="H67" s="47"/>
      <c r="I67" s="47"/>
      <c r="J67" s="47"/>
      <c r="K67" s="47"/>
      <c r="L67" s="47"/>
      <c r="M67" s="47"/>
    </row>
    <row r="68" spans="1:13" x14ac:dyDescent="0.2">
      <c r="A68" s="47"/>
      <c r="C68" s="47"/>
      <c r="D68" s="47"/>
      <c r="E68" s="47"/>
      <c r="F68" s="47"/>
      <c r="G68" s="47"/>
      <c r="H68" s="47"/>
      <c r="I68" s="47"/>
      <c r="J68" s="47"/>
      <c r="K68" s="47"/>
      <c r="L68" s="47"/>
      <c r="M68" s="47"/>
    </row>
    <row r="69" spans="1:13" x14ac:dyDescent="0.2">
      <c r="A69" s="47"/>
      <c r="C69" s="47"/>
      <c r="D69" s="47"/>
      <c r="E69" s="47"/>
      <c r="F69" s="47"/>
      <c r="G69" s="47"/>
      <c r="H69" s="47"/>
      <c r="I69" s="47"/>
      <c r="J69" s="47"/>
      <c r="K69" s="47"/>
      <c r="L69" s="47"/>
      <c r="M69" s="47"/>
    </row>
    <row r="70" spans="1:13" x14ac:dyDescent="0.2">
      <c r="A70" s="47"/>
      <c r="C70" s="47"/>
      <c r="D70" s="47"/>
      <c r="E70" s="47"/>
      <c r="F70" s="47"/>
      <c r="G70" s="47"/>
      <c r="H70" s="47"/>
      <c r="I70" s="47"/>
      <c r="J70" s="47"/>
      <c r="K70" s="47"/>
      <c r="L70" s="47"/>
      <c r="M70" s="47"/>
    </row>
    <row r="71" spans="1:13" x14ac:dyDescent="0.2">
      <c r="A71" s="47"/>
      <c r="C71" s="47"/>
      <c r="D71" s="47"/>
      <c r="E71" s="47"/>
      <c r="F71" s="47"/>
      <c r="G71" s="47"/>
      <c r="H71" s="47"/>
      <c r="I71" s="47"/>
      <c r="J71" s="47"/>
      <c r="K71" s="47"/>
      <c r="L71" s="47"/>
      <c r="M71" s="47"/>
    </row>
    <row r="72" spans="1:13" x14ac:dyDescent="0.2">
      <c r="A72" s="47"/>
      <c r="C72" s="47"/>
      <c r="D72" s="47"/>
      <c r="E72" s="47"/>
      <c r="F72" s="47"/>
      <c r="G72" s="47"/>
      <c r="H72" s="47"/>
      <c r="I72" s="47"/>
      <c r="J72" s="47"/>
      <c r="K72" s="47"/>
      <c r="L72" s="47"/>
      <c r="M72" s="47"/>
    </row>
    <row r="73" spans="1:13" x14ac:dyDescent="0.2">
      <c r="A73" s="47"/>
      <c r="C73" s="47"/>
      <c r="D73" s="47"/>
      <c r="E73" s="47"/>
      <c r="F73" s="47"/>
      <c r="G73" s="47"/>
      <c r="H73" s="47"/>
      <c r="I73" s="47"/>
      <c r="J73" s="47"/>
      <c r="K73" s="47"/>
      <c r="L73" s="47"/>
      <c r="M73" s="47"/>
    </row>
    <row r="74" spans="1:13" x14ac:dyDescent="0.2">
      <c r="A74" s="47"/>
      <c r="C74" s="47"/>
      <c r="D74" s="47"/>
      <c r="E74" s="47"/>
      <c r="F74" s="47"/>
      <c r="G74" s="47"/>
      <c r="H74" s="47"/>
      <c r="I74" s="47"/>
      <c r="J74" s="47"/>
      <c r="K74" s="47"/>
      <c r="L74" s="47"/>
      <c r="M74" s="47"/>
    </row>
    <row r="75" spans="1:13" x14ac:dyDescent="0.2">
      <c r="A75" s="47"/>
      <c r="C75" s="47"/>
      <c r="D75" s="47"/>
      <c r="E75" s="47"/>
      <c r="F75" s="47"/>
      <c r="G75" s="47"/>
      <c r="H75" s="47"/>
      <c r="I75" s="47"/>
      <c r="J75" s="47"/>
      <c r="K75" s="47"/>
      <c r="L75" s="47"/>
      <c r="M75" s="47"/>
    </row>
    <row r="76" spans="1:13" x14ac:dyDescent="0.2">
      <c r="A76" s="47"/>
      <c r="C76" s="47"/>
      <c r="D76" s="47"/>
      <c r="E76" s="47"/>
      <c r="F76" s="47"/>
      <c r="G76" s="47"/>
      <c r="H76" s="47"/>
      <c r="I76" s="47"/>
      <c r="J76" s="47"/>
      <c r="K76" s="47"/>
      <c r="L76" s="47"/>
      <c r="M76" s="47"/>
    </row>
    <row r="77" spans="1:13" x14ac:dyDescent="0.2">
      <c r="A77" s="47"/>
      <c r="C77" s="47"/>
      <c r="D77" s="47"/>
      <c r="E77" s="47"/>
      <c r="F77" s="47"/>
      <c r="G77" s="47"/>
      <c r="H77" s="47"/>
      <c r="I77" s="47"/>
      <c r="J77" s="47"/>
      <c r="K77" s="47"/>
      <c r="L77" s="47"/>
      <c r="M77" s="47"/>
    </row>
    <row r="78" spans="1:13" x14ac:dyDescent="0.2">
      <c r="A78" s="47"/>
      <c r="C78" s="47"/>
      <c r="D78" s="47"/>
      <c r="E78" s="47"/>
      <c r="F78" s="47"/>
      <c r="G78" s="47"/>
      <c r="H78" s="47"/>
      <c r="I78" s="47"/>
      <c r="J78" s="47"/>
      <c r="K78" s="47"/>
      <c r="L78" s="47"/>
      <c r="M78" s="47"/>
    </row>
    <row r="79" spans="1:13" x14ac:dyDescent="0.2">
      <c r="A79" s="47"/>
      <c r="C79" s="47"/>
      <c r="D79" s="47"/>
      <c r="E79" s="47"/>
      <c r="F79" s="47"/>
      <c r="G79" s="47"/>
      <c r="H79" s="47"/>
      <c r="I79" s="47"/>
      <c r="J79" s="47"/>
      <c r="K79" s="47"/>
      <c r="L79" s="47"/>
      <c r="M79" s="47"/>
    </row>
    <row r="80" spans="1:13" x14ac:dyDescent="0.2">
      <c r="A80" s="47"/>
      <c r="C80" s="47"/>
      <c r="D80" s="47"/>
      <c r="E80" s="47"/>
      <c r="F80" s="47"/>
      <c r="G80" s="47"/>
      <c r="H80" s="47"/>
      <c r="I80" s="47"/>
      <c r="J80" s="47"/>
      <c r="K80" s="47"/>
      <c r="L80" s="47"/>
      <c r="M80" s="47"/>
    </row>
    <row r="81" spans="1:13" x14ac:dyDescent="0.2">
      <c r="A81" s="47"/>
      <c r="C81" s="47"/>
      <c r="D81" s="47"/>
      <c r="E81" s="47"/>
      <c r="F81" s="47"/>
      <c r="G81" s="47"/>
      <c r="H81" s="47"/>
      <c r="I81" s="47"/>
      <c r="J81" s="47"/>
      <c r="K81" s="47"/>
      <c r="L81" s="47"/>
      <c r="M81" s="47"/>
    </row>
    <row r="82" spans="1:13" x14ac:dyDescent="0.2">
      <c r="A82" s="47"/>
      <c r="C82" s="47"/>
      <c r="D82" s="47"/>
      <c r="E82" s="47"/>
      <c r="F82" s="47"/>
      <c r="G82" s="47"/>
      <c r="H82" s="47"/>
      <c r="I82" s="47"/>
      <c r="J82" s="47"/>
      <c r="K82" s="47"/>
      <c r="L82" s="47"/>
      <c r="M82" s="47"/>
    </row>
    <row r="83" spans="1:13" x14ac:dyDescent="0.2">
      <c r="A83" s="47"/>
      <c r="C83" s="47"/>
      <c r="D83" s="47"/>
      <c r="E83" s="47"/>
      <c r="F83" s="47"/>
      <c r="G83" s="47"/>
      <c r="H83" s="47"/>
      <c r="I83" s="47"/>
      <c r="J83" s="47"/>
      <c r="K83" s="47"/>
      <c r="L83" s="47"/>
      <c r="M83" s="47"/>
    </row>
    <row r="84" spans="1:13" x14ac:dyDescent="0.2">
      <c r="A84" s="47"/>
      <c r="C84" s="47"/>
      <c r="D84" s="47"/>
      <c r="E84" s="47"/>
      <c r="F84" s="47"/>
      <c r="G84" s="47"/>
      <c r="H84" s="47"/>
      <c r="I84" s="47"/>
      <c r="J84" s="47"/>
      <c r="K84" s="47"/>
      <c r="L84" s="47"/>
      <c r="M84" s="47"/>
    </row>
    <row r="85" spans="1:13" x14ac:dyDescent="0.2">
      <c r="A85" s="47"/>
      <c r="C85" s="47"/>
      <c r="D85" s="47"/>
      <c r="E85" s="47"/>
      <c r="F85" s="47"/>
      <c r="G85" s="47"/>
      <c r="H85" s="47"/>
      <c r="I85" s="47"/>
      <c r="J85" s="47"/>
      <c r="K85" s="47"/>
      <c r="L85" s="47"/>
      <c r="M85" s="47"/>
    </row>
    <row r="86" spans="1:13" x14ac:dyDescent="0.2">
      <c r="A86" s="47"/>
      <c r="C86" s="47"/>
      <c r="D86" s="47"/>
      <c r="E86" s="47"/>
      <c r="F86" s="47"/>
      <c r="G86" s="47"/>
      <c r="H86" s="47"/>
      <c r="I86" s="47"/>
      <c r="J86" s="47"/>
      <c r="K86" s="47"/>
      <c r="L86" s="47"/>
      <c r="M86" s="47"/>
    </row>
    <row r="87" spans="1:13" x14ac:dyDescent="0.2">
      <c r="A87" s="47"/>
      <c r="C87" s="47"/>
      <c r="D87" s="47"/>
      <c r="E87" s="47"/>
      <c r="F87" s="47"/>
      <c r="G87" s="47"/>
      <c r="H87" s="47"/>
      <c r="I87" s="47"/>
      <c r="J87" s="47"/>
      <c r="K87" s="47"/>
      <c r="L87" s="47"/>
      <c r="M87" s="47"/>
    </row>
    <row r="88" spans="1:13" x14ac:dyDescent="0.2">
      <c r="A88" s="47"/>
      <c r="C88" s="47"/>
      <c r="D88" s="47"/>
      <c r="E88" s="47"/>
      <c r="F88" s="47"/>
      <c r="G88" s="47"/>
      <c r="H88" s="47"/>
      <c r="I88" s="47"/>
      <c r="J88" s="47"/>
      <c r="K88" s="47"/>
      <c r="L88" s="47"/>
      <c r="M88" s="47"/>
    </row>
    <row r="89" spans="1:13" x14ac:dyDescent="0.2">
      <c r="A89" s="47"/>
      <c r="C89" s="47"/>
      <c r="D89" s="47"/>
      <c r="E89" s="47"/>
      <c r="F89" s="47"/>
      <c r="G89" s="47"/>
      <c r="H89" s="47"/>
      <c r="I89" s="47"/>
      <c r="J89" s="47"/>
      <c r="K89" s="47"/>
      <c r="L89" s="47"/>
      <c r="M89" s="47"/>
    </row>
    <row r="90" spans="1:13" x14ac:dyDescent="0.2">
      <c r="A90" s="47"/>
      <c r="C90" s="47"/>
      <c r="D90" s="47"/>
      <c r="E90" s="47"/>
      <c r="F90" s="47"/>
      <c r="G90" s="47"/>
      <c r="H90" s="47"/>
      <c r="I90" s="47"/>
      <c r="J90" s="47"/>
      <c r="K90" s="47"/>
      <c r="L90" s="47"/>
      <c r="M90" s="47"/>
    </row>
    <row r="91" spans="1:13" x14ac:dyDescent="0.2">
      <c r="A91" s="47"/>
      <c r="C91" s="47"/>
      <c r="D91" s="47"/>
      <c r="E91" s="47"/>
      <c r="F91" s="47"/>
      <c r="G91" s="47"/>
      <c r="H91" s="47"/>
      <c r="I91" s="47"/>
      <c r="J91" s="47"/>
      <c r="K91" s="47"/>
      <c r="L91" s="47"/>
      <c r="M91" s="47"/>
    </row>
    <row r="92" spans="1:13" x14ac:dyDescent="0.2">
      <c r="A92" s="47"/>
      <c r="C92" s="47"/>
      <c r="D92" s="47"/>
      <c r="E92" s="47"/>
      <c r="F92" s="47"/>
      <c r="G92" s="47"/>
      <c r="H92" s="47"/>
      <c r="I92" s="47"/>
      <c r="J92" s="47"/>
      <c r="K92" s="47"/>
      <c r="L92" s="47"/>
      <c r="M92" s="47"/>
    </row>
    <row r="93" spans="1:13" x14ac:dyDescent="0.2">
      <c r="A93" s="47"/>
      <c r="C93" s="47"/>
      <c r="D93" s="47"/>
      <c r="E93" s="47"/>
      <c r="F93" s="47"/>
      <c r="G93" s="47"/>
      <c r="H93" s="47"/>
      <c r="I93" s="47"/>
      <c r="J93" s="47"/>
      <c r="K93" s="47"/>
      <c r="L93" s="47"/>
      <c r="M93" s="47"/>
    </row>
    <row r="94" spans="1:13" x14ac:dyDescent="0.2">
      <c r="A94" s="47"/>
      <c r="C94" s="47"/>
      <c r="D94" s="47"/>
      <c r="E94" s="47"/>
      <c r="F94" s="47"/>
      <c r="G94" s="47"/>
      <c r="H94" s="47"/>
      <c r="I94" s="47"/>
      <c r="J94" s="47"/>
      <c r="K94" s="47"/>
      <c r="L94" s="47"/>
      <c r="M94" s="47"/>
    </row>
    <row r="95" spans="1:13" x14ac:dyDescent="0.2">
      <c r="A95" s="47"/>
      <c r="C95" s="47"/>
      <c r="D95" s="47"/>
      <c r="E95" s="47"/>
      <c r="F95" s="47"/>
      <c r="G95" s="47"/>
      <c r="H95" s="47"/>
      <c r="I95" s="47"/>
      <c r="J95" s="47"/>
      <c r="K95" s="47"/>
      <c r="L95" s="47"/>
      <c r="M95" s="47"/>
    </row>
    <row r="96" spans="1:13" x14ac:dyDescent="0.2">
      <c r="A96" s="47"/>
      <c r="C96" s="47"/>
      <c r="D96" s="47"/>
      <c r="E96" s="47"/>
      <c r="F96" s="47"/>
      <c r="G96" s="47"/>
      <c r="H96" s="47"/>
      <c r="I96" s="47"/>
      <c r="J96" s="47"/>
      <c r="K96" s="47"/>
      <c r="L96" s="47"/>
      <c r="M96" s="47"/>
    </row>
    <row r="97" spans="1:13" x14ac:dyDescent="0.2">
      <c r="A97" s="47"/>
      <c r="C97" s="47"/>
      <c r="D97" s="47"/>
      <c r="E97" s="47"/>
      <c r="F97" s="47"/>
      <c r="G97" s="47"/>
      <c r="H97" s="47"/>
      <c r="I97" s="47"/>
      <c r="J97" s="47"/>
      <c r="K97" s="47"/>
      <c r="L97" s="47"/>
      <c r="M97" s="47"/>
    </row>
    <row r="98" spans="1:13" x14ac:dyDescent="0.2">
      <c r="A98" s="47"/>
      <c r="C98" s="47"/>
      <c r="D98" s="47"/>
      <c r="E98" s="47"/>
      <c r="F98" s="47"/>
      <c r="G98" s="47"/>
      <c r="H98" s="47"/>
      <c r="I98" s="47"/>
      <c r="J98" s="47"/>
      <c r="K98" s="47"/>
      <c r="L98" s="47"/>
      <c r="M98" s="47"/>
    </row>
    <row r="99" spans="1:13" x14ac:dyDescent="0.2">
      <c r="A99" s="47"/>
      <c r="C99" s="47"/>
      <c r="D99" s="47"/>
      <c r="E99" s="47"/>
      <c r="F99" s="47"/>
      <c r="G99" s="47"/>
      <c r="H99" s="47"/>
      <c r="I99" s="47"/>
      <c r="J99" s="47"/>
      <c r="K99" s="47"/>
      <c r="L99" s="47"/>
      <c r="M99" s="47"/>
    </row>
    <row r="100" spans="1:13" x14ac:dyDescent="0.2">
      <c r="A100" s="47"/>
      <c r="C100" s="47"/>
      <c r="D100" s="47"/>
      <c r="E100" s="47"/>
      <c r="F100" s="47"/>
      <c r="G100" s="47"/>
      <c r="H100" s="47"/>
      <c r="I100" s="47"/>
      <c r="J100" s="47"/>
      <c r="K100" s="47"/>
      <c r="L100" s="47"/>
      <c r="M100" s="47"/>
    </row>
    <row r="101" spans="1:13" x14ac:dyDescent="0.2">
      <c r="A101" s="47"/>
      <c r="C101" s="47"/>
      <c r="D101" s="47"/>
      <c r="E101" s="47"/>
      <c r="F101" s="47"/>
      <c r="G101" s="47"/>
      <c r="H101" s="47"/>
      <c r="I101" s="47"/>
      <c r="J101" s="47"/>
      <c r="K101" s="47"/>
      <c r="L101" s="47"/>
      <c r="M101" s="47"/>
    </row>
    <row r="102" spans="1:13" x14ac:dyDescent="0.2">
      <c r="A102" s="47"/>
      <c r="C102" s="47"/>
      <c r="D102" s="47"/>
      <c r="E102" s="47"/>
      <c r="F102" s="47"/>
      <c r="G102" s="47"/>
      <c r="H102" s="47"/>
      <c r="I102" s="47"/>
      <c r="J102" s="47"/>
      <c r="K102" s="47"/>
      <c r="L102" s="47"/>
      <c r="M102" s="47"/>
    </row>
    <row r="103" spans="1:13" x14ac:dyDescent="0.2">
      <c r="A103" s="47"/>
      <c r="C103" s="47"/>
      <c r="D103" s="47"/>
      <c r="E103" s="47"/>
      <c r="F103" s="47"/>
      <c r="G103" s="47"/>
      <c r="H103" s="47"/>
      <c r="I103" s="47"/>
      <c r="J103" s="47"/>
      <c r="K103" s="47"/>
      <c r="L103" s="47"/>
      <c r="M103" s="47"/>
    </row>
    <row r="104" spans="1:13" x14ac:dyDescent="0.2">
      <c r="A104" s="47"/>
      <c r="C104" s="47"/>
      <c r="D104" s="47"/>
      <c r="E104" s="47"/>
      <c r="F104" s="47"/>
      <c r="G104" s="47"/>
      <c r="H104" s="47"/>
      <c r="I104" s="47"/>
      <c r="J104" s="47"/>
      <c r="K104" s="47"/>
      <c r="L104" s="47"/>
      <c r="M104" s="47"/>
    </row>
    <row r="105" spans="1:13" x14ac:dyDescent="0.2">
      <c r="A105" s="47"/>
      <c r="C105" s="47"/>
      <c r="D105" s="47"/>
      <c r="E105" s="47"/>
      <c r="F105" s="47"/>
      <c r="G105" s="47"/>
      <c r="H105" s="47"/>
      <c r="I105" s="47"/>
      <c r="J105" s="47"/>
      <c r="K105" s="47"/>
      <c r="L105" s="47"/>
      <c r="M105" s="47"/>
    </row>
    <row r="106" spans="1:13" x14ac:dyDescent="0.2">
      <c r="A106" s="47"/>
      <c r="C106" s="47"/>
      <c r="D106" s="47"/>
      <c r="E106" s="47"/>
      <c r="F106" s="47"/>
      <c r="G106" s="47"/>
      <c r="H106" s="47"/>
      <c r="I106" s="47"/>
      <c r="J106" s="47"/>
      <c r="K106" s="47"/>
      <c r="L106" s="47"/>
      <c r="M106" s="47"/>
    </row>
    <row r="107" spans="1:13" x14ac:dyDescent="0.2">
      <c r="A107" s="47"/>
      <c r="C107" s="47"/>
      <c r="D107" s="47"/>
      <c r="E107" s="47"/>
      <c r="F107" s="47"/>
      <c r="G107" s="47"/>
      <c r="H107" s="47"/>
      <c r="I107" s="47"/>
      <c r="J107" s="47"/>
      <c r="K107" s="47"/>
      <c r="L107" s="47"/>
      <c r="M107" s="47"/>
    </row>
    <row r="108" spans="1:13" x14ac:dyDescent="0.2">
      <c r="A108" s="47"/>
      <c r="C108" s="47"/>
      <c r="D108" s="47"/>
      <c r="E108" s="47"/>
      <c r="F108" s="47"/>
      <c r="G108" s="47"/>
      <c r="H108" s="47"/>
      <c r="I108" s="47"/>
      <c r="J108" s="47"/>
      <c r="K108" s="47"/>
      <c r="L108" s="47"/>
      <c r="M108" s="47"/>
    </row>
    <row r="109" spans="1:13" x14ac:dyDescent="0.2">
      <c r="A109" s="47"/>
      <c r="C109" s="47"/>
      <c r="D109" s="47"/>
      <c r="E109" s="47"/>
      <c r="F109" s="47"/>
      <c r="G109" s="47"/>
      <c r="H109" s="47"/>
      <c r="I109" s="47"/>
      <c r="J109" s="47"/>
      <c r="K109" s="47"/>
      <c r="L109" s="47"/>
      <c r="M109" s="47"/>
    </row>
    <row r="110" spans="1:13" x14ac:dyDescent="0.2">
      <c r="A110" s="47"/>
      <c r="C110" s="47"/>
      <c r="D110" s="47"/>
      <c r="E110" s="47"/>
      <c r="F110" s="47"/>
      <c r="G110" s="47"/>
      <c r="H110" s="47"/>
      <c r="I110" s="47"/>
      <c r="J110" s="47"/>
      <c r="K110" s="47"/>
      <c r="L110" s="47"/>
      <c r="M110" s="47"/>
    </row>
    <row r="111" spans="1:13" x14ac:dyDescent="0.2">
      <c r="A111" s="47"/>
      <c r="C111" s="47"/>
      <c r="D111" s="47"/>
      <c r="E111" s="47"/>
      <c r="F111" s="47"/>
      <c r="G111" s="47"/>
      <c r="H111" s="47"/>
      <c r="I111" s="47"/>
      <c r="J111" s="47"/>
      <c r="K111" s="47"/>
      <c r="L111" s="47"/>
      <c r="M111" s="47"/>
    </row>
    <row r="112" spans="1:13" x14ac:dyDescent="0.2">
      <c r="A112" s="47"/>
      <c r="C112" s="47"/>
      <c r="D112" s="47"/>
      <c r="E112" s="47"/>
      <c r="F112" s="47"/>
      <c r="G112" s="47"/>
      <c r="H112" s="47"/>
      <c r="I112" s="47"/>
      <c r="J112" s="47"/>
      <c r="K112" s="47"/>
      <c r="L112" s="47"/>
      <c r="M112" s="47"/>
    </row>
    <row r="113" spans="1:13" x14ac:dyDescent="0.2">
      <c r="A113" s="47"/>
      <c r="C113" s="47"/>
      <c r="D113" s="47"/>
      <c r="E113" s="47"/>
      <c r="F113" s="47"/>
      <c r="G113" s="47"/>
      <c r="H113" s="47"/>
      <c r="I113" s="47"/>
      <c r="J113" s="47"/>
      <c r="K113" s="47"/>
      <c r="L113" s="47"/>
      <c r="M113" s="47"/>
    </row>
    <row r="114" spans="1:13" x14ac:dyDescent="0.2">
      <c r="A114" s="47"/>
      <c r="C114" s="47"/>
      <c r="D114" s="47"/>
      <c r="E114" s="47"/>
      <c r="F114" s="47"/>
      <c r="G114" s="47"/>
      <c r="H114" s="47"/>
      <c r="I114" s="47"/>
      <c r="J114" s="47"/>
      <c r="K114" s="47"/>
      <c r="L114" s="47"/>
      <c r="M114" s="47"/>
    </row>
    <row r="115" spans="1:13" x14ac:dyDescent="0.2">
      <c r="A115" s="47"/>
      <c r="C115" s="47"/>
      <c r="D115" s="47"/>
      <c r="E115" s="47"/>
      <c r="F115" s="47"/>
      <c r="G115" s="47"/>
      <c r="H115" s="47"/>
      <c r="I115" s="47"/>
      <c r="J115" s="47"/>
      <c r="K115" s="47"/>
      <c r="L115" s="47"/>
      <c r="M115" s="47"/>
    </row>
    <row r="116" spans="1:13" x14ac:dyDescent="0.2">
      <c r="A116" s="47"/>
      <c r="C116" s="47"/>
      <c r="D116" s="47"/>
      <c r="E116" s="47"/>
      <c r="F116" s="47"/>
      <c r="G116" s="47"/>
      <c r="H116" s="47"/>
      <c r="I116" s="47"/>
      <c r="J116" s="47"/>
      <c r="K116" s="47"/>
      <c r="L116" s="47"/>
      <c r="M116" s="47"/>
    </row>
    <row r="117" spans="1:13" x14ac:dyDescent="0.2">
      <c r="A117" s="47"/>
      <c r="C117" s="47"/>
      <c r="D117" s="47"/>
      <c r="E117" s="47"/>
      <c r="F117" s="47"/>
      <c r="G117" s="47"/>
      <c r="H117" s="47"/>
      <c r="I117" s="47"/>
      <c r="J117" s="47"/>
      <c r="K117" s="47"/>
      <c r="L117" s="47"/>
      <c r="M117" s="47"/>
    </row>
    <row r="118" spans="1:13" x14ac:dyDescent="0.2">
      <c r="A118" s="47"/>
      <c r="C118" s="47"/>
      <c r="D118" s="47"/>
      <c r="E118" s="47"/>
      <c r="F118" s="47"/>
      <c r="G118" s="47"/>
      <c r="H118" s="47"/>
      <c r="I118" s="47"/>
      <c r="J118" s="47"/>
      <c r="K118" s="47"/>
      <c r="L118" s="47"/>
      <c r="M118" s="47"/>
    </row>
  </sheetData>
  <pageMargins left="0.5" right="0.5" top="0.75" bottom="0.75" header="0.5" footer="0.5"/>
  <pageSetup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8"/>
  <sheetViews>
    <sheetView showGridLines="0" zoomScaleNormal="100" workbookViewId="0">
      <selection activeCell="H35" sqref="H35"/>
    </sheetView>
  </sheetViews>
  <sheetFormatPr defaultRowHeight="12.75" x14ac:dyDescent="0.2"/>
  <cols>
    <col min="2" max="2" width="2.5703125" customWidth="1"/>
    <col min="3" max="12" width="11.7109375" customWidth="1"/>
    <col min="13" max="13" width="2.7109375" customWidth="1"/>
    <col min="14" max="14" width="11.7109375" customWidth="1"/>
    <col min="15" max="15" width="14.85546875" bestFit="1" customWidth="1"/>
  </cols>
  <sheetData>
    <row r="1" spans="1:16" x14ac:dyDescent="0.2">
      <c r="A1" s="39" t="str">
        <f>"Multi-Family Tonnages by Commodity ("&amp;TEXT(A6,"mmmm yyyy")&amp;" through "&amp;TEXT(A17,"mmmm yyyy")&amp;")"</f>
        <v>Multi-Family Tonnages by Commodity (May 2017 through April 2018)</v>
      </c>
      <c r="B1" s="40"/>
    </row>
    <row r="2" spans="1:16" x14ac:dyDescent="0.2">
      <c r="A2" s="41" t="s">
        <v>130</v>
      </c>
      <c r="B2" s="41"/>
    </row>
    <row r="3" spans="1:16" x14ac:dyDescent="0.2">
      <c r="A3" s="40"/>
      <c r="B3" s="42"/>
      <c r="C3" s="43" t="s">
        <v>19</v>
      </c>
      <c r="D3" s="43" t="s">
        <v>20</v>
      </c>
      <c r="E3" s="43" t="s">
        <v>111</v>
      </c>
      <c r="F3" s="43" t="s">
        <v>21</v>
      </c>
      <c r="G3" s="43" t="s">
        <v>22</v>
      </c>
      <c r="H3" s="43" t="s">
        <v>23</v>
      </c>
      <c r="I3" s="43" t="s">
        <v>24</v>
      </c>
      <c r="J3" s="43" t="s">
        <v>25</v>
      </c>
      <c r="K3" s="43" t="s">
        <v>26</v>
      </c>
      <c r="L3" s="43" t="s">
        <v>27</v>
      </c>
      <c r="M3" s="43"/>
      <c r="N3" s="43" t="s">
        <v>28</v>
      </c>
    </row>
    <row r="4" spans="1:16" s="45" customFormat="1" x14ac:dyDescent="0.2">
      <c r="A4" s="44"/>
      <c r="B4" s="44"/>
      <c r="D4" s="257"/>
      <c r="E4" s="257"/>
    </row>
    <row r="5" spans="1:16" x14ac:dyDescent="0.2">
      <c r="A5" s="46"/>
      <c r="B5" s="47"/>
      <c r="C5" s="48"/>
      <c r="D5" s="48"/>
      <c r="E5" s="48"/>
      <c r="F5" s="48"/>
      <c r="G5" s="48"/>
      <c r="H5" s="48"/>
      <c r="I5" s="48"/>
      <c r="J5" s="48"/>
      <c r="L5" s="47"/>
      <c r="M5" s="45"/>
      <c r="N5" s="48" t="s">
        <v>29</v>
      </c>
    </row>
    <row r="6" spans="1:16" x14ac:dyDescent="0.2">
      <c r="A6" s="250">
        <f>'Multi_Family (3)'!$C$6</f>
        <v>42856</v>
      </c>
      <c r="B6" s="47" t="s">
        <v>124</v>
      </c>
      <c r="C6" s="226">
        <f>'Multi_Family (3)'!C32</f>
        <v>0.62760000000000005</v>
      </c>
      <c r="D6" s="227">
        <f>'Multi_Family (3)'!C34</f>
        <v>14.794624000000002</v>
      </c>
      <c r="E6" s="226">
        <f>'Multi_Family (3)'!C35</f>
        <v>0</v>
      </c>
      <c r="F6" s="226">
        <f>'Multi_Family (3)'!C30</f>
        <v>1.3807200000000002</v>
      </c>
      <c r="G6" s="226">
        <f>'Multi_Family (3)'!C27</f>
        <v>16.317600000000002</v>
      </c>
      <c r="H6" s="226">
        <f>'Multi_Family (3)'!C37</f>
        <v>26.928224</v>
      </c>
      <c r="I6" s="226">
        <f>'Multi_Family (3)'!C31/2</f>
        <v>1.8786160000000003</v>
      </c>
      <c r="J6" s="226">
        <f>'Multi_Family (3)'!C31/2</f>
        <v>1.8786160000000003</v>
      </c>
      <c r="K6" s="226">
        <f>'Multi_Family (3)'!C28</f>
        <v>14.911776000000001</v>
      </c>
      <c r="L6" s="226">
        <f>'Multi_Family (3)'!C36</f>
        <v>4.9622240000000115</v>
      </c>
      <c r="M6" s="45"/>
      <c r="N6" s="117">
        <f t="shared" ref="N6:N17" si="0">SUM(C6:L6)</f>
        <v>83.680000000000021</v>
      </c>
      <c r="O6" s="57"/>
      <c r="P6" s="49"/>
    </row>
    <row r="7" spans="1:16" x14ac:dyDescent="0.2">
      <c r="A7" s="46">
        <f t="shared" ref="A7:A17" si="1">EOMONTH(A6,1)</f>
        <v>42916</v>
      </c>
      <c r="B7" s="47" t="s">
        <v>123</v>
      </c>
      <c r="C7" s="226">
        <f>'Multi_Family (3)'!D32</f>
        <v>0.64282499999999998</v>
      </c>
      <c r="D7" s="227">
        <f>'Multi_Family (3)'!D34</f>
        <v>15.153528</v>
      </c>
      <c r="E7" s="226">
        <f>'Multi_Family (3)'!D35</f>
        <v>0</v>
      </c>
      <c r="F7" s="226">
        <f>'Multi_Family (3)'!D30</f>
        <v>1.414215</v>
      </c>
      <c r="G7" s="226">
        <f>'Multi_Family (3)'!D27</f>
        <v>16.713449999999998</v>
      </c>
      <c r="H7" s="226">
        <f>'Multi_Family (3)'!D37</f>
        <v>27.581477999999997</v>
      </c>
      <c r="I7" s="226">
        <f>'Multi_Family (3)'!D31/2</f>
        <v>1.9241895</v>
      </c>
      <c r="J7" s="226">
        <f>'Multi_Family (3)'!D31/2</f>
        <v>1.9241895</v>
      </c>
      <c r="K7" s="226">
        <f>'Multi_Family (3)'!D28</f>
        <v>15.273521999999998</v>
      </c>
      <c r="L7" s="226">
        <f>'Multi_Family (3)'!D36</f>
        <v>5.0826030000000104</v>
      </c>
      <c r="M7" s="45"/>
      <c r="N7" s="117">
        <f t="shared" si="0"/>
        <v>85.71</v>
      </c>
      <c r="P7" s="49"/>
    </row>
    <row r="8" spans="1:16" x14ac:dyDescent="0.2">
      <c r="A8" s="46">
        <f t="shared" si="1"/>
        <v>42947</v>
      </c>
      <c r="B8" s="47" t="s">
        <v>122</v>
      </c>
      <c r="C8" s="226">
        <f>'Multi_Family (3)'!E32</f>
        <v>0.58867499999999995</v>
      </c>
      <c r="D8" s="227">
        <f>'Multi_Family (3)'!E34</f>
        <v>13.877032</v>
      </c>
      <c r="E8" s="226">
        <f>'Multi_Family (3)'!E35</f>
        <v>0</v>
      </c>
      <c r="F8" s="226">
        <f>'Multi_Family (3)'!E30</f>
        <v>1.295085</v>
      </c>
      <c r="G8" s="226">
        <f>'Multi_Family (3)'!E27</f>
        <v>15.30555</v>
      </c>
      <c r="H8" s="226">
        <f>'Multi_Family (3)'!E37</f>
        <v>25.258081999999998</v>
      </c>
      <c r="I8" s="226">
        <f>'Multi_Family (3)'!E31/2</f>
        <v>1.7621005000000001</v>
      </c>
      <c r="J8" s="226">
        <f>'Multi_Family (3)'!E31/2</f>
        <v>1.7621005000000001</v>
      </c>
      <c r="K8" s="226">
        <f>'Multi_Family (3)'!E28</f>
        <v>13.986917999999999</v>
      </c>
      <c r="L8" s="226">
        <f>'Multi_Family (3)'!E36</f>
        <v>4.6544570000000096</v>
      </c>
      <c r="M8" s="45"/>
      <c r="N8" s="117">
        <f t="shared" si="0"/>
        <v>78.490000000000009</v>
      </c>
      <c r="P8" s="49"/>
    </row>
    <row r="9" spans="1:16" x14ac:dyDescent="0.2">
      <c r="A9" s="46">
        <f t="shared" si="1"/>
        <v>42978</v>
      </c>
      <c r="B9" s="47" t="s">
        <v>121</v>
      </c>
      <c r="C9" s="226">
        <f>'Multi_Family (3)'!F32</f>
        <v>0.72465000000000002</v>
      </c>
      <c r="D9" s="227">
        <f>'Multi_Family (3)'!F34</f>
        <v>17.082416000000002</v>
      </c>
      <c r="E9" s="226">
        <f>'Multi_Family (3)'!F35</f>
        <v>0</v>
      </c>
      <c r="F9" s="226">
        <f>'Multi_Family (3)'!F30</f>
        <v>1.5942300000000003</v>
      </c>
      <c r="G9" s="226">
        <f>'Multi_Family (3)'!F27</f>
        <v>18.840900000000001</v>
      </c>
      <c r="H9" s="226">
        <f>'Multi_Family (3)'!F37</f>
        <v>31.092316</v>
      </c>
      <c r="I9" s="226">
        <f>'Multi_Family (3)'!F31/2</f>
        <v>2.1691190000000002</v>
      </c>
      <c r="J9" s="226">
        <f>'Multi_Family (3)'!F31/2</f>
        <v>2.1691190000000002</v>
      </c>
      <c r="K9" s="226">
        <f>'Multi_Family (3)'!F28</f>
        <v>17.217684000000002</v>
      </c>
      <c r="L9" s="226">
        <f>'Multi_Family (3)'!F36</f>
        <v>5.7295660000000126</v>
      </c>
      <c r="M9" s="45"/>
      <c r="N9" s="117">
        <f t="shared" si="0"/>
        <v>96.62</v>
      </c>
      <c r="P9" s="49"/>
    </row>
    <row r="10" spans="1:16" x14ac:dyDescent="0.2">
      <c r="A10" s="46">
        <f t="shared" si="1"/>
        <v>43008</v>
      </c>
      <c r="B10" s="47" t="s">
        <v>120</v>
      </c>
      <c r="C10" s="226">
        <f>'Multi_Family (3)'!G32</f>
        <v>0.637575</v>
      </c>
      <c r="D10" s="227">
        <f>'Multi_Family (3)'!G34</f>
        <v>15.029768000000002</v>
      </c>
      <c r="E10" s="226">
        <f>'Multi_Family (3)'!G35</f>
        <v>0</v>
      </c>
      <c r="F10" s="226">
        <f>'Multi_Family (3)'!G30</f>
        <v>1.4026650000000001</v>
      </c>
      <c r="G10" s="226">
        <f>'Multi_Family (3)'!G27</f>
        <v>16.57695</v>
      </c>
      <c r="H10" s="226">
        <f>'Multi_Family (3)'!G37</f>
        <v>27.356217999999998</v>
      </c>
      <c r="I10" s="226">
        <f>'Multi_Family (3)'!G31/2</f>
        <v>1.9084745000000003</v>
      </c>
      <c r="J10" s="226">
        <f>'Multi_Family (3)'!G31/2</f>
        <v>1.9084745000000003</v>
      </c>
      <c r="K10" s="226">
        <f>'Multi_Family (3)'!G28</f>
        <v>15.148782000000001</v>
      </c>
      <c r="L10" s="226">
        <f>'Multi_Family (3)'!G36</f>
        <v>5.0410930000000116</v>
      </c>
      <c r="M10" s="45"/>
      <c r="N10" s="117">
        <f t="shared" si="0"/>
        <v>85.01</v>
      </c>
      <c r="P10" s="49"/>
    </row>
    <row r="11" spans="1:16" x14ac:dyDescent="0.2">
      <c r="A11" s="46">
        <f t="shared" si="1"/>
        <v>43039</v>
      </c>
      <c r="B11" s="47" t="s">
        <v>119</v>
      </c>
      <c r="C11" s="226">
        <f>'Multi_Family (3)'!H32</f>
        <v>0.68032499999999996</v>
      </c>
      <c r="D11" s="227">
        <f>'Multi_Family (3)'!H34</f>
        <v>16.037528000000002</v>
      </c>
      <c r="E11" s="226">
        <f>'Multi_Family (3)'!H35</f>
        <v>0</v>
      </c>
      <c r="F11" s="226">
        <f>'Multi_Family (3)'!H30</f>
        <v>1.496715</v>
      </c>
      <c r="G11" s="226">
        <f>'Multi_Family (3)'!H27</f>
        <v>17.68845</v>
      </c>
      <c r="H11" s="226">
        <f>'Multi_Family (3)'!H37</f>
        <v>29.190477999999995</v>
      </c>
      <c r="I11" s="226">
        <f>'Multi_Family (3)'!H31/2</f>
        <v>2.0364395000000002</v>
      </c>
      <c r="J11" s="226">
        <f>'Multi_Family (3)'!H31/2</f>
        <v>2.0364395000000002</v>
      </c>
      <c r="K11" s="226">
        <f>'Multi_Family (3)'!H28</f>
        <v>16.164521999999998</v>
      </c>
      <c r="L11" s="226">
        <f>'Multi_Family (3)'!H36</f>
        <v>5.3791030000000113</v>
      </c>
      <c r="M11" s="45"/>
      <c r="N11" s="117">
        <f t="shared" si="0"/>
        <v>90.710000000000008</v>
      </c>
      <c r="P11" s="49"/>
    </row>
    <row r="12" spans="1:16" x14ac:dyDescent="0.2">
      <c r="A12" s="46">
        <f t="shared" si="1"/>
        <v>43069</v>
      </c>
      <c r="B12" s="47" t="s">
        <v>118</v>
      </c>
      <c r="C12" s="226">
        <f>'Multi_Family (3)'!I32</f>
        <v>0.73732500000000001</v>
      </c>
      <c r="D12" s="227">
        <f>'Multi_Family (3)'!I34</f>
        <v>17.381208000000001</v>
      </c>
      <c r="E12" s="226">
        <f>'Multi_Family (3)'!I35</f>
        <v>0</v>
      </c>
      <c r="F12" s="226">
        <f>'Multi_Family (3)'!I30</f>
        <v>1.6221150000000002</v>
      </c>
      <c r="G12" s="226">
        <f>'Multi_Family (3)'!I27</f>
        <v>19.170450000000002</v>
      </c>
      <c r="H12" s="226">
        <f>'Multi_Family (3)'!I37</f>
        <v>31.636157999999998</v>
      </c>
      <c r="I12" s="226">
        <f>'Multi_Family (3)'!I31/2</f>
        <v>2.2070595000000002</v>
      </c>
      <c r="J12" s="226">
        <f>'Multi_Family (3)'!I31/2</f>
        <v>2.2070595000000002</v>
      </c>
      <c r="K12" s="226">
        <f>'Multi_Family (3)'!I28</f>
        <v>17.518841999999999</v>
      </c>
      <c r="L12" s="226">
        <f>'Multi_Family (3)'!I36</f>
        <v>5.8297830000000133</v>
      </c>
      <c r="M12" s="45"/>
      <c r="N12" s="117">
        <f t="shared" si="0"/>
        <v>98.310000000000031</v>
      </c>
      <c r="P12" s="49"/>
    </row>
    <row r="13" spans="1:16" s="244" customFormat="1" x14ac:dyDescent="0.2">
      <c r="A13" s="248">
        <f t="shared" si="1"/>
        <v>43100</v>
      </c>
      <c r="B13" s="247" t="s">
        <v>117</v>
      </c>
      <c r="C13" s="255">
        <f>'Multi_Family (3)'!J32</f>
        <v>0.66967500000000002</v>
      </c>
      <c r="D13" s="256">
        <f>'Multi_Family (3)'!J34</f>
        <v>15.786472000000002</v>
      </c>
      <c r="E13" s="255">
        <f>'Multi_Family (3)'!J35</f>
        <v>0</v>
      </c>
      <c r="F13" s="255">
        <f>'Multi_Family (3)'!J30</f>
        <v>1.4732850000000002</v>
      </c>
      <c r="G13" s="255">
        <f>'Multi_Family (3)'!J27</f>
        <v>17.411550000000002</v>
      </c>
      <c r="H13" s="255">
        <f>'Multi_Family (3)'!J37</f>
        <v>28.733522000000001</v>
      </c>
      <c r="I13" s="255">
        <f>'Multi_Family (3)'!J31/2</f>
        <v>2.0045605000000002</v>
      </c>
      <c r="J13" s="255">
        <f>'Multi_Family (3)'!J31/2</f>
        <v>2.0045605000000002</v>
      </c>
      <c r="K13" s="255">
        <f>'Multi_Family (3)'!J28</f>
        <v>15.911478000000001</v>
      </c>
      <c r="L13" s="255">
        <f>'Multi_Family (3)'!J36</f>
        <v>5.2948970000000122</v>
      </c>
      <c r="M13" s="254"/>
      <c r="N13" s="253">
        <f t="shared" si="0"/>
        <v>89.29</v>
      </c>
      <c r="P13" s="252"/>
    </row>
    <row r="14" spans="1:16" x14ac:dyDescent="0.2">
      <c r="A14" s="46">
        <f t="shared" si="1"/>
        <v>43131</v>
      </c>
      <c r="B14" s="47" t="s">
        <v>116</v>
      </c>
      <c r="C14" s="226">
        <f>'Multi_Family (3)'!K32</f>
        <v>0.79710000000000003</v>
      </c>
      <c r="D14" s="227">
        <f>'Multi_Family (3)'!K34</f>
        <v>18.790304000000003</v>
      </c>
      <c r="E14" s="226">
        <f>'Multi_Family (3)'!K35</f>
        <v>0</v>
      </c>
      <c r="F14" s="226">
        <f>'Multi_Family (3)'!K30</f>
        <v>1.7536200000000002</v>
      </c>
      <c r="G14" s="226">
        <f>'Multi_Family (3)'!K27</f>
        <v>20.724600000000002</v>
      </c>
      <c r="H14" s="226">
        <f>'Multi_Family (3)'!K37</f>
        <v>34.200903999999994</v>
      </c>
      <c r="I14" s="226">
        <f>'Multi_Family (3)'!K31/2</f>
        <v>2.3859859999999999</v>
      </c>
      <c r="J14" s="226">
        <f>'Multi_Family (3)'!K31/2</f>
        <v>2.3859859999999999</v>
      </c>
      <c r="K14" s="226">
        <f>'Multi_Family (3)'!K28</f>
        <v>18.939095999999999</v>
      </c>
      <c r="L14" s="226">
        <f>'Multi_Family (3)'!K36</f>
        <v>6.3024040000000143</v>
      </c>
      <c r="M14" s="45"/>
      <c r="N14" s="117">
        <f t="shared" si="0"/>
        <v>106.28000000000002</v>
      </c>
      <c r="P14" s="49"/>
    </row>
    <row r="15" spans="1:16" x14ac:dyDescent="0.2">
      <c r="A15" s="46">
        <f t="shared" si="1"/>
        <v>43159</v>
      </c>
      <c r="B15" s="47" t="s">
        <v>115</v>
      </c>
      <c r="C15" s="226">
        <f>'Multi_Family (3)'!L32</f>
        <v>0.557925</v>
      </c>
      <c r="D15" s="227">
        <f>'Multi_Family (3)'!L34</f>
        <v>13.152152000000001</v>
      </c>
      <c r="E15" s="226">
        <f>'Multi_Family (3)'!L35</f>
        <v>0</v>
      </c>
      <c r="F15" s="226">
        <f>'Multi_Family (3)'!L30</f>
        <v>1.2274350000000001</v>
      </c>
      <c r="G15" s="226">
        <f>'Multi_Family (3)'!L27</f>
        <v>14.50605</v>
      </c>
      <c r="H15" s="226">
        <f>'Multi_Family (3)'!L37</f>
        <v>23.938701999999999</v>
      </c>
      <c r="I15" s="226">
        <f>'Multi_Family (3)'!L31/2</f>
        <v>1.6700555000000001</v>
      </c>
      <c r="J15" s="226">
        <f>'Multi_Family (3)'!L31/2</f>
        <v>1.6700555000000001</v>
      </c>
      <c r="K15" s="226">
        <f>'Multi_Family (3)'!L28</f>
        <v>13.256297999999999</v>
      </c>
      <c r="L15" s="226">
        <f>'Multi_Family (3)'!L36</f>
        <v>4.4113270000000098</v>
      </c>
      <c r="M15" s="45"/>
      <c r="N15" s="117">
        <f t="shared" si="0"/>
        <v>74.390000000000015</v>
      </c>
      <c r="P15" s="49"/>
    </row>
    <row r="16" spans="1:16" x14ac:dyDescent="0.2">
      <c r="A16" s="46">
        <f t="shared" si="1"/>
        <v>43190</v>
      </c>
      <c r="B16" s="47" t="s">
        <v>114</v>
      </c>
      <c r="C16" s="226">
        <f>'Multi_Family (3)'!M32</f>
        <v>0.56857499999999994</v>
      </c>
      <c r="D16" s="227">
        <f>'Multi_Family (3)'!M34</f>
        <v>13.403208000000001</v>
      </c>
      <c r="E16" s="226">
        <f>'Multi_Family (3)'!M35</f>
        <v>0</v>
      </c>
      <c r="F16" s="226">
        <f>'Multi_Family (3)'!M30</f>
        <v>1.2508650000000001</v>
      </c>
      <c r="G16" s="226">
        <f>'Multi_Family (3)'!M27</f>
        <v>14.782950000000001</v>
      </c>
      <c r="H16" s="226">
        <f>'Multi_Family (3)'!M37</f>
        <v>24.395657999999997</v>
      </c>
      <c r="I16" s="226">
        <f>'Multi_Family (3)'!M31/2</f>
        <v>1.7019345000000001</v>
      </c>
      <c r="J16" s="226">
        <f>'Multi_Family (3)'!M31/2</f>
        <v>1.7019345000000001</v>
      </c>
      <c r="K16" s="226">
        <f>'Multi_Family (3)'!M28</f>
        <v>13.509342</v>
      </c>
      <c r="L16" s="226">
        <f>'Multi_Family (3)'!M36</f>
        <v>4.4955330000000098</v>
      </c>
      <c r="M16" s="45"/>
      <c r="N16" s="117">
        <f t="shared" si="0"/>
        <v>75.81</v>
      </c>
      <c r="P16" s="49"/>
    </row>
    <row r="17" spans="1:16" x14ac:dyDescent="0.2">
      <c r="A17" s="46">
        <f t="shared" si="1"/>
        <v>43220</v>
      </c>
      <c r="B17" s="47" t="s">
        <v>113</v>
      </c>
      <c r="C17" s="226">
        <f>'Multi_Family (3)'!N32</f>
        <v>0.70162499999999994</v>
      </c>
      <c r="D17" s="227">
        <f>'Multi_Family (3)'!N34</f>
        <v>16.539640000000002</v>
      </c>
      <c r="E17" s="226">
        <f>'Multi_Family (3)'!N35</f>
        <v>0</v>
      </c>
      <c r="F17" s="226">
        <f>'Multi_Family (3)'!N30</f>
        <v>1.5435749999999999</v>
      </c>
      <c r="G17" s="226">
        <f>'Multi_Family (3)'!N27</f>
        <v>0</v>
      </c>
      <c r="H17" s="226">
        <f>'Multi_Family (3)'!N37</f>
        <v>48.346640000000001</v>
      </c>
      <c r="I17" s="226">
        <f>'Multi_Family (3)'!N31/2</f>
        <v>2.1001975000000002</v>
      </c>
      <c r="J17" s="226">
        <f>'Multi_Family (3)'!N31/2</f>
        <v>2.1001975000000002</v>
      </c>
      <c r="K17" s="226">
        <f>'Multi_Family (3)'!N28</f>
        <v>16.67061</v>
      </c>
      <c r="L17" s="226">
        <f>'Multi_Family (3)'!N36</f>
        <v>5.5475150000000122</v>
      </c>
      <c r="M17" s="45"/>
      <c r="N17" s="117">
        <f t="shared" si="0"/>
        <v>93.55000000000004</v>
      </c>
      <c r="P17" s="49"/>
    </row>
    <row r="18" spans="1:16" x14ac:dyDescent="0.2">
      <c r="A18" s="50" t="s">
        <v>30</v>
      </c>
      <c r="B18" s="47"/>
      <c r="C18" s="61">
        <f t="shared" ref="C18:L18" si="2">SUM(C6:C17)</f>
        <v>7.9338749999999996</v>
      </c>
      <c r="D18" s="61">
        <f t="shared" si="2"/>
        <v>187.02788000000001</v>
      </c>
      <c r="E18" s="61">
        <f t="shared" si="2"/>
        <v>0</v>
      </c>
      <c r="F18" s="61">
        <f t="shared" si="2"/>
        <v>17.454525</v>
      </c>
      <c r="G18" s="61">
        <f t="shared" si="2"/>
        <v>188.0385</v>
      </c>
      <c r="H18" s="61">
        <f t="shared" si="2"/>
        <v>358.65837999999997</v>
      </c>
      <c r="I18" s="61">
        <f t="shared" si="2"/>
        <v>23.748732500000003</v>
      </c>
      <c r="J18" s="61">
        <f t="shared" si="2"/>
        <v>23.748732500000003</v>
      </c>
      <c r="K18" s="61">
        <f t="shared" si="2"/>
        <v>188.50887</v>
      </c>
      <c r="L18" s="61">
        <f t="shared" si="2"/>
        <v>62.730505000000136</v>
      </c>
      <c r="M18" s="45"/>
      <c r="N18" s="225">
        <f>SUM(N6:N17)</f>
        <v>1057.8499999999999</v>
      </c>
      <c r="O18" s="48"/>
    </row>
    <row r="19" spans="1:16" x14ac:dyDescent="0.2">
      <c r="A19" s="46"/>
      <c r="B19" s="47"/>
      <c r="C19" s="47"/>
      <c r="D19" s="47"/>
      <c r="E19" s="47"/>
      <c r="F19" s="47"/>
      <c r="G19" s="47"/>
      <c r="H19" s="47"/>
      <c r="I19" s="47"/>
      <c r="J19" s="47"/>
      <c r="K19" s="47"/>
      <c r="L19" s="47"/>
      <c r="M19" s="45"/>
      <c r="N19" s="48"/>
    </row>
    <row r="20" spans="1:16" x14ac:dyDescent="0.2">
      <c r="A20" s="39"/>
      <c r="B20" s="47"/>
      <c r="C20" s="47"/>
      <c r="D20" s="47"/>
      <c r="E20" s="47"/>
      <c r="F20" s="47"/>
      <c r="G20" s="47"/>
      <c r="H20" s="47"/>
      <c r="I20" s="47"/>
      <c r="J20" s="47"/>
      <c r="K20" s="47"/>
      <c r="L20" s="47"/>
      <c r="M20" s="45"/>
      <c r="N20" s="48"/>
    </row>
    <row r="21" spans="1:16" x14ac:dyDescent="0.2">
      <c r="A21" s="46"/>
      <c r="B21" s="47"/>
      <c r="C21" s="47"/>
      <c r="D21" s="47"/>
      <c r="E21" s="47"/>
      <c r="F21" s="47"/>
      <c r="G21" s="47"/>
      <c r="H21" s="47"/>
      <c r="I21" s="47"/>
      <c r="J21" s="47"/>
      <c r="K21" s="47"/>
      <c r="L21" s="47"/>
      <c r="M21" s="45"/>
      <c r="N21" s="48"/>
    </row>
    <row r="22" spans="1:16" x14ac:dyDescent="0.2">
      <c r="A22" s="46"/>
      <c r="B22" s="47"/>
      <c r="C22" s="47"/>
      <c r="D22" s="47"/>
      <c r="E22" s="47"/>
      <c r="F22" s="47"/>
      <c r="G22" s="47"/>
      <c r="H22" s="47"/>
      <c r="I22" s="47"/>
      <c r="J22" s="47"/>
      <c r="K22" s="47"/>
      <c r="L22" s="47"/>
      <c r="M22" s="45"/>
      <c r="N22" s="48"/>
    </row>
    <row r="23" spans="1:16" x14ac:dyDescent="0.2">
      <c r="A23" s="47"/>
      <c r="B23" s="47"/>
      <c r="C23" s="47"/>
      <c r="D23" s="47"/>
      <c r="E23" s="47"/>
      <c r="F23" s="47"/>
      <c r="G23" s="47"/>
      <c r="H23" s="47"/>
      <c r="I23" s="47"/>
      <c r="J23" s="47"/>
      <c r="K23" s="47"/>
      <c r="L23" s="47"/>
      <c r="M23" s="45"/>
      <c r="N23" s="48"/>
    </row>
    <row r="24" spans="1:16" x14ac:dyDescent="0.2">
      <c r="A24" s="47"/>
      <c r="B24" s="47"/>
      <c r="C24" s="47"/>
      <c r="D24" s="47"/>
      <c r="E24" s="47"/>
      <c r="F24" s="47"/>
      <c r="G24" s="47"/>
      <c r="H24" s="47"/>
      <c r="I24" s="47"/>
      <c r="J24" s="47"/>
      <c r="K24" s="47"/>
      <c r="L24" s="47"/>
      <c r="M24" s="45"/>
      <c r="N24" s="48"/>
    </row>
    <row r="25" spans="1:16" x14ac:dyDescent="0.2">
      <c r="A25" s="47"/>
      <c r="B25" s="47"/>
      <c r="C25" s="47"/>
      <c r="E25" s="47"/>
      <c r="F25" s="47"/>
      <c r="G25" s="47"/>
      <c r="H25" s="47"/>
      <c r="I25" s="47"/>
      <c r="J25" s="47"/>
      <c r="K25" s="47"/>
      <c r="L25" s="47"/>
      <c r="M25" s="45"/>
      <c r="N25" s="48"/>
    </row>
    <row r="26" spans="1:16" x14ac:dyDescent="0.2">
      <c r="A26" s="47"/>
      <c r="B26" s="47"/>
      <c r="C26" s="47"/>
      <c r="D26" s="47"/>
      <c r="E26" s="47"/>
      <c r="F26" s="47"/>
      <c r="G26" s="47"/>
      <c r="H26" s="47"/>
      <c r="I26" s="47"/>
      <c r="J26" s="47"/>
      <c r="K26" s="47"/>
      <c r="L26" s="47"/>
      <c r="M26" s="45"/>
      <c r="N26" s="48"/>
    </row>
    <row r="27" spans="1:16" x14ac:dyDescent="0.2">
      <c r="A27" s="47"/>
      <c r="B27" s="47"/>
      <c r="C27" s="47"/>
      <c r="D27" s="47"/>
      <c r="E27" s="47"/>
      <c r="F27" s="47"/>
      <c r="G27" s="47"/>
      <c r="H27" s="47"/>
      <c r="I27" s="47"/>
      <c r="J27" s="47"/>
      <c r="K27" s="47"/>
      <c r="L27" s="47"/>
      <c r="M27" s="45"/>
      <c r="N27" s="48"/>
    </row>
    <row r="28" spans="1:16" x14ac:dyDescent="0.2">
      <c r="A28" s="47"/>
      <c r="B28" s="47"/>
      <c r="C28" s="47"/>
      <c r="D28" s="47"/>
      <c r="E28" s="47"/>
      <c r="F28" s="47"/>
      <c r="G28" s="47"/>
      <c r="H28" s="47"/>
      <c r="I28" s="47"/>
      <c r="J28" s="47"/>
      <c r="K28" s="47"/>
      <c r="L28" s="47"/>
      <c r="M28" s="45"/>
      <c r="N28" s="47"/>
    </row>
    <row r="29" spans="1:16" x14ac:dyDescent="0.2">
      <c r="A29" s="47"/>
      <c r="B29" s="47"/>
      <c r="C29" s="47"/>
      <c r="D29" s="47"/>
      <c r="E29" s="47"/>
      <c r="F29" s="47"/>
      <c r="G29" s="47"/>
      <c r="H29" s="47"/>
      <c r="I29" s="47"/>
      <c r="J29" s="47"/>
      <c r="K29" s="47"/>
      <c r="L29" s="47"/>
      <c r="M29" s="45"/>
      <c r="N29" s="47"/>
    </row>
    <row r="30" spans="1:16" x14ac:dyDescent="0.2">
      <c r="A30" s="47"/>
      <c r="B30" s="47"/>
      <c r="C30" s="47"/>
      <c r="D30" s="47"/>
      <c r="E30" s="47"/>
      <c r="F30" s="47"/>
      <c r="G30" s="47"/>
      <c r="H30" s="47"/>
      <c r="I30" s="47"/>
      <c r="J30" s="47"/>
      <c r="K30" s="47"/>
      <c r="L30" s="47"/>
      <c r="M30" s="45"/>
      <c r="N30" s="47"/>
    </row>
    <row r="31" spans="1:16" x14ac:dyDescent="0.2">
      <c r="A31" s="47"/>
      <c r="B31" s="47"/>
      <c r="C31" s="47"/>
      <c r="D31" s="47"/>
      <c r="E31" s="47"/>
      <c r="F31" s="47"/>
      <c r="G31" s="47"/>
      <c r="H31" s="47"/>
      <c r="I31" s="47"/>
      <c r="J31" s="47"/>
      <c r="K31" s="47"/>
      <c r="L31" s="47"/>
      <c r="M31" s="45"/>
      <c r="N31" s="47"/>
    </row>
    <row r="32" spans="1:16" x14ac:dyDescent="0.2">
      <c r="A32" s="47"/>
      <c r="B32" s="47"/>
      <c r="C32" s="47"/>
      <c r="D32" s="47"/>
      <c r="E32" s="47"/>
      <c r="F32" s="47"/>
      <c r="G32" s="47"/>
      <c r="H32" s="47"/>
      <c r="I32" s="47"/>
      <c r="J32" s="47"/>
      <c r="K32" s="47"/>
      <c r="L32" s="47"/>
      <c r="M32" s="45"/>
      <c r="N32" s="47"/>
    </row>
    <row r="33" spans="1:14" x14ac:dyDescent="0.2">
      <c r="A33" s="47"/>
      <c r="B33" s="47"/>
      <c r="C33" s="47"/>
      <c r="D33" s="47"/>
      <c r="E33" s="47"/>
      <c r="F33" s="47"/>
      <c r="G33" s="47"/>
      <c r="H33" s="47"/>
      <c r="I33" s="47"/>
      <c r="J33" s="47"/>
      <c r="K33" s="47"/>
      <c r="L33" s="47"/>
      <c r="M33" s="45"/>
      <c r="N33" s="47"/>
    </row>
    <row r="34" spans="1:14" x14ac:dyDescent="0.2">
      <c r="A34" s="47"/>
      <c r="B34" s="47"/>
      <c r="C34" s="47"/>
      <c r="D34" s="47"/>
      <c r="E34" s="47"/>
      <c r="F34" s="47"/>
      <c r="G34" s="47"/>
      <c r="H34" s="47"/>
      <c r="I34" s="47"/>
      <c r="J34" s="47"/>
      <c r="K34" s="47"/>
      <c r="L34" s="47"/>
      <c r="M34" s="45"/>
      <c r="N34" s="47"/>
    </row>
    <row r="35" spans="1:14" x14ac:dyDescent="0.2">
      <c r="A35" s="47"/>
      <c r="B35" s="47"/>
      <c r="C35" s="47"/>
      <c r="D35" s="47"/>
      <c r="E35" s="47"/>
      <c r="F35" s="47"/>
      <c r="G35" s="47"/>
      <c r="H35" s="47"/>
      <c r="I35" s="47"/>
      <c r="J35" s="47"/>
      <c r="K35" s="47"/>
      <c r="L35" s="47"/>
      <c r="M35" s="45"/>
      <c r="N35" s="47"/>
    </row>
    <row r="36" spans="1:14" x14ac:dyDescent="0.2">
      <c r="A36" s="47"/>
      <c r="B36" s="47"/>
      <c r="C36" s="47"/>
      <c r="D36" s="47"/>
      <c r="E36" s="47"/>
      <c r="F36" s="47"/>
      <c r="G36" s="47"/>
      <c r="H36" s="47"/>
      <c r="I36" s="47"/>
      <c r="J36" s="47"/>
      <c r="K36" s="47"/>
      <c r="L36" s="47"/>
      <c r="M36" s="45"/>
      <c r="N36" s="47"/>
    </row>
    <row r="37" spans="1:14" x14ac:dyDescent="0.2">
      <c r="A37" s="47"/>
      <c r="B37" s="47"/>
      <c r="C37" s="47"/>
      <c r="D37" s="47"/>
      <c r="E37" s="47"/>
      <c r="F37" s="47"/>
      <c r="G37" s="47"/>
      <c r="H37" s="47"/>
      <c r="I37" s="47"/>
      <c r="J37" s="47"/>
      <c r="K37" s="47"/>
      <c r="L37" s="47"/>
      <c r="M37" s="45"/>
      <c r="N37" s="47"/>
    </row>
    <row r="38" spans="1:14" x14ac:dyDescent="0.2">
      <c r="A38" s="47"/>
      <c r="B38" s="47"/>
      <c r="C38" s="47"/>
      <c r="D38" s="47"/>
      <c r="E38" s="47"/>
      <c r="F38" s="47"/>
      <c r="G38" s="47"/>
      <c r="H38" s="47"/>
      <c r="I38" s="47"/>
      <c r="J38" s="47"/>
      <c r="K38" s="47"/>
      <c r="L38" s="47"/>
      <c r="M38" s="45"/>
      <c r="N38" s="47"/>
    </row>
    <row r="39" spans="1:14" x14ac:dyDescent="0.2">
      <c r="A39" s="47"/>
      <c r="B39" s="47"/>
      <c r="C39" s="47"/>
      <c r="D39" s="47"/>
      <c r="E39" s="47"/>
      <c r="F39" s="47"/>
      <c r="G39" s="47"/>
      <c r="H39" s="47"/>
      <c r="I39" s="47"/>
      <c r="J39" s="47"/>
      <c r="K39" s="47"/>
      <c r="L39" s="47"/>
      <c r="M39" s="47"/>
      <c r="N39" s="47"/>
    </row>
    <row r="40" spans="1:14" x14ac:dyDescent="0.2">
      <c r="A40" s="47"/>
      <c r="B40" s="47"/>
      <c r="C40" s="47"/>
      <c r="D40" s="47"/>
      <c r="E40" s="47"/>
      <c r="F40" s="47"/>
      <c r="G40" s="47"/>
      <c r="H40" s="47"/>
      <c r="I40" s="47"/>
      <c r="J40" s="47"/>
      <c r="K40" s="47"/>
      <c r="L40" s="47"/>
      <c r="M40" s="47"/>
      <c r="N40" s="47"/>
    </row>
    <row r="41" spans="1:14" x14ac:dyDescent="0.2">
      <c r="A41" s="47"/>
      <c r="B41" s="47"/>
      <c r="C41" s="47"/>
      <c r="D41" s="47"/>
      <c r="E41" s="47"/>
      <c r="F41" s="47"/>
      <c r="G41" s="47"/>
      <c r="H41" s="47"/>
      <c r="I41" s="47"/>
      <c r="J41" s="47"/>
      <c r="K41" s="47"/>
      <c r="L41" s="47"/>
      <c r="M41" s="47"/>
      <c r="N41" s="47"/>
    </row>
    <row r="42" spans="1:14" x14ac:dyDescent="0.2">
      <c r="A42" s="47"/>
      <c r="B42" s="47"/>
      <c r="C42" s="47"/>
      <c r="D42" s="47"/>
      <c r="E42" s="47"/>
      <c r="F42" s="47"/>
      <c r="G42" s="47"/>
      <c r="H42" s="47"/>
      <c r="I42" s="47"/>
      <c r="J42" s="47"/>
      <c r="K42" s="47"/>
      <c r="L42" s="47"/>
      <c r="M42" s="47"/>
      <c r="N42" s="47"/>
    </row>
    <row r="43" spans="1:14" x14ac:dyDescent="0.2">
      <c r="A43" s="47"/>
      <c r="B43" s="47"/>
      <c r="C43" s="47"/>
      <c r="D43" s="47"/>
      <c r="E43" s="47"/>
      <c r="F43" s="47"/>
      <c r="G43" s="47"/>
      <c r="H43" s="47"/>
      <c r="I43" s="47"/>
      <c r="J43" s="47"/>
      <c r="K43" s="47"/>
      <c r="L43" s="47"/>
      <c r="M43" s="47"/>
      <c r="N43" s="47"/>
    </row>
    <row r="44" spans="1:14" x14ac:dyDescent="0.2">
      <c r="A44" s="47"/>
      <c r="B44" s="47"/>
      <c r="C44" s="47"/>
      <c r="D44" s="47"/>
      <c r="E44" s="47"/>
      <c r="F44" s="47"/>
      <c r="G44" s="47"/>
      <c r="H44" s="47"/>
      <c r="I44" s="47"/>
      <c r="J44" s="47"/>
      <c r="K44" s="47"/>
      <c r="L44" s="47"/>
      <c r="M44" s="47"/>
      <c r="N44" s="47"/>
    </row>
    <row r="45" spans="1:14" x14ac:dyDescent="0.2">
      <c r="A45" s="47"/>
      <c r="B45" s="47"/>
      <c r="C45" s="47"/>
      <c r="D45" s="47"/>
      <c r="E45" s="47"/>
      <c r="F45" s="47"/>
      <c r="G45" s="47"/>
      <c r="H45" s="47"/>
      <c r="I45" s="47"/>
      <c r="J45" s="47"/>
      <c r="K45" s="47"/>
      <c r="L45" s="47"/>
      <c r="M45" s="47"/>
      <c r="N45" s="47"/>
    </row>
    <row r="46" spans="1:14" x14ac:dyDescent="0.2">
      <c r="A46" s="47"/>
      <c r="B46" s="47"/>
      <c r="C46" s="47"/>
      <c r="D46" s="47"/>
      <c r="E46" s="47"/>
      <c r="F46" s="47"/>
      <c r="G46" s="47"/>
      <c r="H46" s="47"/>
      <c r="I46" s="47"/>
      <c r="J46" s="47"/>
      <c r="K46" s="47"/>
      <c r="L46" s="47"/>
      <c r="M46" s="47"/>
      <c r="N46" s="47"/>
    </row>
    <row r="47" spans="1:14" x14ac:dyDescent="0.2">
      <c r="A47" s="47"/>
      <c r="B47" s="47"/>
      <c r="C47" s="47"/>
      <c r="D47" s="47"/>
      <c r="E47" s="47"/>
      <c r="F47" s="47"/>
      <c r="G47" s="47"/>
      <c r="H47" s="47"/>
      <c r="I47" s="47"/>
      <c r="J47" s="47"/>
      <c r="K47" s="47"/>
      <c r="L47" s="47"/>
      <c r="M47" s="47"/>
      <c r="N47" s="47"/>
    </row>
    <row r="48" spans="1:14" x14ac:dyDescent="0.2">
      <c r="A48" s="47"/>
      <c r="B48" s="47"/>
      <c r="C48" s="47"/>
      <c r="D48" s="47"/>
      <c r="E48" s="47"/>
      <c r="F48" s="47"/>
      <c r="G48" s="47"/>
      <c r="H48" s="47"/>
      <c r="I48" s="47"/>
      <c r="J48" s="47"/>
      <c r="K48" s="47"/>
      <c r="L48" s="47"/>
      <c r="M48" s="47"/>
      <c r="N48" s="47"/>
    </row>
    <row r="49" spans="1:14" x14ac:dyDescent="0.2">
      <c r="A49" s="47"/>
      <c r="B49" s="47"/>
      <c r="C49" s="47"/>
      <c r="D49" s="47"/>
      <c r="E49" s="47"/>
      <c r="F49" s="47"/>
      <c r="G49" s="47"/>
      <c r="H49" s="47"/>
      <c r="I49" s="47"/>
      <c r="J49" s="47"/>
      <c r="K49" s="47"/>
      <c r="L49" s="47"/>
      <c r="M49" s="47"/>
      <c r="N49" s="47"/>
    </row>
    <row r="50" spans="1:14" x14ac:dyDescent="0.2">
      <c r="A50" s="47"/>
      <c r="B50" s="47"/>
      <c r="C50" s="47"/>
      <c r="D50" s="47"/>
      <c r="E50" s="47"/>
      <c r="F50" s="47"/>
      <c r="G50" s="47"/>
      <c r="H50" s="47"/>
      <c r="I50" s="47"/>
      <c r="J50" s="47"/>
      <c r="K50" s="47"/>
      <c r="L50" s="47"/>
      <c r="M50" s="47"/>
      <c r="N50" s="47"/>
    </row>
    <row r="51" spans="1:14" x14ac:dyDescent="0.2">
      <c r="A51" s="47"/>
      <c r="B51" s="47"/>
      <c r="C51" s="47"/>
      <c r="D51" s="47"/>
      <c r="E51" s="47"/>
      <c r="F51" s="47"/>
      <c r="G51" s="47"/>
      <c r="H51" s="47"/>
      <c r="I51" s="47"/>
      <c r="J51" s="47"/>
      <c r="K51" s="47"/>
      <c r="L51" s="47"/>
      <c r="M51" s="47"/>
      <c r="N51" s="47"/>
    </row>
    <row r="52" spans="1:14" x14ac:dyDescent="0.2">
      <c r="A52" s="47"/>
      <c r="B52" s="47"/>
      <c r="C52" s="47"/>
      <c r="D52" s="47"/>
      <c r="E52" s="47"/>
      <c r="F52" s="47"/>
      <c r="G52" s="47"/>
      <c r="H52" s="47"/>
      <c r="I52" s="47"/>
      <c r="J52" s="47"/>
      <c r="K52" s="47"/>
      <c r="L52" s="47"/>
      <c r="M52" s="47"/>
      <c r="N52" s="47"/>
    </row>
    <row r="53" spans="1:14" x14ac:dyDescent="0.2">
      <c r="A53" s="47"/>
      <c r="B53" s="47"/>
      <c r="C53" s="47"/>
      <c r="D53" s="47"/>
      <c r="E53" s="47"/>
      <c r="F53" s="47"/>
      <c r="G53" s="47"/>
      <c r="H53" s="47"/>
      <c r="I53" s="47"/>
      <c r="J53" s="47"/>
      <c r="K53" s="47"/>
      <c r="L53" s="47"/>
      <c r="M53" s="47"/>
      <c r="N53" s="47"/>
    </row>
    <row r="54" spans="1:14" x14ac:dyDescent="0.2">
      <c r="A54" s="47"/>
      <c r="B54" s="47"/>
      <c r="C54" s="47"/>
      <c r="D54" s="47"/>
      <c r="E54" s="47"/>
      <c r="F54" s="47"/>
      <c r="G54" s="47"/>
      <c r="H54" s="47"/>
      <c r="I54" s="47"/>
      <c r="J54" s="47"/>
      <c r="K54" s="47"/>
      <c r="L54" s="47"/>
      <c r="M54" s="47"/>
      <c r="N54" s="47"/>
    </row>
    <row r="55" spans="1:14" x14ac:dyDescent="0.2">
      <c r="A55" s="47"/>
      <c r="B55" s="47"/>
      <c r="C55" s="47"/>
      <c r="D55" s="47"/>
      <c r="E55" s="47"/>
      <c r="F55" s="47"/>
      <c r="G55" s="47"/>
      <c r="H55" s="47"/>
      <c r="I55" s="47"/>
      <c r="J55" s="47"/>
      <c r="K55" s="47"/>
      <c r="L55" s="47"/>
      <c r="M55" s="47"/>
      <c r="N55" s="47"/>
    </row>
    <row r="56" spans="1:14" x14ac:dyDescent="0.2">
      <c r="A56" s="47"/>
      <c r="B56" s="47"/>
      <c r="C56" s="47"/>
      <c r="D56" s="47"/>
      <c r="E56" s="47"/>
      <c r="F56" s="47"/>
      <c r="G56" s="47"/>
      <c r="H56" s="47"/>
      <c r="I56" s="47"/>
      <c r="J56" s="47"/>
      <c r="K56" s="47"/>
      <c r="L56" s="47"/>
      <c r="M56" s="47"/>
      <c r="N56" s="47"/>
    </row>
    <row r="57" spans="1:14" x14ac:dyDescent="0.2">
      <c r="A57" s="47"/>
      <c r="B57" s="47"/>
      <c r="C57" s="47"/>
      <c r="D57" s="47"/>
      <c r="E57" s="47"/>
      <c r="F57" s="47"/>
      <c r="G57" s="47"/>
      <c r="H57" s="47"/>
      <c r="I57" s="47"/>
      <c r="J57" s="47"/>
      <c r="K57" s="47"/>
      <c r="L57" s="47"/>
      <c r="M57" s="47"/>
      <c r="N57" s="47"/>
    </row>
    <row r="58" spans="1:14" x14ac:dyDescent="0.2">
      <c r="A58" s="47"/>
      <c r="B58" s="47"/>
      <c r="C58" s="47"/>
      <c r="D58" s="47"/>
      <c r="E58" s="47"/>
      <c r="F58" s="47"/>
      <c r="G58" s="47"/>
      <c r="H58" s="47"/>
      <c r="I58" s="47"/>
      <c r="J58" s="47"/>
      <c r="K58" s="47"/>
      <c r="L58" s="47"/>
      <c r="M58" s="47"/>
      <c r="N58" s="47"/>
    </row>
    <row r="59" spans="1:14" x14ac:dyDescent="0.2">
      <c r="A59" s="47"/>
      <c r="B59" s="47"/>
      <c r="C59" s="47"/>
      <c r="D59" s="47"/>
      <c r="E59" s="47"/>
      <c r="F59" s="47"/>
      <c r="G59" s="47"/>
      <c r="H59" s="47"/>
      <c r="I59" s="47"/>
      <c r="J59" s="47"/>
      <c r="K59" s="47"/>
      <c r="L59" s="47"/>
      <c r="M59" s="47"/>
      <c r="N59" s="47"/>
    </row>
    <row r="60" spans="1:14" x14ac:dyDescent="0.2">
      <c r="A60" s="47"/>
      <c r="B60" s="47"/>
      <c r="C60" s="47"/>
      <c r="D60" s="47"/>
      <c r="E60" s="47"/>
      <c r="F60" s="47"/>
      <c r="G60" s="47"/>
      <c r="H60" s="47"/>
      <c r="I60" s="47"/>
      <c r="J60" s="47"/>
      <c r="K60" s="47"/>
      <c r="L60" s="47"/>
      <c r="M60" s="47"/>
      <c r="N60" s="47"/>
    </row>
    <row r="61" spans="1:14" x14ac:dyDescent="0.2">
      <c r="A61" s="47"/>
      <c r="B61" s="47"/>
      <c r="C61" s="47"/>
      <c r="D61" s="47"/>
      <c r="E61" s="47"/>
      <c r="F61" s="47"/>
      <c r="G61" s="47"/>
      <c r="H61" s="47"/>
      <c r="I61" s="47"/>
      <c r="J61" s="47"/>
      <c r="K61" s="47"/>
      <c r="L61" s="47"/>
      <c r="M61" s="47"/>
      <c r="N61" s="47"/>
    </row>
    <row r="62" spans="1:14" x14ac:dyDescent="0.2">
      <c r="A62" s="47"/>
      <c r="B62" s="47"/>
      <c r="C62" s="47"/>
      <c r="D62" s="47"/>
      <c r="E62" s="47"/>
      <c r="F62" s="47"/>
      <c r="G62" s="47"/>
      <c r="H62" s="47"/>
      <c r="I62" s="47"/>
      <c r="J62" s="47"/>
      <c r="K62" s="47"/>
      <c r="L62" s="47"/>
      <c r="M62" s="47"/>
      <c r="N62" s="47"/>
    </row>
    <row r="63" spans="1:14" x14ac:dyDescent="0.2">
      <c r="A63" s="47"/>
      <c r="B63" s="47"/>
      <c r="C63" s="47"/>
      <c r="D63" s="47"/>
      <c r="E63" s="47"/>
      <c r="F63" s="47"/>
      <c r="G63" s="47"/>
      <c r="H63" s="47"/>
      <c r="I63" s="47"/>
      <c r="J63" s="47"/>
      <c r="K63" s="47"/>
      <c r="L63" s="47"/>
      <c r="M63" s="47"/>
      <c r="N63" s="47"/>
    </row>
    <row r="64" spans="1:14" x14ac:dyDescent="0.2">
      <c r="A64" s="47"/>
      <c r="B64" s="47"/>
      <c r="C64" s="47"/>
      <c r="D64" s="47"/>
      <c r="E64" s="47"/>
      <c r="F64" s="47"/>
      <c r="G64" s="47"/>
      <c r="H64" s="47"/>
      <c r="I64" s="47"/>
      <c r="J64" s="47"/>
      <c r="K64" s="47"/>
      <c r="L64" s="47"/>
      <c r="M64" s="47"/>
      <c r="N64" s="47"/>
    </row>
    <row r="65" spans="1:14" x14ac:dyDescent="0.2">
      <c r="A65" s="47"/>
      <c r="B65" s="47"/>
      <c r="C65" s="47"/>
      <c r="D65" s="47"/>
      <c r="E65" s="47"/>
      <c r="F65" s="47"/>
      <c r="G65" s="47"/>
      <c r="H65" s="47"/>
      <c r="I65" s="47"/>
      <c r="J65" s="47"/>
      <c r="K65" s="47"/>
      <c r="L65" s="47"/>
      <c r="M65" s="47"/>
      <c r="N65" s="47"/>
    </row>
    <row r="66" spans="1:14" x14ac:dyDescent="0.2">
      <c r="A66" s="47"/>
      <c r="B66" s="47"/>
      <c r="C66" s="47"/>
      <c r="D66" s="47"/>
      <c r="E66" s="47"/>
      <c r="F66" s="47"/>
      <c r="G66" s="47"/>
      <c r="H66" s="47"/>
      <c r="I66" s="47"/>
      <c r="J66" s="47"/>
      <c r="K66" s="47"/>
      <c r="L66" s="47"/>
      <c r="M66" s="47"/>
      <c r="N66" s="47"/>
    </row>
    <row r="67" spans="1:14" x14ac:dyDescent="0.2">
      <c r="A67" s="47"/>
      <c r="B67" s="47"/>
      <c r="C67" s="47"/>
      <c r="D67" s="47"/>
      <c r="E67" s="47"/>
      <c r="F67" s="47"/>
      <c r="G67" s="47"/>
      <c r="H67" s="47"/>
      <c r="I67" s="47"/>
      <c r="J67" s="47"/>
      <c r="K67" s="47"/>
      <c r="L67" s="47"/>
      <c r="M67" s="47"/>
      <c r="N67" s="47"/>
    </row>
    <row r="68" spans="1:14" x14ac:dyDescent="0.2">
      <c r="A68" s="47"/>
      <c r="B68" s="47"/>
      <c r="C68" s="47"/>
      <c r="D68" s="47"/>
      <c r="E68" s="47"/>
      <c r="F68" s="47"/>
      <c r="G68" s="47"/>
      <c r="H68" s="47"/>
      <c r="I68" s="47"/>
      <c r="J68" s="47"/>
      <c r="K68" s="47"/>
      <c r="L68" s="47"/>
      <c r="M68" s="47"/>
      <c r="N68" s="47"/>
    </row>
    <row r="69" spans="1:14" x14ac:dyDescent="0.2">
      <c r="A69" s="47"/>
      <c r="B69" s="47"/>
      <c r="C69" s="47"/>
      <c r="D69" s="47"/>
      <c r="E69" s="47"/>
      <c r="F69" s="47"/>
      <c r="G69" s="47"/>
      <c r="H69" s="47"/>
      <c r="I69" s="47"/>
      <c r="J69" s="47"/>
      <c r="K69" s="47"/>
      <c r="L69" s="47"/>
      <c r="M69" s="47"/>
      <c r="N69" s="47"/>
    </row>
    <row r="70" spans="1:14" x14ac:dyDescent="0.2">
      <c r="A70" s="47"/>
      <c r="B70" s="47"/>
      <c r="C70" s="47"/>
      <c r="D70" s="47"/>
      <c r="E70" s="47"/>
      <c r="F70" s="47"/>
      <c r="G70" s="47"/>
      <c r="H70" s="47"/>
      <c r="I70" s="47"/>
      <c r="J70" s="47"/>
      <c r="K70" s="47"/>
      <c r="L70" s="47"/>
      <c r="M70" s="47"/>
      <c r="N70" s="47"/>
    </row>
    <row r="71" spans="1:14" x14ac:dyDescent="0.2">
      <c r="A71" s="47"/>
      <c r="B71" s="47"/>
      <c r="C71" s="47"/>
      <c r="D71" s="47"/>
      <c r="E71" s="47"/>
      <c r="F71" s="47"/>
      <c r="G71" s="47"/>
      <c r="H71" s="47"/>
      <c r="I71" s="47"/>
      <c r="J71" s="47"/>
      <c r="K71" s="47"/>
      <c r="L71" s="47"/>
      <c r="M71" s="47"/>
      <c r="N71" s="47"/>
    </row>
    <row r="72" spans="1:14" x14ac:dyDescent="0.2">
      <c r="A72" s="47"/>
      <c r="B72" s="47"/>
      <c r="C72" s="47"/>
      <c r="D72" s="47"/>
      <c r="E72" s="47"/>
      <c r="F72" s="47"/>
      <c r="G72" s="47"/>
      <c r="H72" s="47"/>
      <c r="I72" s="47"/>
      <c r="J72" s="47"/>
      <c r="K72" s="47"/>
      <c r="L72" s="47"/>
      <c r="M72" s="47"/>
      <c r="N72" s="47"/>
    </row>
    <row r="73" spans="1:14" x14ac:dyDescent="0.2">
      <c r="A73" s="47"/>
      <c r="B73" s="47"/>
      <c r="C73" s="47"/>
      <c r="D73" s="47"/>
      <c r="E73" s="47"/>
      <c r="F73" s="47"/>
      <c r="G73" s="47"/>
      <c r="H73" s="47"/>
      <c r="I73" s="47"/>
      <c r="J73" s="47"/>
      <c r="K73" s="47"/>
      <c r="L73" s="47"/>
      <c r="M73" s="47"/>
      <c r="N73" s="47"/>
    </row>
    <row r="74" spans="1:14" x14ac:dyDescent="0.2">
      <c r="A74" s="47"/>
      <c r="B74" s="47"/>
      <c r="C74" s="47"/>
      <c r="D74" s="47"/>
      <c r="E74" s="47"/>
      <c r="F74" s="47"/>
      <c r="G74" s="47"/>
      <c r="H74" s="47"/>
      <c r="I74" s="47"/>
      <c r="J74" s="47"/>
      <c r="K74" s="47"/>
      <c r="L74" s="47"/>
      <c r="M74" s="47"/>
      <c r="N74" s="47"/>
    </row>
    <row r="75" spans="1:14" x14ac:dyDescent="0.2">
      <c r="A75" s="47"/>
      <c r="B75" s="47"/>
      <c r="C75" s="47"/>
      <c r="D75" s="47"/>
      <c r="E75" s="47"/>
      <c r="F75" s="47"/>
      <c r="G75" s="47"/>
      <c r="H75" s="47"/>
      <c r="I75" s="47"/>
      <c r="J75" s="47"/>
      <c r="K75" s="47"/>
      <c r="L75" s="47"/>
      <c r="M75" s="47"/>
      <c r="N75" s="47"/>
    </row>
    <row r="76" spans="1:14" x14ac:dyDescent="0.2">
      <c r="A76" s="47"/>
      <c r="B76" s="47"/>
      <c r="C76" s="47"/>
      <c r="D76" s="47"/>
      <c r="E76" s="47"/>
      <c r="F76" s="47"/>
      <c r="G76" s="47"/>
      <c r="H76" s="47"/>
      <c r="I76" s="47"/>
      <c r="J76" s="47"/>
      <c r="K76" s="47"/>
      <c r="L76" s="47"/>
      <c r="M76" s="47"/>
      <c r="N76" s="47"/>
    </row>
    <row r="77" spans="1:14" x14ac:dyDescent="0.2">
      <c r="A77" s="47"/>
      <c r="B77" s="47"/>
      <c r="C77" s="47"/>
      <c r="D77" s="47"/>
      <c r="E77" s="47"/>
      <c r="F77" s="47"/>
      <c r="G77" s="47"/>
      <c r="H77" s="47"/>
      <c r="I77" s="47"/>
      <c r="J77" s="47"/>
      <c r="K77" s="47"/>
      <c r="L77" s="47"/>
      <c r="M77" s="47"/>
      <c r="N77" s="47"/>
    </row>
    <row r="78" spans="1:14" x14ac:dyDescent="0.2">
      <c r="A78" s="47"/>
      <c r="B78" s="47"/>
      <c r="C78" s="47"/>
      <c r="D78" s="47"/>
      <c r="E78" s="47"/>
      <c r="F78" s="47"/>
      <c r="G78" s="47"/>
      <c r="H78" s="47"/>
      <c r="I78" s="47"/>
      <c r="J78" s="47"/>
      <c r="K78" s="47"/>
      <c r="L78" s="47"/>
      <c r="M78" s="47"/>
      <c r="N78" s="47"/>
    </row>
    <row r="79" spans="1:14" x14ac:dyDescent="0.2">
      <c r="A79" s="47"/>
      <c r="B79" s="47"/>
      <c r="C79" s="47"/>
      <c r="D79" s="47"/>
      <c r="E79" s="47"/>
      <c r="F79" s="47"/>
      <c r="G79" s="47"/>
      <c r="H79" s="47"/>
      <c r="I79" s="47"/>
      <c r="J79" s="47"/>
      <c r="K79" s="47"/>
      <c r="L79" s="47"/>
      <c r="M79" s="47"/>
      <c r="N79" s="47"/>
    </row>
    <row r="80" spans="1:14" x14ac:dyDescent="0.2">
      <c r="A80" s="47"/>
      <c r="B80" s="47"/>
      <c r="C80" s="47"/>
      <c r="D80" s="47"/>
      <c r="E80" s="47"/>
      <c r="F80" s="47"/>
      <c r="G80" s="47"/>
      <c r="H80" s="47"/>
      <c r="I80" s="47"/>
      <c r="J80" s="47"/>
      <c r="K80" s="47"/>
      <c r="L80" s="47"/>
      <c r="M80" s="47"/>
      <c r="N80" s="47"/>
    </row>
    <row r="81" spans="1:14" x14ac:dyDescent="0.2">
      <c r="A81" s="47"/>
      <c r="B81" s="47"/>
      <c r="C81" s="47"/>
      <c r="D81" s="47"/>
      <c r="E81" s="47"/>
      <c r="F81" s="47"/>
      <c r="G81" s="47"/>
      <c r="H81" s="47"/>
      <c r="I81" s="47"/>
      <c r="J81" s="47"/>
      <c r="K81" s="47"/>
      <c r="L81" s="47"/>
      <c r="M81" s="47"/>
      <c r="N81" s="47"/>
    </row>
    <row r="82" spans="1:14" x14ac:dyDescent="0.2">
      <c r="A82" s="47"/>
      <c r="B82" s="47"/>
      <c r="C82" s="47"/>
      <c r="D82" s="47"/>
      <c r="E82" s="47"/>
      <c r="F82" s="47"/>
      <c r="G82" s="47"/>
      <c r="H82" s="47"/>
      <c r="I82" s="47"/>
      <c r="J82" s="47"/>
      <c r="K82" s="47"/>
      <c r="L82" s="47"/>
      <c r="M82" s="47"/>
      <c r="N82" s="47"/>
    </row>
    <row r="83" spans="1:14" x14ac:dyDescent="0.2">
      <c r="A83" s="47"/>
      <c r="B83" s="47"/>
      <c r="C83" s="47"/>
      <c r="D83" s="47"/>
      <c r="E83" s="47"/>
      <c r="F83" s="47"/>
      <c r="G83" s="47"/>
      <c r="H83" s="47"/>
      <c r="I83" s="47"/>
      <c r="J83" s="47"/>
      <c r="K83" s="47"/>
      <c r="L83" s="47"/>
      <c r="M83" s="47"/>
      <c r="N83" s="47"/>
    </row>
    <row r="84" spans="1:14" x14ac:dyDescent="0.2">
      <c r="A84" s="47"/>
      <c r="B84" s="47"/>
      <c r="C84" s="47"/>
      <c r="D84" s="47"/>
      <c r="E84" s="47"/>
      <c r="F84" s="47"/>
      <c r="G84" s="47"/>
      <c r="H84" s="47"/>
      <c r="I84" s="47"/>
      <c r="J84" s="47"/>
      <c r="K84" s="47"/>
      <c r="L84" s="47"/>
      <c r="M84" s="47"/>
      <c r="N84" s="47"/>
    </row>
    <row r="85" spans="1:14" x14ac:dyDescent="0.2">
      <c r="A85" s="47"/>
      <c r="B85" s="47"/>
      <c r="C85" s="47"/>
      <c r="D85" s="47"/>
      <c r="E85" s="47"/>
      <c r="F85" s="47"/>
      <c r="G85" s="47"/>
      <c r="H85" s="47"/>
      <c r="I85" s="47"/>
      <c r="J85" s="47"/>
      <c r="K85" s="47"/>
      <c r="L85" s="47"/>
      <c r="M85" s="47"/>
      <c r="N85" s="47"/>
    </row>
    <row r="86" spans="1:14" x14ac:dyDescent="0.2">
      <c r="A86" s="47"/>
      <c r="B86" s="47"/>
      <c r="C86" s="47"/>
      <c r="D86" s="47"/>
      <c r="E86" s="47"/>
      <c r="F86" s="47"/>
      <c r="G86" s="47"/>
      <c r="H86" s="47"/>
      <c r="I86" s="47"/>
      <c r="J86" s="47"/>
      <c r="K86" s="47"/>
      <c r="L86" s="47"/>
      <c r="M86" s="47"/>
      <c r="N86" s="47"/>
    </row>
    <row r="87" spans="1:14" x14ac:dyDescent="0.2">
      <c r="A87" s="47"/>
      <c r="B87" s="47"/>
      <c r="C87" s="47"/>
      <c r="D87" s="47"/>
      <c r="E87" s="47"/>
      <c r="F87" s="47"/>
      <c r="G87" s="47"/>
      <c r="H87" s="47"/>
      <c r="I87" s="47"/>
      <c r="J87" s="47"/>
      <c r="K87" s="47"/>
      <c r="L87" s="47"/>
      <c r="M87" s="47"/>
      <c r="N87" s="47"/>
    </row>
    <row r="88" spans="1:14" x14ac:dyDescent="0.2">
      <c r="A88" s="47"/>
      <c r="B88" s="47"/>
      <c r="C88" s="47"/>
      <c r="D88" s="47"/>
      <c r="E88" s="47"/>
      <c r="F88" s="47"/>
      <c r="G88" s="47"/>
      <c r="H88" s="47"/>
      <c r="I88" s="47"/>
      <c r="J88" s="47"/>
      <c r="K88" s="47"/>
      <c r="L88" s="47"/>
      <c r="M88" s="47"/>
      <c r="N88" s="47"/>
    </row>
    <row r="89" spans="1:14" x14ac:dyDescent="0.2">
      <c r="A89" s="47"/>
      <c r="B89" s="47"/>
      <c r="C89" s="47"/>
      <c r="D89" s="47"/>
      <c r="E89" s="47"/>
      <c r="F89" s="47"/>
      <c r="G89" s="47"/>
      <c r="H89" s="47"/>
      <c r="I89" s="47"/>
      <c r="J89" s="47"/>
      <c r="K89" s="47"/>
      <c r="L89" s="47"/>
      <c r="M89" s="47"/>
      <c r="N89" s="47"/>
    </row>
    <row r="90" spans="1:14" x14ac:dyDescent="0.2">
      <c r="A90" s="47"/>
      <c r="B90" s="47"/>
      <c r="C90" s="47"/>
      <c r="D90" s="47"/>
      <c r="E90" s="47"/>
      <c r="F90" s="47"/>
      <c r="G90" s="47"/>
      <c r="H90" s="47"/>
      <c r="I90" s="47"/>
      <c r="J90" s="47"/>
      <c r="K90" s="47"/>
      <c r="L90" s="47"/>
      <c r="M90" s="47"/>
      <c r="N90" s="47"/>
    </row>
    <row r="91" spans="1:14" x14ac:dyDescent="0.2">
      <c r="A91" s="47"/>
      <c r="B91" s="47"/>
      <c r="C91" s="47"/>
      <c r="D91" s="47"/>
      <c r="E91" s="47"/>
      <c r="F91" s="47"/>
      <c r="G91" s="47"/>
      <c r="H91" s="47"/>
      <c r="I91" s="47"/>
      <c r="J91" s="47"/>
      <c r="K91" s="47"/>
      <c r="L91" s="47"/>
      <c r="M91" s="47"/>
      <c r="N91" s="47"/>
    </row>
    <row r="92" spans="1:14" x14ac:dyDescent="0.2">
      <c r="A92" s="47"/>
      <c r="B92" s="47"/>
      <c r="C92" s="47"/>
      <c r="D92" s="47"/>
      <c r="E92" s="47"/>
      <c r="F92" s="47"/>
      <c r="G92" s="47"/>
      <c r="H92" s="47"/>
      <c r="I92" s="47"/>
      <c r="J92" s="47"/>
      <c r="K92" s="47"/>
      <c r="L92" s="47"/>
      <c r="M92" s="47"/>
      <c r="N92" s="47"/>
    </row>
    <row r="93" spans="1:14" x14ac:dyDescent="0.2">
      <c r="A93" s="47"/>
      <c r="B93" s="47"/>
      <c r="C93" s="47"/>
      <c r="D93" s="47"/>
      <c r="E93" s="47"/>
      <c r="F93" s="47"/>
      <c r="G93" s="47"/>
      <c r="H93" s="47"/>
      <c r="I93" s="47"/>
      <c r="J93" s="47"/>
      <c r="K93" s="47"/>
      <c r="L93" s="47"/>
      <c r="M93" s="47"/>
      <c r="N93" s="47"/>
    </row>
    <row r="94" spans="1:14" x14ac:dyDescent="0.2">
      <c r="A94" s="47"/>
      <c r="B94" s="47"/>
      <c r="C94" s="47"/>
      <c r="D94" s="47"/>
      <c r="E94" s="47"/>
      <c r="F94" s="47"/>
      <c r="G94" s="47"/>
      <c r="H94" s="47"/>
      <c r="I94" s="47"/>
      <c r="J94" s="47"/>
      <c r="K94" s="47"/>
      <c r="L94" s="47"/>
      <c r="M94" s="47"/>
      <c r="N94" s="47"/>
    </row>
    <row r="95" spans="1:14" x14ac:dyDescent="0.2">
      <c r="A95" s="47"/>
      <c r="B95" s="47"/>
      <c r="C95" s="47"/>
      <c r="D95" s="47"/>
      <c r="E95" s="47"/>
      <c r="F95" s="47"/>
      <c r="G95" s="47"/>
      <c r="H95" s="47"/>
      <c r="I95" s="47"/>
      <c r="J95" s="47"/>
      <c r="K95" s="47"/>
      <c r="L95" s="47"/>
      <c r="M95" s="47"/>
      <c r="N95" s="47"/>
    </row>
    <row r="96" spans="1:14" x14ac:dyDescent="0.2">
      <c r="A96" s="47"/>
      <c r="B96" s="47"/>
      <c r="C96" s="47"/>
      <c r="D96" s="47"/>
      <c r="E96" s="47"/>
      <c r="F96" s="47"/>
      <c r="G96" s="47"/>
      <c r="H96" s="47"/>
      <c r="I96" s="47"/>
      <c r="J96" s="47"/>
      <c r="K96" s="47"/>
      <c r="L96" s="47"/>
      <c r="M96" s="47"/>
      <c r="N96" s="47"/>
    </row>
    <row r="97" spans="1:14" x14ac:dyDescent="0.2">
      <c r="A97" s="47"/>
      <c r="B97" s="47"/>
      <c r="C97" s="47"/>
      <c r="D97" s="47"/>
      <c r="E97" s="47"/>
      <c r="F97" s="47"/>
      <c r="G97" s="47"/>
      <c r="H97" s="47"/>
      <c r="I97" s="47"/>
      <c r="J97" s="47"/>
      <c r="K97" s="47"/>
      <c r="L97" s="47"/>
      <c r="M97" s="47"/>
      <c r="N97" s="47"/>
    </row>
    <row r="98" spans="1:14" x14ac:dyDescent="0.2">
      <c r="A98" s="47"/>
      <c r="B98" s="47"/>
      <c r="C98" s="47"/>
      <c r="D98" s="47"/>
      <c r="E98" s="47"/>
      <c r="F98" s="47"/>
      <c r="G98" s="47"/>
      <c r="H98" s="47"/>
      <c r="I98" s="47"/>
      <c r="J98" s="47"/>
      <c r="K98" s="47"/>
      <c r="L98" s="47"/>
      <c r="M98" s="47"/>
      <c r="N98" s="47"/>
    </row>
    <row r="99" spans="1:14" x14ac:dyDescent="0.2">
      <c r="A99" s="47"/>
      <c r="B99" s="47"/>
      <c r="C99" s="47"/>
      <c r="D99" s="47"/>
      <c r="E99" s="47"/>
      <c r="F99" s="47"/>
      <c r="G99" s="47"/>
      <c r="H99" s="47"/>
      <c r="I99" s="47"/>
      <c r="J99" s="47"/>
      <c r="K99" s="47"/>
      <c r="L99" s="47"/>
      <c r="M99" s="47"/>
      <c r="N99" s="47"/>
    </row>
    <row r="100" spans="1:14" x14ac:dyDescent="0.2">
      <c r="A100" s="47"/>
      <c r="B100" s="47"/>
      <c r="C100" s="47"/>
      <c r="D100" s="47"/>
      <c r="E100" s="47"/>
      <c r="F100" s="47"/>
      <c r="G100" s="47"/>
      <c r="H100" s="47"/>
      <c r="I100" s="47"/>
      <c r="J100" s="47"/>
      <c r="K100" s="47"/>
      <c r="L100" s="47"/>
      <c r="M100" s="47"/>
      <c r="N100" s="47"/>
    </row>
    <row r="101" spans="1:14" x14ac:dyDescent="0.2">
      <c r="A101" s="47"/>
      <c r="B101" s="47"/>
      <c r="C101" s="47"/>
      <c r="D101" s="47"/>
      <c r="E101" s="47"/>
      <c r="F101" s="47"/>
      <c r="G101" s="47"/>
      <c r="H101" s="47"/>
      <c r="I101" s="47"/>
      <c r="J101" s="47"/>
      <c r="K101" s="47"/>
      <c r="L101" s="47"/>
      <c r="M101" s="47"/>
      <c r="N101" s="47"/>
    </row>
    <row r="102" spans="1:14" x14ac:dyDescent="0.2">
      <c r="A102" s="47"/>
      <c r="B102" s="47"/>
      <c r="C102" s="47"/>
      <c r="D102" s="47"/>
      <c r="E102" s="47"/>
      <c r="F102" s="47"/>
      <c r="G102" s="47"/>
      <c r="H102" s="47"/>
      <c r="I102" s="47"/>
      <c r="J102" s="47"/>
      <c r="K102" s="47"/>
      <c r="L102" s="47"/>
      <c r="M102" s="47"/>
      <c r="N102" s="47"/>
    </row>
    <row r="103" spans="1:14" x14ac:dyDescent="0.2">
      <c r="A103" s="47"/>
      <c r="B103" s="47"/>
      <c r="C103" s="47"/>
      <c r="D103" s="47"/>
      <c r="E103" s="47"/>
      <c r="F103" s="47"/>
      <c r="G103" s="47"/>
      <c r="H103" s="47"/>
      <c r="I103" s="47"/>
      <c r="J103" s="47"/>
      <c r="K103" s="47"/>
      <c r="L103" s="47"/>
      <c r="M103" s="47"/>
      <c r="N103" s="47"/>
    </row>
    <row r="104" spans="1:14" x14ac:dyDescent="0.2">
      <c r="A104" s="47"/>
      <c r="B104" s="47"/>
      <c r="C104" s="47"/>
      <c r="D104" s="47"/>
      <c r="E104" s="47"/>
      <c r="F104" s="47"/>
      <c r="G104" s="47"/>
      <c r="H104" s="47"/>
      <c r="I104" s="47"/>
      <c r="J104" s="47"/>
      <c r="K104" s="47"/>
      <c r="L104" s="47"/>
      <c r="M104" s="47"/>
      <c r="N104" s="47"/>
    </row>
    <row r="105" spans="1:14" x14ac:dyDescent="0.2">
      <c r="A105" s="47"/>
      <c r="B105" s="47"/>
      <c r="C105" s="47"/>
      <c r="D105" s="47"/>
      <c r="E105" s="47"/>
      <c r="F105" s="47"/>
      <c r="G105" s="47"/>
      <c r="H105" s="47"/>
      <c r="I105" s="47"/>
      <c r="J105" s="47"/>
      <c r="K105" s="47"/>
      <c r="L105" s="47"/>
      <c r="M105" s="47"/>
      <c r="N105" s="47"/>
    </row>
    <row r="106" spans="1:14" x14ac:dyDescent="0.2">
      <c r="A106" s="47"/>
      <c r="B106" s="47"/>
      <c r="C106" s="47"/>
      <c r="D106" s="47"/>
      <c r="E106" s="47"/>
      <c r="F106" s="47"/>
      <c r="G106" s="47"/>
      <c r="H106" s="47"/>
      <c r="I106" s="47"/>
      <c r="J106" s="47"/>
      <c r="K106" s="47"/>
      <c r="L106" s="47"/>
      <c r="M106" s="47"/>
      <c r="N106" s="47"/>
    </row>
    <row r="107" spans="1:14" x14ac:dyDescent="0.2">
      <c r="A107" s="47"/>
      <c r="B107" s="47"/>
      <c r="C107" s="47"/>
      <c r="D107" s="47"/>
      <c r="E107" s="47"/>
      <c r="F107" s="47"/>
      <c r="G107" s="47"/>
      <c r="H107" s="47"/>
      <c r="I107" s="47"/>
      <c r="J107" s="47"/>
      <c r="K107" s="47"/>
      <c r="L107" s="47"/>
      <c r="M107" s="47"/>
      <c r="N107" s="47"/>
    </row>
    <row r="108" spans="1:14" x14ac:dyDescent="0.2">
      <c r="A108" s="47"/>
      <c r="B108" s="47"/>
      <c r="C108" s="47"/>
      <c r="D108" s="47"/>
      <c r="E108" s="47"/>
      <c r="F108" s="47"/>
      <c r="G108" s="47"/>
      <c r="H108" s="47"/>
      <c r="I108" s="47"/>
      <c r="J108" s="47"/>
      <c r="K108" s="47"/>
      <c r="L108" s="47"/>
      <c r="M108" s="47"/>
      <c r="N108" s="47"/>
    </row>
    <row r="109" spans="1:14" x14ac:dyDescent="0.2">
      <c r="A109" s="47"/>
      <c r="B109" s="47"/>
      <c r="C109" s="47"/>
      <c r="D109" s="47"/>
      <c r="E109" s="47"/>
      <c r="F109" s="47"/>
      <c r="G109" s="47"/>
      <c r="H109" s="47"/>
      <c r="I109" s="47"/>
      <c r="J109" s="47"/>
      <c r="K109" s="47"/>
      <c r="L109" s="47"/>
      <c r="M109" s="47"/>
      <c r="N109" s="47"/>
    </row>
    <row r="110" spans="1:14" x14ac:dyDescent="0.2">
      <c r="A110" s="47"/>
      <c r="B110" s="47"/>
      <c r="C110" s="47"/>
      <c r="D110" s="47"/>
      <c r="E110" s="47"/>
      <c r="F110" s="47"/>
      <c r="G110" s="47"/>
      <c r="H110" s="47"/>
      <c r="I110" s="47"/>
      <c r="J110" s="47"/>
      <c r="K110" s="47"/>
      <c r="L110" s="47"/>
      <c r="M110" s="47"/>
      <c r="N110" s="47"/>
    </row>
    <row r="111" spans="1:14" x14ac:dyDescent="0.2">
      <c r="A111" s="47"/>
      <c r="B111" s="47"/>
      <c r="C111" s="47"/>
      <c r="D111" s="47"/>
      <c r="E111" s="47"/>
      <c r="F111" s="47"/>
      <c r="G111" s="47"/>
      <c r="H111" s="47"/>
      <c r="I111" s="47"/>
      <c r="J111" s="47"/>
      <c r="K111" s="47"/>
      <c r="L111" s="47"/>
      <c r="M111" s="47"/>
      <c r="N111" s="47"/>
    </row>
    <row r="112" spans="1:14" x14ac:dyDescent="0.2">
      <c r="A112" s="47"/>
      <c r="B112" s="47"/>
      <c r="C112" s="47"/>
      <c r="D112" s="47"/>
      <c r="E112" s="47"/>
      <c r="F112" s="47"/>
      <c r="G112" s="47"/>
      <c r="H112" s="47"/>
      <c r="I112" s="47"/>
      <c r="J112" s="47"/>
      <c r="K112" s="47"/>
      <c r="L112" s="47"/>
      <c r="M112" s="47"/>
      <c r="N112" s="47"/>
    </row>
    <row r="113" spans="1:14" x14ac:dyDescent="0.2">
      <c r="A113" s="47"/>
      <c r="B113" s="47"/>
      <c r="C113" s="47"/>
      <c r="D113" s="47"/>
      <c r="E113" s="47"/>
      <c r="F113" s="47"/>
      <c r="G113" s="47"/>
      <c r="H113" s="47"/>
      <c r="I113" s="47"/>
      <c r="J113" s="47"/>
      <c r="K113" s="47"/>
      <c r="L113" s="47"/>
      <c r="M113" s="47"/>
      <c r="N113" s="47"/>
    </row>
    <row r="114" spans="1:14" x14ac:dyDescent="0.2">
      <c r="A114" s="47"/>
      <c r="B114" s="47"/>
      <c r="C114" s="47"/>
      <c r="D114" s="47"/>
      <c r="E114" s="47"/>
      <c r="F114" s="47"/>
      <c r="G114" s="47"/>
      <c r="H114" s="47"/>
      <c r="I114" s="47"/>
      <c r="J114" s="47"/>
      <c r="K114" s="47"/>
      <c r="L114" s="47"/>
      <c r="M114" s="47"/>
      <c r="N114" s="47"/>
    </row>
    <row r="115" spans="1:14" x14ac:dyDescent="0.2">
      <c r="A115" s="47"/>
      <c r="B115" s="47"/>
      <c r="C115" s="47"/>
      <c r="D115" s="47"/>
      <c r="E115" s="47"/>
      <c r="F115" s="47"/>
      <c r="G115" s="47"/>
      <c r="H115" s="47"/>
      <c r="I115" s="47"/>
      <c r="J115" s="47"/>
      <c r="K115" s="47"/>
      <c r="L115" s="47"/>
      <c r="M115" s="47"/>
      <c r="N115" s="47"/>
    </row>
    <row r="116" spans="1:14" x14ac:dyDescent="0.2">
      <c r="A116" s="47"/>
      <c r="B116" s="47"/>
      <c r="C116" s="47"/>
      <c r="D116" s="47"/>
      <c r="E116" s="47"/>
      <c r="F116" s="47"/>
      <c r="G116" s="47"/>
      <c r="H116" s="47"/>
      <c r="I116" s="47"/>
      <c r="J116" s="47"/>
      <c r="K116" s="47"/>
      <c r="L116" s="47"/>
      <c r="M116" s="47"/>
      <c r="N116" s="47"/>
    </row>
    <row r="117" spans="1:14" x14ac:dyDescent="0.2">
      <c r="A117" s="47"/>
      <c r="B117" s="47"/>
      <c r="C117" s="47"/>
      <c r="D117" s="47"/>
      <c r="E117" s="47"/>
      <c r="F117" s="47"/>
      <c r="G117" s="47"/>
      <c r="H117" s="47"/>
      <c r="I117" s="47"/>
      <c r="J117" s="47"/>
      <c r="K117" s="47"/>
      <c r="L117" s="47"/>
      <c r="M117" s="47"/>
      <c r="N117" s="47"/>
    </row>
    <row r="118" spans="1:14" x14ac:dyDescent="0.2">
      <c r="A118" s="47"/>
      <c r="B118" s="47"/>
      <c r="C118" s="47"/>
      <c r="D118" s="47"/>
      <c r="E118" s="47"/>
      <c r="F118" s="47"/>
      <c r="G118" s="47"/>
      <c r="H118" s="47"/>
      <c r="I118" s="47"/>
      <c r="J118" s="47"/>
      <c r="K118" s="47"/>
      <c r="L118" s="47"/>
      <c r="M118" s="47"/>
      <c r="N118" s="47"/>
    </row>
  </sheetData>
  <pageMargins left="0.5" right="0.5" top="0.75" bottom="0.75" header="0.5" footer="0.5"/>
  <pageSetup scale="90" orientation="landscape"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P105"/>
  <sheetViews>
    <sheetView zoomScaleNormal="100" workbookViewId="0">
      <pane xSplit="2" ySplit="6" topLeftCell="F7" activePane="bottomRight" state="frozen"/>
      <selection activeCell="I58" sqref="I58"/>
      <selection pane="topRight" activeCell="I58" sqref="I58"/>
      <selection pane="bottomLeft" activeCell="I58" sqref="I58"/>
      <selection pane="bottomRight" activeCell="P9" sqref="P9"/>
    </sheetView>
  </sheetViews>
  <sheetFormatPr defaultRowHeight="11.25" x14ac:dyDescent="0.2"/>
  <cols>
    <col min="1" max="1" width="6" style="47" customWidth="1"/>
    <col min="2" max="2" width="17.85546875" style="47" customWidth="1"/>
    <col min="3" max="4" width="9.85546875" style="47" customWidth="1"/>
    <col min="5" max="5" width="11.28515625" style="47" customWidth="1"/>
    <col min="6" max="7" width="9.5703125" style="47" customWidth="1"/>
    <col min="8" max="8" width="9.85546875" style="47" customWidth="1"/>
    <col min="9" max="9" width="10.42578125" style="47" customWidth="1"/>
    <col min="10" max="10" width="10.7109375" style="47" customWidth="1"/>
    <col min="11" max="11" width="9.140625" style="47"/>
    <col min="12" max="12" width="9.140625" style="67"/>
    <col min="13" max="14" width="9.140625" style="47"/>
    <col min="15" max="15" width="10.7109375" style="47" bestFit="1" customWidth="1"/>
    <col min="16" max="16384" width="9.140625" style="47"/>
  </cols>
  <sheetData>
    <row r="2" spans="1:14" x14ac:dyDescent="0.2">
      <c r="B2" s="91" t="str">
        <f>+'WUTC_AW of Lynnwood_MF'!A1</f>
        <v>Rabanco Ltd (dba Allied Waste of Lynnwood)</v>
      </c>
      <c r="C2" s="62"/>
    </row>
    <row r="3" spans="1:14" x14ac:dyDescent="0.2">
      <c r="C3" s="62"/>
    </row>
    <row r="4" spans="1:14" x14ac:dyDescent="0.2">
      <c r="C4" s="109"/>
      <c r="D4" s="109"/>
      <c r="E4" s="109"/>
      <c r="F4" s="109"/>
      <c r="G4" s="109"/>
      <c r="H4" s="110"/>
      <c r="I4" s="110"/>
      <c r="J4" s="91"/>
    </row>
    <row r="5" spans="1:14" x14ac:dyDescent="0.2">
      <c r="C5" s="109"/>
      <c r="D5" s="109"/>
      <c r="E5" s="109"/>
      <c r="F5" s="109"/>
      <c r="G5" s="109"/>
      <c r="H5" s="110"/>
      <c r="I5" s="110"/>
      <c r="J5" s="109"/>
    </row>
    <row r="6" spans="1:14" ht="9.9499999999999993" customHeight="1" x14ac:dyDescent="0.2">
      <c r="C6" s="63">
        <v>42856</v>
      </c>
      <c r="D6" s="63">
        <f t="shared" ref="D6:N6" si="0">EOMONTH(C6,1)</f>
        <v>42916</v>
      </c>
      <c r="E6" s="63">
        <f t="shared" si="0"/>
        <v>42947</v>
      </c>
      <c r="F6" s="63">
        <f t="shared" si="0"/>
        <v>42978</v>
      </c>
      <c r="G6" s="63">
        <f t="shared" si="0"/>
        <v>43008</v>
      </c>
      <c r="H6" s="63">
        <f t="shared" si="0"/>
        <v>43039</v>
      </c>
      <c r="I6" s="63">
        <f t="shared" si="0"/>
        <v>43069</v>
      </c>
      <c r="J6" s="63">
        <f t="shared" si="0"/>
        <v>43100</v>
      </c>
      <c r="K6" s="63">
        <f t="shared" si="0"/>
        <v>43131</v>
      </c>
      <c r="L6" s="63">
        <f t="shared" si="0"/>
        <v>43159</v>
      </c>
      <c r="M6" s="63">
        <f t="shared" si="0"/>
        <v>43190</v>
      </c>
      <c r="N6" s="63">
        <f t="shared" si="0"/>
        <v>43220</v>
      </c>
    </row>
    <row r="7" spans="1:14" s="48" customFormat="1" x14ac:dyDescent="0.2">
      <c r="A7" s="108" t="s">
        <v>31</v>
      </c>
      <c r="C7" s="111">
        <v>83.68</v>
      </c>
      <c r="D7" s="111">
        <v>85.71</v>
      </c>
      <c r="E7" s="111">
        <v>78.489999999999995</v>
      </c>
      <c r="F7" s="111">
        <v>96.62</v>
      </c>
      <c r="G7" s="111">
        <v>85.01</v>
      </c>
      <c r="H7" s="111">
        <v>90.71</v>
      </c>
      <c r="I7" s="111">
        <v>98.31</v>
      </c>
      <c r="J7" s="111">
        <v>89.29</v>
      </c>
      <c r="K7" s="111">
        <v>106.28</v>
      </c>
      <c r="L7" s="111">
        <v>74.39</v>
      </c>
      <c r="M7" s="111">
        <v>75.81</v>
      </c>
      <c r="N7" s="111">
        <v>93.55</v>
      </c>
    </row>
    <row r="8" spans="1:14" x14ac:dyDescent="0.2">
      <c r="A8" s="47" t="s">
        <v>32</v>
      </c>
      <c r="C8" s="64">
        <v>0</v>
      </c>
      <c r="D8" s="64">
        <v>0</v>
      </c>
      <c r="E8" s="64">
        <v>0</v>
      </c>
      <c r="F8" s="64">
        <v>0</v>
      </c>
      <c r="G8" s="64">
        <v>0</v>
      </c>
      <c r="H8" s="64">
        <v>0</v>
      </c>
      <c r="I8" s="64">
        <v>0</v>
      </c>
      <c r="J8" s="64">
        <v>0</v>
      </c>
      <c r="K8" s="64">
        <v>0</v>
      </c>
      <c r="L8" s="64">
        <v>0</v>
      </c>
      <c r="M8" s="64">
        <v>0</v>
      </c>
      <c r="N8" s="64">
        <v>0</v>
      </c>
    </row>
    <row r="9" spans="1:14" x14ac:dyDescent="0.2">
      <c r="A9" s="47" t="s">
        <v>33</v>
      </c>
      <c r="C9" s="65">
        <f t="shared" ref="C9:N9" si="1">+C7*C8</f>
        <v>0</v>
      </c>
      <c r="D9" s="65">
        <f t="shared" si="1"/>
        <v>0</v>
      </c>
      <c r="E9" s="65">
        <f t="shared" si="1"/>
        <v>0</v>
      </c>
      <c r="F9" s="65">
        <f t="shared" si="1"/>
        <v>0</v>
      </c>
      <c r="G9" s="65">
        <f t="shared" si="1"/>
        <v>0</v>
      </c>
      <c r="H9" s="65">
        <f t="shared" si="1"/>
        <v>0</v>
      </c>
      <c r="I9" s="65">
        <f t="shared" si="1"/>
        <v>0</v>
      </c>
      <c r="J9" s="65">
        <f t="shared" si="1"/>
        <v>0</v>
      </c>
      <c r="K9" s="65">
        <f t="shared" si="1"/>
        <v>0</v>
      </c>
      <c r="L9" s="263">
        <f t="shared" si="1"/>
        <v>0</v>
      </c>
      <c r="M9" s="65">
        <f t="shared" si="1"/>
        <v>0</v>
      </c>
      <c r="N9" s="65">
        <f t="shared" si="1"/>
        <v>0</v>
      </c>
    </row>
    <row r="10" spans="1:14" x14ac:dyDescent="0.2">
      <c r="A10" s="91" t="s">
        <v>34</v>
      </c>
      <c r="C10" s="66">
        <f t="shared" ref="C10:N10" si="2">+C7-C9</f>
        <v>83.68</v>
      </c>
      <c r="D10" s="66">
        <f t="shared" si="2"/>
        <v>85.71</v>
      </c>
      <c r="E10" s="66">
        <f t="shared" si="2"/>
        <v>78.489999999999995</v>
      </c>
      <c r="F10" s="66">
        <f t="shared" si="2"/>
        <v>96.62</v>
      </c>
      <c r="G10" s="66">
        <f t="shared" si="2"/>
        <v>85.01</v>
      </c>
      <c r="H10" s="66">
        <f t="shared" si="2"/>
        <v>90.71</v>
      </c>
      <c r="I10" s="66">
        <f t="shared" si="2"/>
        <v>98.31</v>
      </c>
      <c r="J10" s="66">
        <f t="shared" si="2"/>
        <v>89.29</v>
      </c>
      <c r="K10" s="66">
        <f t="shared" si="2"/>
        <v>106.28</v>
      </c>
      <c r="L10" s="266">
        <f t="shared" si="2"/>
        <v>74.39</v>
      </c>
      <c r="M10" s="66">
        <f t="shared" si="2"/>
        <v>75.81</v>
      </c>
      <c r="N10" s="66">
        <f t="shared" si="2"/>
        <v>93.55</v>
      </c>
    </row>
    <row r="12" spans="1:14" x14ac:dyDescent="0.2">
      <c r="A12" s="91" t="s">
        <v>35</v>
      </c>
    </row>
    <row r="13" spans="1:14" s="67" customFormat="1" x14ac:dyDescent="0.2">
      <c r="B13" s="67" t="s">
        <v>22</v>
      </c>
      <c r="C13" s="68">
        <v>0.19500000000000001</v>
      </c>
      <c r="D13" s="68">
        <f t="shared" ref="D13:M13" si="3">+C13</f>
        <v>0.19500000000000001</v>
      </c>
      <c r="E13" s="68">
        <f t="shared" si="3"/>
        <v>0.19500000000000001</v>
      </c>
      <c r="F13" s="68">
        <f t="shared" si="3"/>
        <v>0.19500000000000001</v>
      </c>
      <c r="G13" s="68">
        <f t="shared" si="3"/>
        <v>0.19500000000000001</v>
      </c>
      <c r="H13" s="68">
        <f t="shared" si="3"/>
        <v>0.19500000000000001</v>
      </c>
      <c r="I13" s="68">
        <f t="shared" si="3"/>
        <v>0.19500000000000001</v>
      </c>
      <c r="J13" s="68">
        <f t="shared" si="3"/>
        <v>0.19500000000000001</v>
      </c>
      <c r="K13" s="68">
        <f t="shared" si="3"/>
        <v>0.19500000000000001</v>
      </c>
      <c r="L13" s="68">
        <f t="shared" si="3"/>
        <v>0.19500000000000001</v>
      </c>
      <c r="M13" s="68">
        <f t="shared" si="3"/>
        <v>0.19500000000000001</v>
      </c>
      <c r="N13" s="68">
        <v>0</v>
      </c>
    </row>
    <row r="14" spans="1:14" s="67" customFormat="1" x14ac:dyDescent="0.2">
      <c r="B14" s="67" t="s">
        <v>26</v>
      </c>
      <c r="C14" s="68">
        <v>0.1782</v>
      </c>
      <c r="D14" s="68">
        <f t="shared" ref="D14:M14" si="4">+C14</f>
        <v>0.1782</v>
      </c>
      <c r="E14" s="68">
        <f t="shared" si="4"/>
        <v>0.1782</v>
      </c>
      <c r="F14" s="68">
        <f t="shared" si="4"/>
        <v>0.1782</v>
      </c>
      <c r="G14" s="68">
        <f t="shared" si="4"/>
        <v>0.1782</v>
      </c>
      <c r="H14" s="68">
        <f t="shared" si="4"/>
        <v>0.1782</v>
      </c>
      <c r="I14" s="68">
        <f t="shared" si="4"/>
        <v>0.1782</v>
      </c>
      <c r="J14" s="68">
        <f t="shared" si="4"/>
        <v>0.1782</v>
      </c>
      <c r="K14" s="68">
        <f t="shared" si="4"/>
        <v>0.1782</v>
      </c>
      <c r="L14" s="68">
        <f t="shared" si="4"/>
        <v>0.1782</v>
      </c>
      <c r="M14" s="68">
        <f t="shared" si="4"/>
        <v>0.1782</v>
      </c>
      <c r="N14" s="68">
        <f t="shared" ref="N14:N22" si="5">+M14</f>
        <v>0.1782</v>
      </c>
    </row>
    <row r="15" spans="1:14" s="67" customFormat="1" x14ac:dyDescent="0.2">
      <c r="B15" s="67" t="s">
        <v>36</v>
      </c>
      <c r="C15" s="68">
        <v>0</v>
      </c>
      <c r="D15" s="68">
        <f t="shared" ref="D15:M15" si="6">+C15</f>
        <v>0</v>
      </c>
      <c r="E15" s="68">
        <f t="shared" si="6"/>
        <v>0</v>
      </c>
      <c r="F15" s="68">
        <f t="shared" si="6"/>
        <v>0</v>
      </c>
      <c r="G15" s="68">
        <f t="shared" si="6"/>
        <v>0</v>
      </c>
      <c r="H15" s="68">
        <f t="shared" si="6"/>
        <v>0</v>
      </c>
      <c r="I15" s="68">
        <f t="shared" si="6"/>
        <v>0</v>
      </c>
      <c r="J15" s="68">
        <f t="shared" si="6"/>
        <v>0</v>
      </c>
      <c r="K15" s="68">
        <f t="shared" si="6"/>
        <v>0</v>
      </c>
      <c r="L15" s="68">
        <f t="shared" si="6"/>
        <v>0</v>
      </c>
      <c r="M15" s="68">
        <f t="shared" si="6"/>
        <v>0</v>
      </c>
      <c r="N15" s="68">
        <f t="shared" si="5"/>
        <v>0</v>
      </c>
    </row>
    <row r="16" spans="1:14" s="67" customFormat="1" x14ac:dyDescent="0.2">
      <c r="B16" s="67" t="s">
        <v>37</v>
      </c>
      <c r="C16" s="68">
        <v>1.6500000000000001E-2</v>
      </c>
      <c r="D16" s="68">
        <f t="shared" ref="D16:M16" si="7">+C16</f>
        <v>1.6500000000000001E-2</v>
      </c>
      <c r="E16" s="68">
        <f t="shared" si="7"/>
        <v>1.6500000000000001E-2</v>
      </c>
      <c r="F16" s="68">
        <f t="shared" si="7"/>
        <v>1.6500000000000001E-2</v>
      </c>
      <c r="G16" s="68">
        <f t="shared" si="7"/>
        <v>1.6500000000000001E-2</v>
      </c>
      <c r="H16" s="68">
        <f t="shared" si="7"/>
        <v>1.6500000000000001E-2</v>
      </c>
      <c r="I16" s="68">
        <f t="shared" si="7"/>
        <v>1.6500000000000001E-2</v>
      </c>
      <c r="J16" s="68">
        <f t="shared" si="7"/>
        <v>1.6500000000000001E-2</v>
      </c>
      <c r="K16" s="68">
        <f t="shared" si="7"/>
        <v>1.6500000000000001E-2</v>
      </c>
      <c r="L16" s="68">
        <f t="shared" si="7"/>
        <v>1.6500000000000001E-2</v>
      </c>
      <c r="M16" s="68">
        <f t="shared" si="7"/>
        <v>1.6500000000000001E-2</v>
      </c>
      <c r="N16" s="68">
        <f t="shared" si="5"/>
        <v>1.6500000000000001E-2</v>
      </c>
    </row>
    <row r="17" spans="1:14" s="67" customFormat="1" x14ac:dyDescent="0.2">
      <c r="B17" s="67" t="s">
        <v>38</v>
      </c>
      <c r="C17" s="68">
        <v>4.4900000000000002E-2</v>
      </c>
      <c r="D17" s="68">
        <f t="shared" ref="D17:M17" si="8">+C17</f>
        <v>4.4900000000000002E-2</v>
      </c>
      <c r="E17" s="68">
        <f t="shared" si="8"/>
        <v>4.4900000000000002E-2</v>
      </c>
      <c r="F17" s="68">
        <f t="shared" si="8"/>
        <v>4.4900000000000002E-2</v>
      </c>
      <c r="G17" s="68">
        <f t="shared" si="8"/>
        <v>4.4900000000000002E-2</v>
      </c>
      <c r="H17" s="68">
        <f t="shared" si="8"/>
        <v>4.4900000000000002E-2</v>
      </c>
      <c r="I17" s="68">
        <f t="shared" si="8"/>
        <v>4.4900000000000002E-2</v>
      </c>
      <c r="J17" s="68">
        <f t="shared" si="8"/>
        <v>4.4900000000000002E-2</v>
      </c>
      <c r="K17" s="68">
        <f t="shared" si="8"/>
        <v>4.4900000000000002E-2</v>
      </c>
      <c r="L17" s="68">
        <f t="shared" si="8"/>
        <v>4.4900000000000002E-2</v>
      </c>
      <c r="M17" s="68">
        <f t="shared" si="8"/>
        <v>4.4900000000000002E-2</v>
      </c>
      <c r="N17" s="68">
        <f t="shared" si="5"/>
        <v>4.4900000000000002E-2</v>
      </c>
    </row>
    <row r="18" spans="1:14" s="67" customFormat="1" x14ac:dyDescent="0.2">
      <c r="B18" s="67" t="s">
        <v>39</v>
      </c>
      <c r="C18" s="68">
        <v>7.4999999999999997E-3</v>
      </c>
      <c r="D18" s="68">
        <f t="shared" ref="D18:M18" si="9">+C18</f>
        <v>7.4999999999999997E-3</v>
      </c>
      <c r="E18" s="68">
        <f t="shared" si="9"/>
        <v>7.4999999999999997E-3</v>
      </c>
      <c r="F18" s="68">
        <f t="shared" si="9"/>
        <v>7.4999999999999997E-3</v>
      </c>
      <c r="G18" s="68">
        <f t="shared" si="9"/>
        <v>7.4999999999999997E-3</v>
      </c>
      <c r="H18" s="68">
        <f t="shared" si="9"/>
        <v>7.4999999999999997E-3</v>
      </c>
      <c r="I18" s="68">
        <f t="shared" si="9"/>
        <v>7.4999999999999997E-3</v>
      </c>
      <c r="J18" s="68">
        <f t="shared" si="9"/>
        <v>7.4999999999999997E-3</v>
      </c>
      <c r="K18" s="68">
        <f t="shared" si="9"/>
        <v>7.4999999999999997E-3</v>
      </c>
      <c r="L18" s="68">
        <f t="shared" si="9"/>
        <v>7.4999999999999997E-3</v>
      </c>
      <c r="M18" s="68">
        <f t="shared" si="9"/>
        <v>7.4999999999999997E-3</v>
      </c>
      <c r="N18" s="68">
        <f t="shared" si="5"/>
        <v>7.4999999999999997E-3</v>
      </c>
    </row>
    <row r="19" spans="1:14" s="67" customFormat="1" x14ac:dyDescent="0.2">
      <c r="B19" s="47" t="s">
        <v>40</v>
      </c>
      <c r="C19" s="68">
        <v>0</v>
      </c>
      <c r="D19" s="68">
        <f t="shared" ref="D19:M19" si="10">+C19</f>
        <v>0</v>
      </c>
      <c r="E19" s="68">
        <f t="shared" si="10"/>
        <v>0</v>
      </c>
      <c r="F19" s="68">
        <f t="shared" si="10"/>
        <v>0</v>
      </c>
      <c r="G19" s="68">
        <f t="shared" si="10"/>
        <v>0</v>
      </c>
      <c r="H19" s="68">
        <f t="shared" si="10"/>
        <v>0</v>
      </c>
      <c r="I19" s="68">
        <f t="shared" si="10"/>
        <v>0</v>
      </c>
      <c r="J19" s="68">
        <f t="shared" si="10"/>
        <v>0</v>
      </c>
      <c r="K19" s="68">
        <f t="shared" si="10"/>
        <v>0</v>
      </c>
      <c r="L19" s="68">
        <f t="shared" si="10"/>
        <v>0</v>
      </c>
      <c r="M19" s="68">
        <f t="shared" si="10"/>
        <v>0</v>
      </c>
      <c r="N19" s="68">
        <f t="shared" si="5"/>
        <v>0</v>
      </c>
    </row>
    <row r="20" spans="1:14" s="67" customFormat="1" x14ac:dyDescent="0.2">
      <c r="B20" s="47" t="s">
        <v>20</v>
      </c>
      <c r="C20" s="68">
        <v>0.17680000000000001</v>
      </c>
      <c r="D20" s="68">
        <f t="shared" ref="D20:M20" si="11">+C20</f>
        <v>0.17680000000000001</v>
      </c>
      <c r="E20" s="68">
        <f t="shared" si="11"/>
        <v>0.17680000000000001</v>
      </c>
      <c r="F20" s="68">
        <f t="shared" si="11"/>
        <v>0.17680000000000001</v>
      </c>
      <c r="G20" s="68">
        <f t="shared" si="11"/>
        <v>0.17680000000000001</v>
      </c>
      <c r="H20" s="68">
        <f t="shared" si="11"/>
        <v>0.17680000000000001</v>
      </c>
      <c r="I20" s="68">
        <f t="shared" si="11"/>
        <v>0.17680000000000001</v>
      </c>
      <c r="J20" s="68">
        <f t="shared" si="11"/>
        <v>0.17680000000000001</v>
      </c>
      <c r="K20" s="68">
        <f t="shared" si="11"/>
        <v>0.17680000000000001</v>
      </c>
      <c r="L20" s="68">
        <f t="shared" si="11"/>
        <v>0.17680000000000001</v>
      </c>
      <c r="M20" s="68">
        <f t="shared" si="11"/>
        <v>0.17680000000000001</v>
      </c>
      <c r="N20" s="68">
        <f t="shared" si="5"/>
        <v>0.17680000000000001</v>
      </c>
    </row>
    <row r="21" spans="1:14" s="67" customFormat="1" x14ac:dyDescent="0.2">
      <c r="B21" s="67" t="s">
        <v>41</v>
      </c>
      <c r="C21" s="68">
        <v>0</v>
      </c>
      <c r="D21" s="68">
        <f t="shared" ref="D21:M21" si="12">+C21</f>
        <v>0</v>
      </c>
      <c r="E21" s="68">
        <f t="shared" si="12"/>
        <v>0</v>
      </c>
      <c r="F21" s="68">
        <f t="shared" si="12"/>
        <v>0</v>
      </c>
      <c r="G21" s="68">
        <f t="shared" si="12"/>
        <v>0</v>
      </c>
      <c r="H21" s="68">
        <f t="shared" si="12"/>
        <v>0</v>
      </c>
      <c r="I21" s="68">
        <f t="shared" si="12"/>
        <v>0</v>
      </c>
      <c r="J21" s="68">
        <f t="shared" si="12"/>
        <v>0</v>
      </c>
      <c r="K21" s="68">
        <f t="shared" si="12"/>
        <v>0</v>
      </c>
      <c r="L21" s="68">
        <f t="shared" si="12"/>
        <v>0</v>
      </c>
      <c r="M21" s="68">
        <f t="shared" si="12"/>
        <v>0</v>
      </c>
      <c r="N21" s="68">
        <f t="shared" si="5"/>
        <v>0</v>
      </c>
    </row>
    <row r="22" spans="1:14" s="67" customFormat="1" x14ac:dyDescent="0.2">
      <c r="B22" s="67" t="s">
        <v>42</v>
      </c>
      <c r="C22" s="68">
        <v>5.930000000000013E-2</v>
      </c>
      <c r="D22" s="68">
        <f t="shared" ref="D22:M22" si="13">+C22</f>
        <v>5.930000000000013E-2</v>
      </c>
      <c r="E22" s="68">
        <f t="shared" si="13"/>
        <v>5.930000000000013E-2</v>
      </c>
      <c r="F22" s="68">
        <f t="shared" si="13"/>
        <v>5.930000000000013E-2</v>
      </c>
      <c r="G22" s="68">
        <f t="shared" si="13"/>
        <v>5.930000000000013E-2</v>
      </c>
      <c r="H22" s="68">
        <f t="shared" si="13"/>
        <v>5.930000000000013E-2</v>
      </c>
      <c r="I22" s="68">
        <f t="shared" si="13"/>
        <v>5.930000000000013E-2</v>
      </c>
      <c r="J22" s="68">
        <f t="shared" si="13"/>
        <v>5.930000000000013E-2</v>
      </c>
      <c r="K22" s="68">
        <f t="shared" si="13"/>
        <v>5.930000000000013E-2</v>
      </c>
      <c r="L22" s="68">
        <f t="shared" si="13"/>
        <v>5.930000000000013E-2</v>
      </c>
      <c r="M22" s="68">
        <f t="shared" si="13"/>
        <v>5.930000000000013E-2</v>
      </c>
      <c r="N22" s="68">
        <f t="shared" si="5"/>
        <v>5.930000000000013E-2</v>
      </c>
    </row>
    <row r="23" spans="1:14" s="67" customFormat="1" x14ac:dyDescent="0.2">
      <c r="B23" s="67" t="s">
        <v>43</v>
      </c>
      <c r="C23" s="69">
        <v>0.32179999999999997</v>
      </c>
      <c r="D23" s="68">
        <f t="shared" ref="D23:M23" si="14">+C23</f>
        <v>0.32179999999999997</v>
      </c>
      <c r="E23" s="68">
        <f t="shared" si="14"/>
        <v>0.32179999999999997</v>
      </c>
      <c r="F23" s="68">
        <f t="shared" si="14"/>
        <v>0.32179999999999997</v>
      </c>
      <c r="G23" s="68">
        <f t="shared" si="14"/>
        <v>0.32179999999999997</v>
      </c>
      <c r="H23" s="68">
        <f t="shared" si="14"/>
        <v>0.32179999999999997</v>
      </c>
      <c r="I23" s="68">
        <f t="shared" si="14"/>
        <v>0.32179999999999997</v>
      </c>
      <c r="J23" s="68">
        <f t="shared" si="14"/>
        <v>0.32179999999999997</v>
      </c>
      <c r="K23" s="68">
        <f t="shared" si="14"/>
        <v>0.32179999999999997</v>
      </c>
      <c r="L23" s="68">
        <f t="shared" si="14"/>
        <v>0.32179999999999997</v>
      </c>
      <c r="M23" s="68">
        <f t="shared" si="14"/>
        <v>0.32179999999999997</v>
      </c>
      <c r="N23" s="68">
        <v>0.51680000000000004</v>
      </c>
    </row>
    <row r="24" spans="1:14" x14ac:dyDescent="0.2">
      <c r="C24" s="70">
        <v>1</v>
      </c>
      <c r="D24" s="70">
        <v>1</v>
      </c>
      <c r="E24" s="70">
        <v>1</v>
      </c>
      <c r="F24" s="70">
        <v>1</v>
      </c>
      <c r="G24" s="70">
        <v>1</v>
      </c>
      <c r="H24" s="70">
        <v>1</v>
      </c>
      <c r="I24" s="70">
        <v>1</v>
      </c>
      <c r="J24" s="70">
        <v>1</v>
      </c>
      <c r="K24" s="70">
        <v>1</v>
      </c>
      <c r="L24" s="265">
        <v>1</v>
      </c>
      <c r="M24" s="70">
        <v>1</v>
      </c>
      <c r="N24" s="70">
        <v>1</v>
      </c>
    </row>
    <row r="26" spans="1:14" x14ac:dyDescent="0.2">
      <c r="A26" s="91" t="s">
        <v>44</v>
      </c>
    </row>
    <row r="27" spans="1:14" x14ac:dyDescent="0.2">
      <c r="B27" s="47" t="s">
        <v>22</v>
      </c>
      <c r="C27" s="57">
        <f t="shared" ref="C27:N27" si="15">+C$10*C13</f>
        <v>16.317600000000002</v>
      </c>
      <c r="D27" s="57">
        <f t="shared" si="15"/>
        <v>16.713449999999998</v>
      </c>
      <c r="E27" s="57">
        <f t="shared" si="15"/>
        <v>15.30555</v>
      </c>
      <c r="F27" s="57">
        <f t="shared" si="15"/>
        <v>18.840900000000001</v>
      </c>
      <c r="G27" s="57">
        <f t="shared" si="15"/>
        <v>16.57695</v>
      </c>
      <c r="H27" s="57">
        <f t="shared" si="15"/>
        <v>17.68845</v>
      </c>
      <c r="I27" s="57">
        <f t="shared" si="15"/>
        <v>19.170450000000002</v>
      </c>
      <c r="J27" s="57">
        <f t="shared" si="15"/>
        <v>17.411550000000002</v>
      </c>
      <c r="K27" s="57">
        <f t="shared" si="15"/>
        <v>20.724600000000002</v>
      </c>
      <c r="L27" s="261">
        <f t="shared" si="15"/>
        <v>14.50605</v>
      </c>
      <c r="M27" s="57">
        <f t="shared" si="15"/>
        <v>14.782950000000001</v>
      </c>
      <c r="N27" s="57">
        <f t="shared" si="15"/>
        <v>0</v>
      </c>
    </row>
    <row r="28" spans="1:14" x14ac:dyDescent="0.2">
      <c r="B28" s="47" t="s">
        <v>26</v>
      </c>
      <c r="C28" s="57">
        <f t="shared" ref="C28:N28" si="16">+C$10*C14</f>
        <v>14.911776000000001</v>
      </c>
      <c r="D28" s="57">
        <f t="shared" si="16"/>
        <v>15.273521999999998</v>
      </c>
      <c r="E28" s="57">
        <f t="shared" si="16"/>
        <v>13.986917999999999</v>
      </c>
      <c r="F28" s="57">
        <f t="shared" si="16"/>
        <v>17.217684000000002</v>
      </c>
      <c r="G28" s="57">
        <f t="shared" si="16"/>
        <v>15.148782000000001</v>
      </c>
      <c r="H28" s="57">
        <f t="shared" si="16"/>
        <v>16.164521999999998</v>
      </c>
      <c r="I28" s="57">
        <f t="shared" si="16"/>
        <v>17.518841999999999</v>
      </c>
      <c r="J28" s="57">
        <f t="shared" si="16"/>
        <v>15.911478000000001</v>
      </c>
      <c r="K28" s="57">
        <f t="shared" si="16"/>
        <v>18.939095999999999</v>
      </c>
      <c r="L28" s="261">
        <f t="shared" si="16"/>
        <v>13.256297999999999</v>
      </c>
      <c r="M28" s="57">
        <f t="shared" si="16"/>
        <v>13.509342</v>
      </c>
      <c r="N28" s="57">
        <f t="shared" si="16"/>
        <v>16.67061</v>
      </c>
    </row>
    <row r="29" spans="1:14" x14ac:dyDescent="0.2">
      <c r="B29" s="47" t="s">
        <v>36</v>
      </c>
      <c r="C29" s="57">
        <f t="shared" ref="C29:N29" si="17">+C$10*C15</f>
        <v>0</v>
      </c>
      <c r="D29" s="57">
        <f t="shared" si="17"/>
        <v>0</v>
      </c>
      <c r="E29" s="57">
        <f t="shared" si="17"/>
        <v>0</v>
      </c>
      <c r="F29" s="57">
        <f t="shared" si="17"/>
        <v>0</v>
      </c>
      <c r="G29" s="57">
        <f t="shared" si="17"/>
        <v>0</v>
      </c>
      <c r="H29" s="57">
        <f t="shared" si="17"/>
        <v>0</v>
      </c>
      <c r="I29" s="57">
        <f t="shared" si="17"/>
        <v>0</v>
      </c>
      <c r="J29" s="57">
        <f t="shared" si="17"/>
        <v>0</v>
      </c>
      <c r="K29" s="57">
        <f t="shared" si="17"/>
        <v>0</v>
      </c>
      <c r="L29" s="261">
        <f t="shared" si="17"/>
        <v>0</v>
      </c>
      <c r="M29" s="57">
        <f t="shared" si="17"/>
        <v>0</v>
      </c>
      <c r="N29" s="57">
        <f t="shared" si="17"/>
        <v>0</v>
      </c>
    </row>
    <row r="30" spans="1:14" x14ac:dyDescent="0.2">
      <c r="B30" s="47" t="s">
        <v>37</v>
      </c>
      <c r="C30" s="57">
        <f t="shared" ref="C30:N30" si="18">+C$10*C16</f>
        <v>1.3807200000000002</v>
      </c>
      <c r="D30" s="57">
        <f t="shared" si="18"/>
        <v>1.414215</v>
      </c>
      <c r="E30" s="57">
        <f t="shared" si="18"/>
        <v>1.295085</v>
      </c>
      <c r="F30" s="57">
        <f t="shared" si="18"/>
        <v>1.5942300000000003</v>
      </c>
      <c r="G30" s="57">
        <f t="shared" si="18"/>
        <v>1.4026650000000001</v>
      </c>
      <c r="H30" s="57">
        <f t="shared" si="18"/>
        <v>1.496715</v>
      </c>
      <c r="I30" s="57">
        <f t="shared" si="18"/>
        <v>1.6221150000000002</v>
      </c>
      <c r="J30" s="57">
        <f t="shared" si="18"/>
        <v>1.4732850000000002</v>
      </c>
      <c r="K30" s="57">
        <f t="shared" si="18"/>
        <v>1.7536200000000002</v>
      </c>
      <c r="L30" s="261">
        <f t="shared" si="18"/>
        <v>1.2274350000000001</v>
      </c>
      <c r="M30" s="57">
        <f t="shared" si="18"/>
        <v>1.2508650000000001</v>
      </c>
      <c r="N30" s="57">
        <f t="shared" si="18"/>
        <v>1.5435749999999999</v>
      </c>
    </row>
    <row r="31" spans="1:14" x14ac:dyDescent="0.2">
      <c r="B31" s="47" t="s">
        <v>38</v>
      </c>
      <c r="C31" s="57">
        <f t="shared" ref="C31:N31" si="19">+C$10*C17</f>
        <v>3.7572320000000006</v>
      </c>
      <c r="D31" s="57">
        <f t="shared" si="19"/>
        <v>3.848379</v>
      </c>
      <c r="E31" s="57">
        <f t="shared" si="19"/>
        <v>3.5242010000000001</v>
      </c>
      <c r="F31" s="57">
        <f t="shared" si="19"/>
        <v>4.3382380000000005</v>
      </c>
      <c r="G31" s="57">
        <f t="shared" si="19"/>
        <v>3.8169490000000006</v>
      </c>
      <c r="H31" s="57">
        <f t="shared" si="19"/>
        <v>4.0728790000000004</v>
      </c>
      <c r="I31" s="57">
        <f t="shared" si="19"/>
        <v>4.4141190000000003</v>
      </c>
      <c r="J31" s="57">
        <f t="shared" si="19"/>
        <v>4.0091210000000004</v>
      </c>
      <c r="K31" s="57">
        <f t="shared" si="19"/>
        <v>4.7719719999999999</v>
      </c>
      <c r="L31" s="261">
        <f t="shared" si="19"/>
        <v>3.3401110000000003</v>
      </c>
      <c r="M31" s="57">
        <f t="shared" si="19"/>
        <v>3.4038690000000003</v>
      </c>
      <c r="N31" s="57">
        <f t="shared" si="19"/>
        <v>4.2003950000000003</v>
      </c>
    </row>
    <row r="32" spans="1:14" x14ac:dyDescent="0.2">
      <c r="B32" s="47" t="s">
        <v>39</v>
      </c>
      <c r="C32" s="57">
        <f t="shared" ref="C32:N32" si="20">+C$10*C18</f>
        <v>0.62760000000000005</v>
      </c>
      <c r="D32" s="57">
        <f t="shared" si="20"/>
        <v>0.64282499999999998</v>
      </c>
      <c r="E32" s="57">
        <f t="shared" si="20"/>
        <v>0.58867499999999995</v>
      </c>
      <c r="F32" s="57">
        <f t="shared" si="20"/>
        <v>0.72465000000000002</v>
      </c>
      <c r="G32" s="57">
        <f t="shared" si="20"/>
        <v>0.637575</v>
      </c>
      <c r="H32" s="57">
        <f t="shared" si="20"/>
        <v>0.68032499999999996</v>
      </c>
      <c r="I32" s="57">
        <f t="shared" si="20"/>
        <v>0.73732500000000001</v>
      </c>
      <c r="J32" s="57">
        <f t="shared" si="20"/>
        <v>0.66967500000000002</v>
      </c>
      <c r="K32" s="57">
        <f t="shared" si="20"/>
        <v>0.79710000000000003</v>
      </c>
      <c r="L32" s="261">
        <f t="shared" si="20"/>
        <v>0.557925</v>
      </c>
      <c r="M32" s="57">
        <f t="shared" si="20"/>
        <v>0.56857499999999994</v>
      </c>
      <c r="N32" s="57">
        <f t="shared" si="20"/>
        <v>0.70162499999999994</v>
      </c>
    </row>
    <row r="33" spans="1:14" x14ac:dyDescent="0.2">
      <c r="B33" s="47" t="s">
        <v>40</v>
      </c>
      <c r="C33" s="57">
        <f t="shared" ref="C33:N33" si="21">+C$10*C19</f>
        <v>0</v>
      </c>
      <c r="D33" s="57">
        <f t="shared" si="21"/>
        <v>0</v>
      </c>
      <c r="E33" s="57">
        <f t="shared" si="21"/>
        <v>0</v>
      </c>
      <c r="F33" s="57">
        <f t="shared" si="21"/>
        <v>0</v>
      </c>
      <c r="G33" s="57">
        <f t="shared" si="21"/>
        <v>0</v>
      </c>
      <c r="H33" s="57">
        <f t="shared" si="21"/>
        <v>0</v>
      </c>
      <c r="I33" s="57">
        <f t="shared" si="21"/>
        <v>0</v>
      </c>
      <c r="J33" s="57">
        <f t="shared" si="21"/>
        <v>0</v>
      </c>
      <c r="K33" s="57">
        <f t="shared" si="21"/>
        <v>0</v>
      </c>
      <c r="L33" s="261">
        <f t="shared" si="21"/>
        <v>0</v>
      </c>
      <c r="M33" s="57">
        <f t="shared" si="21"/>
        <v>0</v>
      </c>
      <c r="N33" s="57">
        <f t="shared" si="21"/>
        <v>0</v>
      </c>
    </row>
    <row r="34" spans="1:14" x14ac:dyDescent="0.2">
      <c r="B34" s="47" t="s">
        <v>20</v>
      </c>
      <c r="C34" s="57">
        <f t="shared" ref="C34:N34" si="22">+C$10*C20</f>
        <v>14.794624000000002</v>
      </c>
      <c r="D34" s="57">
        <f t="shared" si="22"/>
        <v>15.153528</v>
      </c>
      <c r="E34" s="57">
        <f t="shared" si="22"/>
        <v>13.877032</v>
      </c>
      <c r="F34" s="57">
        <f t="shared" si="22"/>
        <v>17.082416000000002</v>
      </c>
      <c r="G34" s="57">
        <f t="shared" si="22"/>
        <v>15.029768000000002</v>
      </c>
      <c r="H34" s="57">
        <f t="shared" si="22"/>
        <v>16.037528000000002</v>
      </c>
      <c r="I34" s="57">
        <f t="shared" si="22"/>
        <v>17.381208000000001</v>
      </c>
      <c r="J34" s="57">
        <f t="shared" si="22"/>
        <v>15.786472000000002</v>
      </c>
      <c r="K34" s="57">
        <f t="shared" si="22"/>
        <v>18.790304000000003</v>
      </c>
      <c r="L34" s="261">
        <f t="shared" si="22"/>
        <v>13.152152000000001</v>
      </c>
      <c r="M34" s="57">
        <f t="shared" si="22"/>
        <v>13.403208000000001</v>
      </c>
      <c r="N34" s="57">
        <f t="shared" si="22"/>
        <v>16.539640000000002</v>
      </c>
    </row>
    <row r="35" spans="1:14" x14ac:dyDescent="0.2">
      <c r="B35" s="47" t="s">
        <v>41</v>
      </c>
      <c r="C35" s="57">
        <f t="shared" ref="C35:N35" si="23">+C$10*C21</f>
        <v>0</v>
      </c>
      <c r="D35" s="57">
        <f t="shared" si="23"/>
        <v>0</v>
      </c>
      <c r="E35" s="57">
        <f t="shared" si="23"/>
        <v>0</v>
      </c>
      <c r="F35" s="57">
        <f t="shared" si="23"/>
        <v>0</v>
      </c>
      <c r="G35" s="57">
        <f t="shared" si="23"/>
        <v>0</v>
      </c>
      <c r="H35" s="57">
        <f t="shared" si="23"/>
        <v>0</v>
      </c>
      <c r="I35" s="57">
        <f t="shared" si="23"/>
        <v>0</v>
      </c>
      <c r="J35" s="57">
        <f t="shared" si="23"/>
        <v>0</v>
      </c>
      <c r="K35" s="57">
        <f t="shared" si="23"/>
        <v>0</v>
      </c>
      <c r="L35" s="261">
        <f t="shared" si="23"/>
        <v>0</v>
      </c>
      <c r="M35" s="57">
        <f t="shared" si="23"/>
        <v>0</v>
      </c>
      <c r="N35" s="57">
        <f t="shared" si="23"/>
        <v>0</v>
      </c>
    </row>
    <row r="36" spans="1:14" x14ac:dyDescent="0.2">
      <c r="B36" s="47" t="s">
        <v>42</v>
      </c>
      <c r="C36" s="57">
        <f t="shared" ref="C36:N36" si="24">+C$10*C22</f>
        <v>4.9622240000000115</v>
      </c>
      <c r="D36" s="57">
        <f t="shared" si="24"/>
        <v>5.0826030000000104</v>
      </c>
      <c r="E36" s="57">
        <f t="shared" si="24"/>
        <v>4.6544570000000096</v>
      </c>
      <c r="F36" s="57">
        <f t="shared" si="24"/>
        <v>5.7295660000000126</v>
      </c>
      <c r="G36" s="57">
        <f t="shared" si="24"/>
        <v>5.0410930000000116</v>
      </c>
      <c r="H36" s="57">
        <f t="shared" si="24"/>
        <v>5.3791030000000113</v>
      </c>
      <c r="I36" s="57">
        <f t="shared" si="24"/>
        <v>5.8297830000000133</v>
      </c>
      <c r="J36" s="57">
        <f t="shared" si="24"/>
        <v>5.2948970000000122</v>
      </c>
      <c r="K36" s="57">
        <f t="shared" si="24"/>
        <v>6.3024040000000143</v>
      </c>
      <c r="L36" s="261">
        <f t="shared" si="24"/>
        <v>4.4113270000000098</v>
      </c>
      <c r="M36" s="57">
        <f t="shared" si="24"/>
        <v>4.4955330000000098</v>
      </c>
      <c r="N36" s="57">
        <f t="shared" si="24"/>
        <v>5.5475150000000122</v>
      </c>
    </row>
    <row r="37" spans="1:14" x14ac:dyDescent="0.2">
      <c r="B37" s="47" t="s">
        <v>43</v>
      </c>
      <c r="C37" s="65">
        <f t="shared" ref="C37:N37" si="25">+C$10*C23</f>
        <v>26.928224</v>
      </c>
      <c r="D37" s="65">
        <f t="shared" si="25"/>
        <v>27.581477999999997</v>
      </c>
      <c r="E37" s="65">
        <f t="shared" si="25"/>
        <v>25.258081999999998</v>
      </c>
      <c r="F37" s="65">
        <f t="shared" si="25"/>
        <v>31.092316</v>
      </c>
      <c r="G37" s="65">
        <f t="shared" si="25"/>
        <v>27.356217999999998</v>
      </c>
      <c r="H37" s="65">
        <f t="shared" si="25"/>
        <v>29.190477999999995</v>
      </c>
      <c r="I37" s="65">
        <f t="shared" si="25"/>
        <v>31.636157999999998</v>
      </c>
      <c r="J37" s="65">
        <f t="shared" si="25"/>
        <v>28.733522000000001</v>
      </c>
      <c r="K37" s="65">
        <f t="shared" si="25"/>
        <v>34.200903999999994</v>
      </c>
      <c r="L37" s="263">
        <f t="shared" si="25"/>
        <v>23.938701999999999</v>
      </c>
      <c r="M37" s="65">
        <f t="shared" si="25"/>
        <v>24.395657999999997</v>
      </c>
      <c r="N37" s="65">
        <f t="shared" si="25"/>
        <v>48.346640000000001</v>
      </c>
    </row>
    <row r="38" spans="1:14" x14ac:dyDescent="0.2">
      <c r="C38" s="57">
        <f t="shared" ref="C38:N38" si="26">SUM(C27:C37)</f>
        <v>83.68</v>
      </c>
      <c r="D38" s="57">
        <f t="shared" si="26"/>
        <v>85.710000000000008</v>
      </c>
      <c r="E38" s="57">
        <f t="shared" si="26"/>
        <v>78.490000000000009</v>
      </c>
      <c r="F38" s="57">
        <f t="shared" si="26"/>
        <v>96.620000000000019</v>
      </c>
      <c r="G38" s="57">
        <f t="shared" si="26"/>
        <v>85.010000000000019</v>
      </c>
      <c r="H38" s="57">
        <f t="shared" si="26"/>
        <v>90.710000000000008</v>
      </c>
      <c r="I38" s="57">
        <f t="shared" si="26"/>
        <v>98.31</v>
      </c>
      <c r="J38" s="57">
        <f t="shared" si="26"/>
        <v>89.29000000000002</v>
      </c>
      <c r="K38" s="57">
        <f t="shared" si="26"/>
        <v>106.28</v>
      </c>
      <c r="L38" s="261">
        <f t="shared" si="26"/>
        <v>74.39</v>
      </c>
      <c r="M38" s="57">
        <f t="shared" si="26"/>
        <v>75.810000000000016</v>
      </c>
      <c r="N38" s="57">
        <f t="shared" si="26"/>
        <v>93.550000000000011</v>
      </c>
    </row>
    <row r="40" spans="1:14" x14ac:dyDescent="0.2">
      <c r="A40" s="91" t="s">
        <v>45</v>
      </c>
    </row>
    <row r="41" spans="1:14" x14ac:dyDescent="0.2">
      <c r="B41" s="47" t="s">
        <v>22</v>
      </c>
      <c r="C41" s="112">
        <v>1</v>
      </c>
      <c r="D41" s="71">
        <v>1</v>
      </c>
      <c r="E41" s="71">
        <v>1</v>
      </c>
      <c r="F41" s="71">
        <v>1</v>
      </c>
      <c r="G41" s="71">
        <v>1</v>
      </c>
      <c r="H41" s="71">
        <v>1</v>
      </c>
      <c r="I41" s="71">
        <v>1</v>
      </c>
      <c r="J41" s="71">
        <v>1</v>
      </c>
      <c r="K41" s="71">
        <v>1</v>
      </c>
      <c r="L41" s="64">
        <v>1</v>
      </c>
      <c r="M41" s="71">
        <v>1</v>
      </c>
      <c r="N41" s="71">
        <v>1</v>
      </c>
    </row>
    <row r="42" spans="1:14" x14ac:dyDescent="0.2">
      <c r="B42" s="47" t="s">
        <v>26</v>
      </c>
      <c r="C42" s="112">
        <v>1</v>
      </c>
      <c r="D42" s="71">
        <v>1</v>
      </c>
      <c r="E42" s="71">
        <v>1</v>
      </c>
      <c r="F42" s="71">
        <v>1</v>
      </c>
      <c r="G42" s="71">
        <v>1</v>
      </c>
      <c r="H42" s="71">
        <v>1</v>
      </c>
      <c r="I42" s="71">
        <v>1</v>
      </c>
      <c r="J42" s="71">
        <v>1</v>
      </c>
      <c r="K42" s="71">
        <v>1</v>
      </c>
      <c r="L42" s="64">
        <v>1</v>
      </c>
      <c r="M42" s="71">
        <v>1</v>
      </c>
      <c r="N42" s="71">
        <v>1</v>
      </c>
    </row>
    <row r="43" spans="1:14" x14ac:dyDescent="0.2">
      <c r="B43" s="47" t="s">
        <v>36</v>
      </c>
      <c r="C43" s="112">
        <v>1</v>
      </c>
      <c r="D43" s="71">
        <v>1</v>
      </c>
      <c r="E43" s="71">
        <v>1</v>
      </c>
      <c r="F43" s="71">
        <v>1</v>
      </c>
      <c r="G43" s="71">
        <v>1</v>
      </c>
      <c r="H43" s="71">
        <v>1</v>
      </c>
      <c r="I43" s="71">
        <v>1</v>
      </c>
      <c r="J43" s="71">
        <v>1</v>
      </c>
      <c r="K43" s="71">
        <v>1</v>
      </c>
      <c r="L43" s="64">
        <v>1</v>
      </c>
      <c r="M43" s="71">
        <v>1</v>
      </c>
      <c r="N43" s="71">
        <v>1</v>
      </c>
    </row>
    <row r="44" spans="1:14" x14ac:dyDescent="0.2">
      <c r="B44" s="47" t="s">
        <v>37</v>
      </c>
      <c r="C44" s="112">
        <v>1</v>
      </c>
      <c r="D44" s="71">
        <v>1</v>
      </c>
      <c r="E44" s="71">
        <v>1</v>
      </c>
      <c r="F44" s="71">
        <v>1</v>
      </c>
      <c r="G44" s="71">
        <v>1</v>
      </c>
      <c r="H44" s="71">
        <v>1</v>
      </c>
      <c r="I44" s="71">
        <v>1</v>
      </c>
      <c r="J44" s="71">
        <v>1</v>
      </c>
      <c r="K44" s="71">
        <v>1</v>
      </c>
      <c r="L44" s="64">
        <v>1</v>
      </c>
      <c r="M44" s="71">
        <v>1</v>
      </c>
      <c r="N44" s="71">
        <v>1</v>
      </c>
    </row>
    <row r="45" spans="1:14" x14ac:dyDescent="0.2">
      <c r="B45" s="47" t="s">
        <v>38</v>
      </c>
      <c r="C45" s="112">
        <v>1</v>
      </c>
      <c r="D45" s="71">
        <v>1</v>
      </c>
      <c r="E45" s="71">
        <v>1</v>
      </c>
      <c r="F45" s="71">
        <v>1</v>
      </c>
      <c r="G45" s="71">
        <v>1</v>
      </c>
      <c r="H45" s="71">
        <v>1</v>
      </c>
      <c r="I45" s="71">
        <v>1</v>
      </c>
      <c r="J45" s="71">
        <v>1</v>
      </c>
      <c r="K45" s="71">
        <v>1</v>
      </c>
      <c r="L45" s="64">
        <v>1</v>
      </c>
      <c r="M45" s="71">
        <v>1</v>
      </c>
      <c r="N45" s="71">
        <v>1</v>
      </c>
    </row>
    <row r="46" spans="1:14" x14ac:dyDescent="0.2">
      <c r="B46" s="47" t="s">
        <v>39</v>
      </c>
      <c r="C46" s="112">
        <v>1</v>
      </c>
      <c r="D46" s="71">
        <v>1</v>
      </c>
      <c r="E46" s="71">
        <v>1</v>
      </c>
      <c r="F46" s="71">
        <v>1</v>
      </c>
      <c r="G46" s="71">
        <v>1</v>
      </c>
      <c r="H46" s="71">
        <v>1</v>
      </c>
      <c r="I46" s="71">
        <v>1</v>
      </c>
      <c r="J46" s="71">
        <v>1</v>
      </c>
      <c r="K46" s="71">
        <v>1</v>
      </c>
      <c r="L46" s="64">
        <v>1</v>
      </c>
      <c r="M46" s="71">
        <v>1</v>
      </c>
      <c r="N46" s="71">
        <v>1</v>
      </c>
    </row>
    <row r="47" spans="1:14" x14ac:dyDescent="0.2">
      <c r="B47" s="47" t="s">
        <v>40</v>
      </c>
      <c r="C47" s="112">
        <v>1</v>
      </c>
      <c r="D47" s="71">
        <v>1</v>
      </c>
      <c r="E47" s="71">
        <v>1</v>
      </c>
      <c r="F47" s="71">
        <v>1</v>
      </c>
      <c r="G47" s="71">
        <v>1</v>
      </c>
      <c r="H47" s="71">
        <v>1</v>
      </c>
      <c r="I47" s="71">
        <v>1</v>
      </c>
      <c r="J47" s="71">
        <v>1</v>
      </c>
      <c r="K47" s="71">
        <v>1</v>
      </c>
      <c r="L47" s="64">
        <v>1</v>
      </c>
      <c r="M47" s="71">
        <v>1</v>
      </c>
      <c r="N47" s="71">
        <v>1</v>
      </c>
    </row>
    <row r="48" spans="1:14" x14ac:dyDescent="0.2">
      <c r="B48" s="47" t="s">
        <v>20</v>
      </c>
      <c r="C48" s="112">
        <v>1</v>
      </c>
      <c r="D48" s="71">
        <v>1</v>
      </c>
      <c r="E48" s="71">
        <v>1</v>
      </c>
      <c r="F48" s="71">
        <v>1</v>
      </c>
      <c r="G48" s="71">
        <v>1</v>
      </c>
      <c r="H48" s="71">
        <v>1</v>
      </c>
      <c r="I48" s="71">
        <v>1</v>
      </c>
      <c r="J48" s="71">
        <v>1</v>
      </c>
      <c r="K48" s="71">
        <v>1</v>
      </c>
      <c r="L48" s="64">
        <v>1</v>
      </c>
      <c r="M48" s="71">
        <v>1</v>
      </c>
      <c r="N48" s="71">
        <v>1</v>
      </c>
    </row>
    <row r="49" spans="1:14" x14ac:dyDescent="0.2">
      <c r="B49" s="47" t="s">
        <v>41</v>
      </c>
      <c r="C49" s="112">
        <v>1</v>
      </c>
      <c r="D49" s="71">
        <v>1</v>
      </c>
      <c r="E49" s="71">
        <v>1</v>
      </c>
      <c r="F49" s="71">
        <v>1</v>
      </c>
      <c r="G49" s="71">
        <v>1</v>
      </c>
      <c r="H49" s="71">
        <v>1</v>
      </c>
      <c r="I49" s="71">
        <v>1</v>
      </c>
      <c r="J49" s="71">
        <v>1</v>
      </c>
      <c r="K49" s="71">
        <v>1</v>
      </c>
      <c r="L49" s="64">
        <v>1</v>
      </c>
      <c r="M49" s="71">
        <v>1</v>
      </c>
      <c r="N49" s="71">
        <v>1</v>
      </c>
    </row>
    <row r="50" spans="1:14" x14ac:dyDescent="0.2">
      <c r="B50" s="47" t="s">
        <v>42</v>
      </c>
      <c r="C50" s="112">
        <v>1</v>
      </c>
      <c r="D50" s="71">
        <v>1</v>
      </c>
      <c r="E50" s="71">
        <v>1</v>
      </c>
      <c r="F50" s="71">
        <v>1</v>
      </c>
      <c r="G50" s="71">
        <v>1</v>
      </c>
      <c r="H50" s="71">
        <v>1</v>
      </c>
      <c r="I50" s="71">
        <v>1</v>
      </c>
      <c r="J50" s="71">
        <v>1</v>
      </c>
      <c r="K50" s="71">
        <v>1</v>
      </c>
      <c r="L50" s="64">
        <v>1</v>
      </c>
      <c r="M50" s="71">
        <v>1</v>
      </c>
      <c r="N50" s="71">
        <v>1</v>
      </c>
    </row>
    <row r="51" spans="1:14" ht="14.25" customHeight="1" x14ac:dyDescent="0.2">
      <c r="C51" s="70"/>
      <c r="D51" s="71"/>
      <c r="E51" s="71"/>
      <c r="F51" s="71"/>
      <c r="G51" s="71"/>
      <c r="H51" s="71"/>
      <c r="I51" s="71"/>
      <c r="J51" s="71"/>
      <c r="K51" s="71"/>
      <c r="L51" s="64"/>
      <c r="M51" s="71"/>
      <c r="N51" s="71"/>
    </row>
    <row r="52" spans="1:14" x14ac:dyDescent="0.2">
      <c r="A52" s="47" t="s">
        <v>43</v>
      </c>
      <c r="C52" s="70">
        <f>+C65/C37</f>
        <v>0.99999999999999978</v>
      </c>
      <c r="D52" s="71">
        <v>1</v>
      </c>
      <c r="E52" s="71">
        <v>1</v>
      </c>
      <c r="F52" s="71">
        <v>1</v>
      </c>
      <c r="G52" s="71">
        <v>1</v>
      </c>
      <c r="H52" s="71">
        <v>1</v>
      </c>
      <c r="I52" s="71">
        <v>1</v>
      </c>
      <c r="J52" s="71">
        <v>1</v>
      </c>
      <c r="K52" s="71">
        <v>1</v>
      </c>
      <c r="L52" s="64">
        <v>1</v>
      </c>
      <c r="M52" s="71">
        <v>1</v>
      </c>
      <c r="N52" s="71">
        <v>1</v>
      </c>
    </row>
    <row r="53" spans="1:14" x14ac:dyDescent="0.2">
      <c r="L53" s="265"/>
      <c r="N53" s="71"/>
    </row>
    <row r="54" spans="1:14" x14ac:dyDescent="0.2">
      <c r="A54" s="91" t="s">
        <v>46</v>
      </c>
      <c r="L54" s="265"/>
      <c r="N54" s="71"/>
    </row>
    <row r="55" spans="1:14" x14ac:dyDescent="0.2">
      <c r="B55" s="47" t="s">
        <v>22</v>
      </c>
      <c r="C55" s="57">
        <f t="shared" ref="C55:N55" si="27">+C27*C41</f>
        <v>16.317600000000002</v>
      </c>
      <c r="D55" s="57">
        <f t="shared" si="27"/>
        <v>16.713449999999998</v>
      </c>
      <c r="E55" s="57">
        <f t="shared" si="27"/>
        <v>15.30555</v>
      </c>
      <c r="F55" s="57">
        <f t="shared" si="27"/>
        <v>18.840900000000001</v>
      </c>
      <c r="G55" s="57">
        <f t="shared" si="27"/>
        <v>16.57695</v>
      </c>
      <c r="H55" s="57">
        <f t="shared" si="27"/>
        <v>17.68845</v>
      </c>
      <c r="I55" s="57">
        <f t="shared" si="27"/>
        <v>19.170450000000002</v>
      </c>
      <c r="J55" s="57">
        <f t="shared" si="27"/>
        <v>17.411550000000002</v>
      </c>
      <c r="K55" s="57">
        <f t="shared" si="27"/>
        <v>20.724600000000002</v>
      </c>
      <c r="L55" s="261">
        <f t="shared" si="27"/>
        <v>14.50605</v>
      </c>
      <c r="M55" s="57">
        <f t="shared" si="27"/>
        <v>14.782950000000001</v>
      </c>
      <c r="N55" s="57">
        <f t="shared" si="27"/>
        <v>0</v>
      </c>
    </row>
    <row r="56" spans="1:14" x14ac:dyDescent="0.2">
      <c r="B56" s="47" t="s">
        <v>26</v>
      </c>
      <c r="C56" s="57">
        <f t="shared" ref="C56:N56" si="28">+C28*C42</f>
        <v>14.911776000000001</v>
      </c>
      <c r="D56" s="57">
        <f t="shared" si="28"/>
        <v>15.273521999999998</v>
      </c>
      <c r="E56" s="57">
        <f t="shared" si="28"/>
        <v>13.986917999999999</v>
      </c>
      <c r="F56" s="57">
        <f t="shared" si="28"/>
        <v>17.217684000000002</v>
      </c>
      <c r="G56" s="57">
        <f t="shared" si="28"/>
        <v>15.148782000000001</v>
      </c>
      <c r="H56" s="57">
        <f t="shared" si="28"/>
        <v>16.164521999999998</v>
      </c>
      <c r="I56" s="57">
        <f t="shared" si="28"/>
        <v>17.518841999999999</v>
      </c>
      <c r="J56" s="57">
        <f t="shared" si="28"/>
        <v>15.911478000000001</v>
      </c>
      <c r="K56" s="57">
        <f t="shared" si="28"/>
        <v>18.939095999999999</v>
      </c>
      <c r="L56" s="261">
        <f t="shared" si="28"/>
        <v>13.256297999999999</v>
      </c>
      <c r="M56" s="57">
        <f t="shared" si="28"/>
        <v>13.509342</v>
      </c>
      <c r="N56" s="57">
        <f t="shared" si="28"/>
        <v>16.67061</v>
      </c>
    </row>
    <row r="57" spans="1:14" x14ac:dyDescent="0.2">
      <c r="B57" s="47" t="s">
        <v>36</v>
      </c>
      <c r="C57" s="57">
        <f t="shared" ref="C57:N57" si="29">+C29*C43</f>
        <v>0</v>
      </c>
      <c r="D57" s="57">
        <f t="shared" si="29"/>
        <v>0</v>
      </c>
      <c r="E57" s="57">
        <f t="shared" si="29"/>
        <v>0</v>
      </c>
      <c r="F57" s="57">
        <f t="shared" si="29"/>
        <v>0</v>
      </c>
      <c r="G57" s="57">
        <f t="shared" si="29"/>
        <v>0</v>
      </c>
      <c r="H57" s="57">
        <f t="shared" si="29"/>
        <v>0</v>
      </c>
      <c r="I57" s="57">
        <f t="shared" si="29"/>
        <v>0</v>
      </c>
      <c r="J57" s="57">
        <f t="shared" si="29"/>
        <v>0</v>
      </c>
      <c r="K57" s="57">
        <f t="shared" si="29"/>
        <v>0</v>
      </c>
      <c r="L57" s="261">
        <f t="shared" si="29"/>
        <v>0</v>
      </c>
      <c r="M57" s="57">
        <f t="shared" si="29"/>
        <v>0</v>
      </c>
      <c r="N57" s="57">
        <f t="shared" si="29"/>
        <v>0</v>
      </c>
    </row>
    <row r="58" spans="1:14" x14ac:dyDescent="0.2">
      <c r="B58" s="47" t="s">
        <v>37</v>
      </c>
      <c r="C58" s="57">
        <f t="shared" ref="C58:N58" si="30">+C30*C44</f>
        <v>1.3807200000000002</v>
      </c>
      <c r="D58" s="57">
        <f t="shared" si="30"/>
        <v>1.414215</v>
      </c>
      <c r="E58" s="57">
        <f t="shared" si="30"/>
        <v>1.295085</v>
      </c>
      <c r="F58" s="57">
        <f t="shared" si="30"/>
        <v>1.5942300000000003</v>
      </c>
      <c r="G58" s="57">
        <f t="shared" si="30"/>
        <v>1.4026650000000001</v>
      </c>
      <c r="H58" s="57">
        <f t="shared" si="30"/>
        <v>1.496715</v>
      </c>
      <c r="I58" s="57">
        <f t="shared" si="30"/>
        <v>1.6221150000000002</v>
      </c>
      <c r="J58" s="57">
        <f t="shared" si="30"/>
        <v>1.4732850000000002</v>
      </c>
      <c r="K58" s="57">
        <f t="shared" si="30"/>
        <v>1.7536200000000002</v>
      </c>
      <c r="L58" s="261">
        <f t="shared" si="30"/>
        <v>1.2274350000000001</v>
      </c>
      <c r="M58" s="57">
        <f t="shared" si="30"/>
        <v>1.2508650000000001</v>
      </c>
      <c r="N58" s="57">
        <f t="shared" si="30"/>
        <v>1.5435749999999999</v>
      </c>
    </row>
    <row r="59" spans="1:14" x14ac:dyDescent="0.2">
      <c r="B59" s="47" t="s">
        <v>38</v>
      </c>
      <c r="C59" s="57">
        <f t="shared" ref="C59:N59" si="31">+C31*C45</f>
        <v>3.7572320000000006</v>
      </c>
      <c r="D59" s="57">
        <f t="shared" si="31"/>
        <v>3.848379</v>
      </c>
      <c r="E59" s="57">
        <f t="shared" si="31"/>
        <v>3.5242010000000001</v>
      </c>
      <c r="F59" s="57">
        <f t="shared" si="31"/>
        <v>4.3382380000000005</v>
      </c>
      <c r="G59" s="57">
        <f t="shared" si="31"/>
        <v>3.8169490000000006</v>
      </c>
      <c r="H59" s="57">
        <f t="shared" si="31"/>
        <v>4.0728790000000004</v>
      </c>
      <c r="I59" s="57">
        <f t="shared" si="31"/>
        <v>4.4141190000000003</v>
      </c>
      <c r="J59" s="57">
        <f t="shared" si="31"/>
        <v>4.0091210000000004</v>
      </c>
      <c r="K59" s="57">
        <f t="shared" si="31"/>
        <v>4.7719719999999999</v>
      </c>
      <c r="L59" s="261">
        <f t="shared" si="31"/>
        <v>3.3401110000000003</v>
      </c>
      <c r="M59" s="57">
        <f t="shared" si="31"/>
        <v>3.4038690000000003</v>
      </c>
      <c r="N59" s="57">
        <f t="shared" si="31"/>
        <v>4.2003950000000003</v>
      </c>
    </row>
    <row r="60" spans="1:14" x14ac:dyDescent="0.2">
      <c r="B60" s="47" t="s">
        <v>39</v>
      </c>
      <c r="C60" s="72">
        <f t="shared" ref="C60:N60" si="32">+C32*C46</f>
        <v>0.62760000000000005</v>
      </c>
      <c r="D60" s="72">
        <f t="shared" si="32"/>
        <v>0.64282499999999998</v>
      </c>
      <c r="E60" s="72">
        <f t="shared" si="32"/>
        <v>0.58867499999999995</v>
      </c>
      <c r="F60" s="72">
        <f t="shared" si="32"/>
        <v>0.72465000000000002</v>
      </c>
      <c r="G60" s="72">
        <f t="shared" si="32"/>
        <v>0.637575</v>
      </c>
      <c r="H60" s="72">
        <f t="shared" si="32"/>
        <v>0.68032499999999996</v>
      </c>
      <c r="I60" s="72">
        <f t="shared" si="32"/>
        <v>0.73732500000000001</v>
      </c>
      <c r="J60" s="72">
        <f t="shared" si="32"/>
        <v>0.66967500000000002</v>
      </c>
      <c r="K60" s="72">
        <f t="shared" si="32"/>
        <v>0.79710000000000003</v>
      </c>
      <c r="L60" s="264">
        <f t="shared" si="32"/>
        <v>0.557925</v>
      </c>
      <c r="M60" s="72">
        <f t="shared" si="32"/>
        <v>0.56857499999999994</v>
      </c>
      <c r="N60" s="72">
        <f t="shared" si="32"/>
        <v>0.70162499999999994</v>
      </c>
    </row>
    <row r="61" spans="1:14" x14ac:dyDescent="0.2">
      <c r="B61" s="47" t="s">
        <v>40</v>
      </c>
      <c r="C61" s="57">
        <f t="shared" ref="C61:N61" si="33">+C33*C47</f>
        <v>0</v>
      </c>
      <c r="D61" s="57">
        <f t="shared" si="33"/>
        <v>0</v>
      </c>
      <c r="E61" s="57">
        <f t="shared" si="33"/>
        <v>0</v>
      </c>
      <c r="F61" s="57">
        <f t="shared" si="33"/>
        <v>0</v>
      </c>
      <c r="G61" s="57">
        <f t="shared" si="33"/>
        <v>0</v>
      </c>
      <c r="H61" s="57">
        <f t="shared" si="33"/>
        <v>0</v>
      </c>
      <c r="I61" s="57">
        <f t="shared" si="33"/>
        <v>0</v>
      </c>
      <c r="J61" s="57">
        <f t="shared" si="33"/>
        <v>0</v>
      </c>
      <c r="K61" s="57">
        <f t="shared" si="33"/>
        <v>0</v>
      </c>
      <c r="L61" s="261">
        <f t="shared" si="33"/>
        <v>0</v>
      </c>
      <c r="M61" s="57">
        <f t="shared" si="33"/>
        <v>0</v>
      </c>
      <c r="N61" s="57">
        <f t="shared" si="33"/>
        <v>0</v>
      </c>
    </row>
    <row r="62" spans="1:14" x14ac:dyDescent="0.2">
      <c r="B62" s="47" t="s">
        <v>33</v>
      </c>
      <c r="C62" s="57">
        <f t="shared" ref="C62:N62" si="34">+C34*C48</f>
        <v>14.794624000000002</v>
      </c>
      <c r="D62" s="57">
        <f t="shared" si="34"/>
        <v>15.153528</v>
      </c>
      <c r="E62" s="57">
        <f t="shared" si="34"/>
        <v>13.877032</v>
      </c>
      <c r="F62" s="57">
        <f t="shared" si="34"/>
        <v>17.082416000000002</v>
      </c>
      <c r="G62" s="57">
        <f t="shared" si="34"/>
        <v>15.029768000000002</v>
      </c>
      <c r="H62" s="57">
        <f t="shared" si="34"/>
        <v>16.037528000000002</v>
      </c>
      <c r="I62" s="57">
        <f t="shared" si="34"/>
        <v>17.381208000000001</v>
      </c>
      <c r="J62" s="57">
        <f t="shared" si="34"/>
        <v>15.786472000000002</v>
      </c>
      <c r="K62" s="57">
        <f t="shared" si="34"/>
        <v>18.790304000000003</v>
      </c>
      <c r="L62" s="261">
        <f t="shared" si="34"/>
        <v>13.152152000000001</v>
      </c>
      <c r="M62" s="57">
        <f t="shared" si="34"/>
        <v>13.403208000000001</v>
      </c>
      <c r="N62" s="57">
        <f t="shared" si="34"/>
        <v>16.539640000000002</v>
      </c>
    </row>
    <row r="63" spans="1:14" x14ac:dyDescent="0.2">
      <c r="B63" s="47" t="s">
        <v>41</v>
      </c>
      <c r="C63" s="57">
        <f t="shared" ref="C63:N63" si="35">+C35*C49</f>
        <v>0</v>
      </c>
      <c r="D63" s="57">
        <f t="shared" si="35"/>
        <v>0</v>
      </c>
      <c r="E63" s="57">
        <f t="shared" si="35"/>
        <v>0</v>
      </c>
      <c r="F63" s="57">
        <f t="shared" si="35"/>
        <v>0</v>
      </c>
      <c r="G63" s="57">
        <f t="shared" si="35"/>
        <v>0</v>
      </c>
      <c r="H63" s="57">
        <f t="shared" si="35"/>
        <v>0</v>
      </c>
      <c r="I63" s="57">
        <f t="shared" si="35"/>
        <v>0</v>
      </c>
      <c r="J63" s="57">
        <f t="shared" si="35"/>
        <v>0</v>
      </c>
      <c r="K63" s="57">
        <f t="shared" si="35"/>
        <v>0</v>
      </c>
      <c r="L63" s="261">
        <f t="shared" si="35"/>
        <v>0</v>
      </c>
      <c r="M63" s="57">
        <f t="shared" si="35"/>
        <v>0</v>
      </c>
      <c r="N63" s="57">
        <f t="shared" si="35"/>
        <v>0</v>
      </c>
    </row>
    <row r="64" spans="1:14" x14ac:dyDescent="0.2">
      <c r="B64" s="47" t="s">
        <v>42</v>
      </c>
      <c r="C64" s="57">
        <f t="shared" ref="C64:N64" si="36">+C36*C50</f>
        <v>4.9622240000000115</v>
      </c>
      <c r="D64" s="57">
        <f t="shared" si="36"/>
        <v>5.0826030000000104</v>
      </c>
      <c r="E64" s="57">
        <f t="shared" si="36"/>
        <v>4.6544570000000096</v>
      </c>
      <c r="F64" s="57">
        <f t="shared" si="36"/>
        <v>5.7295660000000126</v>
      </c>
      <c r="G64" s="57">
        <f t="shared" si="36"/>
        <v>5.0410930000000116</v>
      </c>
      <c r="H64" s="57">
        <f t="shared" si="36"/>
        <v>5.3791030000000113</v>
      </c>
      <c r="I64" s="57">
        <f t="shared" si="36"/>
        <v>5.8297830000000133</v>
      </c>
      <c r="J64" s="57">
        <f t="shared" si="36"/>
        <v>5.2948970000000122</v>
      </c>
      <c r="K64" s="57">
        <f t="shared" si="36"/>
        <v>6.3024040000000143</v>
      </c>
      <c r="L64" s="261">
        <f t="shared" si="36"/>
        <v>4.4113270000000098</v>
      </c>
      <c r="M64" s="57">
        <f t="shared" si="36"/>
        <v>4.4955330000000098</v>
      </c>
      <c r="N64" s="57">
        <f t="shared" si="36"/>
        <v>5.5475150000000122</v>
      </c>
    </row>
    <row r="65" spans="1:16" x14ac:dyDescent="0.2">
      <c r="B65" s="47" t="s">
        <v>43</v>
      </c>
      <c r="C65" s="65">
        <f t="shared" ref="C65:N65" si="37">+C7-SUM(C55:C64)</f>
        <v>26.928223999999993</v>
      </c>
      <c r="D65" s="65">
        <f t="shared" si="37"/>
        <v>27.581477999999983</v>
      </c>
      <c r="E65" s="65">
        <f t="shared" si="37"/>
        <v>25.258081999999987</v>
      </c>
      <c r="F65" s="65">
        <f t="shared" si="37"/>
        <v>31.092315999999983</v>
      </c>
      <c r="G65" s="65">
        <f t="shared" si="37"/>
        <v>27.356217999999991</v>
      </c>
      <c r="H65" s="65">
        <f t="shared" si="37"/>
        <v>29.190477999999985</v>
      </c>
      <c r="I65" s="65">
        <f t="shared" si="37"/>
        <v>31.636157999999995</v>
      </c>
      <c r="J65" s="65">
        <f t="shared" si="37"/>
        <v>28.733521999999994</v>
      </c>
      <c r="K65" s="65">
        <f t="shared" si="37"/>
        <v>34.200903999999994</v>
      </c>
      <c r="L65" s="263">
        <f t="shared" si="37"/>
        <v>23.938701999999999</v>
      </c>
      <c r="M65" s="65">
        <f t="shared" si="37"/>
        <v>24.395657999999983</v>
      </c>
      <c r="N65" s="65">
        <f t="shared" si="37"/>
        <v>48.346639999999987</v>
      </c>
    </row>
    <row r="66" spans="1:16" x14ac:dyDescent="0.2">
      <c r="C66" s="57">
        <f t="shared" ref="C66:N66" si="38">SUM(C55:C65)</f>
        <v>83.68</v>
      </c>
      <c r="D66" s="57">
        <f t="shared" si="38"/>
        <v>85.71</v>
      </c>
      <c r="E66" s="57">
        <f t="shared" si="38"/>
        <v>78.489999999999995</v>
      </c>
      <c r="F66" s="57">
        <f t="shared" si="38"/>
        <v>96.62</v>
      </c>
      <c r="G66" s="57">
        <f t="shared" si="38"/>
        <v>85.01</v>
      </c>
      <c r="H66" s="57">
        <f t="shared" si="38"/>
        <v>90.71</v>
      </c>
      <c r="I66" s="57">
        <f t="shared" si="38"/>
        <v>98.31</v>
      </c>
      <c r="J66" s="57">
        <f t="shared" si="38"/>
        <v>89.29</v>
      </c>
      <c r="K66" s="57">
        <f t="shared" si="38"/>
        <v>106.28</v>
      </c>
      <c r="L66" s="261">
        <f t="shared" si="38"/>
        <v>74.39</v>
      </c>
      <c r="M66" s="57">
        <f t="shared" si="38"/>
        <v>75.81</v>
      </c>
      <c r="N66" s="57">
        <f t="shared" si="38"/>
        <v>93.55</v>
      </c>
    </row>
    <row r="67" spans="1:16" ht="8.1" customHeight="1" x14ac:dyDescent="0.2"/>
    <row r="68" spans="1:16" x14ac:dyDescent="0.2">
      <c r="A68" s="113" t="s">
        <v>47</v>
      </c>
      <c r="E68" s="47" t="s">
        <v>74</v>
      </c>
    </row>
    <row r="69" spans="1:16" x14ac:dyDescent="0.2">
      <c r="B69" s="47" t="s">
        <v>22</v>
      </c>
      <c r="C69" s="199">
        <v>65.3</v>
      </c>
      <c r="D69" s="199">
        <v>85.06</v>
      </c>
      <c r="E69" s="199">
        <v>98.56</v>
      </c>
      <c r="F69" s="199">
        <v>81.63</v>
      </c>
      <c r="G69" s="200">
        <v>63.02</v>
      </c>
      <c r="H69" s="200">
        <v>60.33</v>
      </c>
      <c r="I69" s="199">
        <v>65.930000000000007</v>
      </c>
      <c r="J69" s="199">
        <v>63.69</v>
      </c>
      <c r="K69" s="199">
        <v>39.799999999999997</v>
      </c>
      <c r="L69" s="198">
        <v>-18.13</v>
      </c>
      <c r="M69" s="198">
        <v>-16.23</v>
      </c>
      <c r="N69" s="198">
        <v>0</v>
      </c>
    </row>
    <row r="70" spans="1:16" x14ac:dyDescent="0.2">
      <c r="B70" s="47" t="s">
        <v>26</v>
      </c>
      <c r="C70" s="199">
        <v>132.68</v>
      </c>
      <c r="D70" s="199">
        <v>159.52000000000001</v>
      </c>
      <c r="E70" s="199">
        <v>163.29</v>
      </c>
      <c r="F70" s="199">
        <v>145.72999999999999</v>
      </c>
      <c r="G70" s="200">
        <v>110.68</v>
      </c>
      <c r="H70" s="200">
        <v>81.77</v>
      </c>
      <c r="I70" s="199">
        <v>114.18</v>
      </c>
      <c r="J70" s="199">
        <v>107.57</v>
      </c>
      <c r="K70" s="199">
        <v>105.09</v>
      </c>
      <c r="L70" s="199">
        <v>62.76</v>
      </c>
      <c r="M70" s="199">
        <v>56.69</v>
      </c>
      <c r="N70" s="204">
        <v>57.61</v>
      </c>
      <c r="P70" s="262"/>
    </row>
    <row r="71" spans="1:16" x14ac:dyDescent="0.2">
      <c r="B71" s="47" t="s">
        <v>36</v>
      </c>
      <c r="C71" s="199">
        <v>0</v>
      </c>
      <c r="D71" s="199"/>
      <c r="E71" s="199"/>
      <c r="F71" s="199"/>
      <c r="G71" s="200"/>
      <c r="H71" s="200"/>
      <c r="I71" s="199"/>
      <c r="J71" s="199"/>
      <c r="K71" s="199"/>
      <c r="L71" s="199"/>
      <c r="M71" s="199"/>
      <c r="N71" s="199"/>
      <c r="P71" s="262"/>
    </row>
    <row r="72" spans="1:16" x14ac:dyDescent="0.2">
      <c r="B72" s="47" t="s">
        <v>37</v>
      </c>
      <c r="C72" s="199">
        <v>71.989999999999995</v>
      </c>
      <c r="D72" s="199">
        <v>69.08</v>
      </c>
      <c r="E72" s="199">
        <v>67.63</v>
      </c>
      <c r="F72" s="199">
        <v>78.11</v>
      </c>
      <c r="G72" s="200">
        <v>86.53</v>
      </c>
      <c r="H72" s="200">
        <v>76.06</v>
      </c>
      <c r="I72" s="199">
        <v>78.08</v>
      </c>
      <c r="J72" s="199">
        <v>88.61</v>
      </c>
      <c r="K72" s="199">
        <v>102.96</v>
      </c>
      <c r="L72" s="199">
        <v>92.72</v>
      </c>
      <c r="M72" s="199">
        <v>106.7</v>
      </c>
      <c r="N72" s="204">
        <v>109.51</v>
      </c>
      <c r="P72" s="262"/>
    </row>
    <row r="73" spans="1:16" x14ac:dyDescent="0.2">
      <c r="B73" s="47" t="s">
        <v>38</v>
      </c>
      <c r="C73" s="199">
        <v>92.51</v>
      </c>
      <c r="D73" s="199">
        <v>70.599999999999994</v>
      </c>
      <c r="E73" s="199">
        <v>62.55</v>
      </c>
      <c r="F73" s="199">
        <v>83.03</v>
      </c>
      <c r="G73" s="200">
        <v>72.099999999999994</v>
      </c>
      <c r="H73" s="200">
        <v>48.29</v>
      </c>
      <c r="I73" s="199">
        <v>50.05</v>
      </c>
      <c r="J73" s="199">
        <v>51.67</v>
      </c>
      <c r="K73" s="199">
        <v>53.44</v>
      </c>
      <c r="L73" s="199">
        <v>85.33</v>
      </c>
      <c r="M73" s="199">
        <v>105.24</v>
      </c>
      <c r="N73" s="204">
        <v>107.91</v>
      </c>
      <c r="P73" s="262"/>
    </row>
    <row r="74" spans="1:16" x14ac:dyDescent="0.2">
      <c r="B74" s="47" t="s">
        <v>39</v>
      </c>
      <c r="C74" s="199">
        <v>905.35</v>
      </c>
      <c r="D74" s="199">
        <v>894.34</v>
      </c>
      <c r="E74" s="199">
        <v>871.1</v>
      </c>
      <c r="F74" s="199">
        <v>905.36</v>
      </c>
      <c r="G74" s="200">
        <v>953.11</v>
      </c>
      <c r="H74" s="200">
        <v>980.71</v>
      </c>
      <c r="I74" s="199">
        <v>971.66</v>
      </c>
      <c r="J74" s="199">
        <v>973.36</v>
      </c>
      <c r="K74" s="199">
        <v>1013.02</v>
      </c>
      <c r="L74" s="199">
        <v>988.19</v>
      </c>
      <c r="M74" s="199">
        <v>977.91</v>
      </c>
      <c r="N74" s="204">
        <v>989.87</v>
      </c>
      <c r="P74" s="262"/>
    </row>
    <row r="75" spans="1:16" x14ac:dyDescent="0.2">
      <c r="B75" s="47" t="s">
        <v>40</v>
      </c>
      <c r="C75" s="199">
        <v>0</v>
      </c>
      <c r="D75" s="199"/>
      <c r="E75" s="199"/>
      <c r="F75" s="199"/>
      <c r="G75" s="200"/>
      <c r="H75" s="200"/>
      <c r="I75" s="199"/>
      <c r="J75" s="199"/>
      <c r="K75" s="199"/>
      <c r="L75" s="199"/>
      <c r="M75" s="199"/>
      <c r="N75" s="199"/>
      <c r="P75" s="262"/>
    </row>
    <row r="76" spans="1:16" x14ac:dyDescent="0.2">
      <c r="B76" s="47" t="s">
        <v>33</v>
      </c>
      <c r="C76" s="198">
        <v>-15.91</v>
      </c>
      <c r="D76" s="198">
        <v>-6.4</v>
      </c>
      <c r="E76" s="198">
        <v>-6.61</v>
      </c>
      <c r="F76" s="198">
        <v>-4.34</v>
      </c>
      <c r="G76" s="201">
        <v>-5.61</v>
      </c>
      <c r="H76" s="201">
        <v>-8.7799999999999994</v>
      </c>
      <c r="I76" s="198">
        <v>-2.5099999999999998</v>
      </c>
      <c r="J76" s="198">
        <v>-9.4600000000000009</v>
      </c>
      <c r="K76" s="198">
        <v>-9.98</v>
      </c>
      <c r="L76" s="198">
        <v>-8.01</v>
      </c>
      <c r="M76" s="198">
        <v>-9</v>
      </c>
      <c r="N76" s="204">
        <v>-10.23</v>
      </c>
      <c r="P76" s="262"/>
    </row>
    <row r="77" spans="1:16" x14ac:dyDescent="0.2">
      <c r="B77" s="47" t="s">
        <v>41</v>
      </c>
      <c r="C77" s="198"/>
      <c r="D77" s="198"/>
      <c r="E77" s="198"/>
      <c r="F77" s="198"/>
      <c r="G77" s="201"/>
      <c r="H77" s="201"/>
      <c r="I77" s="198"/>
      <c r="J77" s="198"/>
      <c r="K77" s="198"/>
      <c r="L77" s="198"/>
      <c r="M77" s="198"/>
      <c r="N77" s="204"/>
      <c r="P77" s="262"/>
    </row>
    <row r="78" spans="1:16" x14ac:dyDescent="0.2">
      <c r="B78" s="47" t="s">
        <v>42</v>
      </c>
      <c r="C78" s="198">
        <v>-134.59</v>
      </c>
      <c r="D78" s="198">
        <v>-134.59</v>
      </c>
      <c r="E78" s="198">
        <v>-134.59</v>
      </c>
      <c r="F78" s="198">
        <v>-134.59</v>
      </c>
      <c r="G78" s="201">
        <v>-134.59</v>
      </c>
      <c r="H78" s="201">
        <v>-134.59</v>
      </c>
      <c r="I78" s="198">
        <v>-134.59</v>
      </c>
      <c r="J78" s="198">
        <v>-134.59</v>
      </c>
      <c r="K78" s="198">
        <v>-134.59</v>
      </c>
      <c r="L78" s="198">
        <v>-134.59</v>
      </c>
      <c r="M78" s="198">
        <v>-134.59</v>
      </c>
      <c r="N78" s="204">
        <v>-134.59</v>
      </c>
    </row>
    <row r="79" spans="1:16" x14ac:dyDescent="0.2">
      <c r="B79" s="47" t="s">
        <v>43</v>
      </c>
      <c r="C79" s="199">
        <v>60.14</v>
      </c>
      <c r="D79" s="199">
        <v>78.88</v>
      </c>
      <c r="E79" s="199">
        <v>93.44</v>
      </c>
      <c r="F79" s="199">
        <v>77.209999999999994</v>
      </c>
      <c r="G79" s="200">
        <v>57.85</v>
      </c>
      <c r="H79" s="200">
        <v>55.22</v>
      </c>
      <c r="I79" s="199">
        <v>52.85</v>
      </c>
      <c r="J79" s="199">
        <v>49.88</v>
      </c>
      <c r="K79" s="199">
        <v>40.17</v>
      </c>
      <c r="L79" s="198">
        <v>-21.81</v>
      </c>
      <c r="M79" s="198">
        <v>-21.39</v>
      </c>
      <c r="N79" s="204">
        <v>-20.59</v>
      </c>
      <c r="O79" s="74">
        <f>SUM(C69:N79)</f>
        <v>14011.14</v>
      </c>
    </row>
    <row r="80" spans="1:16" ht="8.1" customHeight="1" x14ac:dyDescent="0.2"/>
    <row r="81" spans="1:15" x14ac:dyDescent="0.2">
      <c r="A81" s="91" t="s">
        <v>48</v>
      </c>
    </row>
    <row r="82" spans="1:15" x14ac:dyDescent="0.2">
      <c r="B82" s="47" t="s">
        <v>22</v>
      </c>
      <c r="C82" s="58">
        <f t="shared" ref="C82:N82" si="39">+C69*C55</f>
        <v>1065.5392800000002</v>
      </c>
      <c r="D82" s="57">
        <f t="shared" si="39"/>
        <v>1421.6460569999999</v>
      </c>
      <c r="E82" s="57">
        <f t="shared" si="39"/>
        <v>1508.5150080000001</v>
      </c>
      <c r="F82" s="57">
        <f t="shared" si="39"/>
        <v>1537.982667</v>
      </c>
      <c r="G82" s="57">
        <f t="shared" si="39"/>
        <v>1044.6793890000001</v>
      </c>
      <c r="H82" s="57">
        <f t="shared" si="39"/>
        <v>1067.1441884999999</v>
      </c>
      <c r="I82" s="57">
        <f t="shared" si="39"/>
        <v>1263.9077685000002</v>
      </c>
      <c r="J82" s="57">
        <f t="shared" si="39"/>
        <v>1108.9416195000001</v>
      </c>
      <c r="K82" s="57">
        <f t="shared" si="39"/>
        <v>824.83908000000008</v>
      </c>
      <c r="L82" s="261">
        <f t="shared" si="39"/>
        <v>-262.9946865</v>
      </c>
      <c r="M82" s="57">
        <f t="shared" si="39"/>
        <v>-239.92727850000003</v>
      </c>
      <c r="N82" s="57">
        <f t="shared" si="39"/>
        <v>0</v>
      </c>
      <c r="O82" s="74">
        <f t="shared" ref="O82:O93" si="40">SUM(C82:N82)</f>
        <v>10340.273092500001</v>
      </c>
    </row>
    <row r="83" spans="1:15" x14ac:dyDescent="0.2">
      <c r="B83" s="47" t="s">
        <v>26</v>
      </c>
      <c r="C83" s="58">
        <f t="shared" ref="C83:N83" si="41">+C70*C56</f>
        <v>1978.4944396800004</v>
      </c>
      <c r="D83" s="57">
        <f t="shared" si="41"/>
        <v>2436.4322294399999</v>
      </c>
      <c r="E83" s="57">
        <f t="shared" si="41"/>
        <v>2283.9238402199999</v>
      </c>
      <c r="F83" s="57">
        <f t="shared" si="41"/>
        <v>2509.1330893200002</v>
      </c>
      <c r="G83" s="57">
        <f t="shared" si="41"/>
        <v>1676.6671917600002</v>
      </c>
      <c r="H83" s="57">
        <f t="shared" si="41"/>
        <v>1321.7729639399997</v>
      </c>
      <c r="I83" s="57">
        <f t="shared" si="41"/>
        <v>2000.30137956</v>
      </c>
      <c r="J83" s="57">
        <f t="shared" si="41"/>
        <v>1711.59768846</v>
      </c>
      <c r="K83" s="57">
        <f t="shared" si="41"/>
        <v>1990.3095986399999</v>
      </c>
      <c r="L83" s="261">
        <f t="shared" si="41"/>
        <v>831.96526247999998</v>
      </c>
      <c r="M83" s="57">
        <f t="shared" si="41"/>
        <v>765.84459798</v>
      </c>
      <c r="N83" s="57">
        <f t="shared" si="41"/>
        <v>960.39384210000003</v>
      </c>
      <c r="O83" s="74">
        <f t="shared" si="40"/>
        <v>20466.83612358</v>
      </c>
    </row>
    <row r="84" spans="1:15" x14ac:dyDescent="0.2">
      <c r="B84" s="47" t="s">
        <v>36</v>
      </c>
      <c r="C84" s="58">
        <f t="shared" ref="C84:N84" si="42">+C71*C57</f>
        <v>0</v>
      </c>
      <c r="D84" s="57">
        <f t="shared" si="42"/>
        <v>0</v>
      </c>
      <c r="E84" s="57">
        <f t="shared" si="42"/>
        <v>0</v>
      </c>
      <c r="F84" s="57">
        <f t="shared" si="42"/>
        <v>0</v>
      </c>
      <c r="G84" s="57">
        <f t="shared" si="42"/>
        <v>0</v>
      </c>
      <c r="H84" s="57">
        <f t="shared" si="42"/>
        <v>0</v>
      </c>
      <c r="I84" s="57">
        <f t="shared" si="42"/>
        <v>0</v>
      </c>
      <c r="J84" s="57">
        <f t="shared" si="42"/>
        <v>0</v>
      </c>
      <c r="K84" s="57">
        <f t="shared" si="42"/>
        <v>0</v>
      </c>
      <c r="L84" s="261">
        <f t="shared" si="42"/>
        <v>0</v>
      </c>
      <c r="M84" s="57">
        <f t="shared" si="42"/>
        <v>0</v>
      </c>
      <c r="N84" s="57">
        <f t="shared" si="42"/>
        <v>0</v>
      </c>
      <c r="O84" s="74">
        <f t="shared" si="40"/>
        <v>0</v>
      </c>
    </row>
    <row r="85" spans="1:15" x14ac:dyDescent="0.2">
      <c r="B85" s="47" t="s">
        <v>37</v>
      </c>
      <c r="C85" s="58">
        <f t="shared" ref="C85:N85" si="43">+C72*C58</f>
        <v>99.39803280000001</v>
      </c>
      <c r="D85" s="57">
        <f t="shared" si="43"/>
        <v>97.693972200000005</v>
      </c>
      <c r="E85" s="57">
        <f t="shared" si="43"/>
        <v>87.586598549999991</v>
      </c>
      <c r="F85" s="57">
        <f t="shared" si="43"/>
        <v>124.52530530000001</v>
      </c>
      <c r="G85" s="57">
        <f t="shared" si="43"/>
        <v>121.37260245</v>
      </c>
      <c r="H85" s="57">
        <f t="shared" si="43"/>
        <v>113.8401429</v>
      </c>
      <c r="I85" s="57">
        <f t="shared" si="43"/>
        <v>126.65473920000001</v>
      </c>
      <c r="J85" s="57">
        <f t="shared" si="43"/>
        <v>130.54778385</v>
      </c>
      <c r="K85" s="57">
        <f t="shared" si="43"/>
        <v>180.55271519999999</v>
      </c>
      <c r="L85" s="261">
        <f t="shared" si="43"/>
        <v>113.8077732</v>
      </c>
      <c r="M85" s="57">
        <f t="shared" si="43"/>
        <v>133.46729550000001</v>
      </c>
      <c r="N85" s="57">
        <f t="shared" si="43"/>
        <v>169.03689825000001</v>
      </c>
      <c r="O85" s="74">
        <f t="shared" si="40"/>
        <v>1498.4838594</v>
      </c>
    </row>
    <row r="86" spans="1:15" x14ac:dyDescent="0.2">
      <c r="B86" s="47" t="s">
        <v>38</v>
      </c>
      <c r="C86" s="58">
        <f t="shared" ref="C86:N86" si="44">+C73*C59</f>
        <v>347.58153232000006</v>
      </c>
      <c r="D86" s="57">
        <f t="shared" si="44"/>
        <v>271.69555739999998</v>
      </c>
      <c r="E86" s="57">
        <f t="shared" si="44"/>
        <v>220.43877255000001</v>
      </c>
      <c r="F86" s="57">
        <f t="shared" si="44"/>
        <v>360.20390114000003</v>
      </c>
      <c r="G86" s="57">
        <f t="shared" si="44"/>
        <v>275.20202290000003</v>
      </c>
      <c r="H86" s="57">
        <f t="shared" si="44"/>
        <v>196.67932691000001</v>
      </c>
      <c r="I86" s="57">
        <f t="shared" si="44"/>
        <v>220.92665595</v>
      </c>
      <c r="J86" s="57">
        <f t="shared" si="44"/>
        <v>207.15128207000004</v>
      </c>
      <c r="K86" s="57">
        <f t="shared" si="44"/>
        <v>255.01418367999997</v>
      </c>
      <c r="L86" s="261">
        <f t="shared" si="44"/>
        <v>285.01167163000002</v>
      </c>
      <c r="M86" s="57">
        <f t="shared" si="44"/>
        <v>358.22317356000002</v>
      </c>
      <c r="N86" s="57">
        <f t="shared" si="44"/>
        <v>453.26462445000004</v>
      </c>
      <c r="O86" s="74">
        <f t="shared" si="40"/>
        <v>3451.3927045599999</v>
      </c>
    </row>
    <row r="87" spans="1:15" x14ac:dyDescent="0.2">
      <c r="B87" s="47" t="s">
        <v>39</v>
      </c>
      <c r="C87" s="58">
        <f t="shared" ref="C87:N87" si="45">+C74*C60</f>
        <v>568.19766000000004</v>
      </c>
      <c r="D87" s="57">
        <f t="shared" si="45"/>
        <v>574.9041105</v>
      </c>
      <c r="E87" s="57">
        <f t="shared" si="45"/>
        <v>512.79479249999997</v>
      </c>
      <c r="F87" s="57">
        <f t="shared" si="45"/>
        <v>656.06912399999999</v>
      </c>
      <c r="G87" s="57">
        <f t="shared" si="45"/>
        <v>607.67910825000001</v>
      </c>
      <c r="H87" s="57">
        <f t="shared" si="45"/>
        <v>667.20153074999996</v>
      </c>
      <c r="I87" s="57">
        <f t="shared" si="45"/>
        <v>716.42920949999996</v>
      </c>
      <c r="J87" s="57">
        <f t="shared" si="45"/>
        <v>651.83485800000005</v>
      </c>
      <c r="K87" s="57">
        <f t="shared" si="45"/>
        <v>807.47824200000002</v>
      </c>
      <c r="L87" s="261">
        <f t="shared" si="45"/>
        <v>551.33590575000005</v>
      </c>
      <c r="M87" s="57">
        <f t="shared" si="45"/>
        <v>556.01517824999996</v>
      </c>
      <c r="N87" s="57">
        <f t="shared" si="45"/>
        <v>694.51753874999997</v>
      </c>
      <c r="O87" s="74">
        <f t="shared" si="40"/>
        <v>7564.4572582500005</v>
      </c>
    </row>
    <row r="88" spans="1:15" x14ac:dyDescent="0.2">
      <c r="B88" s="47" t="s">
        <v>40</v>
      </c>
      <c r="C88" s="58">
        <f t="shared" ref="C88:N88" si="46">+C75*C61</f>
        <v>0</v>
      </c>
      <c r="D88" s="57">
        <f t="shared" si="46"/>
        <v>0</v>
      </c>
      <c r="E88" s="57">
        <f t="shared" si="46"/>
        <v>0</v>
      </c>
      <c r="F88" s="57">
        <f t="shared" si="46"/>
        <v>0</v>
      </c>
      <c r="G88" s="57">
        <f t="shared" si="46"/>
        <v>0</v>
      </c>
      <c r="H88" s="57">
        <f t="shared" si="46"/>
        <v>0</v>
      </c>
      <c r="I88" s="57">
        <f t="shared" si="46"/>
        <v>0</v>
      </c>
      <c r="J88" s="57">
        <f t="shared" si="46"/>
        <v>0</v>
      </c>
      <c r="K88" s="57">
        <f t="shared" si="46"/>
        <v>0</v>
      </c>
      <c r="L88" s="261">
        <f t="shared" si="46"/>
        <v>0</v>
      </c>
      <c r="M88" s="57">
        <f t="shared" si="46"/>
        <v>0</v>
      </c>
      <c r="N88" s="57">
        <f t="shared" si="46"/>
        <v>0</v>
      </c>
      <c r="O88" s="74">
        <f t="shared" si="40"/>
        <v>0</v>
      </c>
    </row>
    <row r="89" spans="1:15" x14ac:dyDescent="0.2">
      <c r="B89" s="47" t="s">
        <v>33</v>
      </c>
      <c r="C89" s="58">
        <f t="shared" ref="C89:N89" si="47">+C76*C62</f>
        <v>-235.38246784000003</v>
      </c>
      <c r="D89" s="57">
        <f t="shared" si="47"/>
        <v>-96.982579200000004</v>
      </c>
      <c r="E89" s="57">
        <f t="shared" si="47"/>
        <v>-91.727181520000002</v>
      </c>
      <c r="F89" s="57">
        <f t="shared" si="47"/>
        <v>-74.137685440000013</v>
      </c>
      <c r="G89" s="57">
        <f t="shared" si="47"/>
        <v>-84.316998480000024</v>
      </c>
      <c r="H89" s="57">
        <f t="shared" si="47"/>
        <v>-140.80949584000001</v>
      </c>
      <c r="I89" s="57">
        <f t="shared" si="47"/>
        <v>-43.62683208</v>
      </c>
      <c r="J89" s="57">
        <f t="shared" si="47"/>
        <v>-149.34002512000004</v>
      </c>
      <c r="K89" s="57">
        <f t="shared" si="47"/>
        <v>-187.52723392000004</v>
      </c>
      <c r="L89" s="261">
        <f t="shared" si="47"/>
        <v>-105.34873752</v>
      </c>
      <c r="M89" s="57">
        <f t="shared" si="47"/>
        <v>-120.62887200000002</v>
      </c>
      <c r="N89" s="57">
        <f t="shared" si="47"/>
        <v>-169.20051720000004</v>
      </c>
      <c r="O89" s="74">
        <f t="shared" si="40"/>
        <v>-1499.0286261600004</v>
      </c>
    </row>
    <row r="90" spans="1:15" x14ac:dyDescent="0.2">
      <c r="B90" s="47" t="s">
        <v>41</v>
      </c>
      <c r="C90" s="58">
        <f t="shared" ref="C90:N90" si="48">+C77*C63</f>
        <v>0</v>
      </c>
      <c r="D90" s="57">
        <f t="shared" si="48"/>
        <v>0</v>
      </c>
      <c r="E90" s="57">
        <f t="shared" si="48"/>
        <v>0</v>
      </c>
      <c r="F90" s="57">
        <f t="shared" si="48"/>
        <v>0</v>
      </c>
      <c r="G90" s="57">
        <f t="shared" si="48"/>
        <v>0</v>
      </c>
      <c r="H90" s="57">
        <f t="shared" si="48"/>
        <v>0</v>
      </c>
      <c r="I90" s="57">
        <f t="shared" si="48"/>
        <v>0</v>
      </c>
      <c r="J90" s="57">
        <f t="shared" si="48"/>
        <v>0</v>
      </c>
      <c r="K90" s="57">
        <f t="shared" si="48"/>
        <v>0</v>
      </c>
      <c r="L90" s="261">
        <f t="shared" si="48"/>
        <v>0</v>
      </c>
      <c r="M90" s="57">
        <f t="shared" si="48"/>
        <v>0</v>
      </c>
      <c r="N90" s="57">
        <f t="shared" si="48"/>
        <v>0</v>
      </c>
      <c r="O90" s="74">
        <f t="shared" si="40"/>
        <v>0</v>
      </c>
    </row>
    <row r="91" spans="1:15" x14ac:dyDescent="0.2">
      <c r="B91" s="47" t="s">
        <v>42</v>
      </c>
      <c r="C91" s="58">
        <f t="shared" ref="C91:N91" si="49">+C78*C64</f>
        <v>-667.86572816000159</v>
      </c>
      <c r="D91" s="57">
        <f t="shared" si="49"/>
        <v>-684.06753777000142</v>
      </c>
      <c r="E91" s="57">
        <f t="shared" si="49"/>
        <v>-626.44336763000126</v>
      </c>
      <c r="F91" s="57">
        <f t="shared" si="49"/>
        <v>-771.14228794000167</v>
      </c>
      <c r="G91" s="57">
        <f t="shared" si="49"/>
        <v>-678.48070687000154</v>
      </c>
      <c r="H91" s="57">
        <f t="shared" si="49"/>
        <v>-723.97347277000154</v>
      </c>
      <c r="I91" s="57">
        <f t="shared" si="49"/>
        <v>-784.63049397000179</v>
      </c>
      <c r="J91" s="57">
        <f t="shared" si="49"/>
        <v>-712.64018723000163</v>
      </c>
      <c r="K91" s="57">
        <f t="shared" si="49"/>
        <v>-848.24055436000197</v>
      </c>
      <c r="L91" s="261">
        <f t="shared" si="49"/>
        <v>-593.72050093000132</v>
      </c>
      <c r="M91" s="57">
        <f t="shared" si="49"/>
        <v>-605.05378647000134</v>
      </c>
      <c r="N91" s="57">
        <f t="shared" si="49"/>
        <v>-746.64004385000169</v>
      </c>
      <c r="O91" s="74">
        <f t="shared" si="40"/>
        <v>-8442.8986679500194</v>
      </c>
    </row>
    <row r="92" spans="1:15" x14ac:dyDescent="0.2">
      <c r="B92" s="47" t="s">
        <v>43</v>
      </c>
      <c r="C92" s="73">
        <f t="shared" ref="C92:N92" si="50">+C79*C65</f>
        <v>1619.4633913599996</v>
      </c>
      <c r="D92" s="65">
        <f t="shared" si="50"/>
        <v>2175.6269846399987</v>
      </c>
      <c r="E92" s="65">
        <f t="shared" si="50"/>
        <v>2360.1151820799987</v>
      </c>
      <c r="F92" s="65">
        <f t="shared" si="50"/>
        <v>2400.6377183599984</v>
      </c>
      <c r="G92" s="65">
        <f t="shared" si="50"/>
        <v>1582.5572112999996</v>
      </c>
      <c r="H92" s="65">
        <f t="shared" si="50"/>
        <v>1611.8981951599992</v>
      </c>
      <c r="I92" s="65">
        <f t="shared" si="50"/>
        <v>1671.9709502999997</v>
      </c>
      <c r="J92" s="65">
        <f t="shared" si="50"/>
        <v>1433.2280773599998</v>
      </c>
      <c r="K92" s="57">
        <f t="shared" si="50"/>
        <v>1373.8503136799998</v>
      </c>
      <c r="L92" s="261">
        <f t="shared" si="50"/>
        <v>-522.10309061999999</v>
      </c>
      <c r="M92" s="57">
        <f t="shared" si="50"/>
        <v>-521.8231246199997</v>
      </c>
      <c r="N92" s="57">
        <f t="shared" si="50"/>
        <v>-995.45731759999967</v>
      </c>
      <c r="O92" s="74">
        <f t="shared" si="40"/>
        <v>14189.964491399995</v>
      </c>
    </row>
    <row r="93" spans="1:15" x14ac:dyDescent="0.2">
      <c r="A93" s="91" t="s">
        <v>49</v>
      </c>
      <c r="B93" s="91"/>
      <c r="C93" s="114">
        <f t="shared" ref="C93:N93" si="51">SUM(C82:C92)</f>
        <v>4775.4261401599988</v>
      </c>
      <c r="D93" s="115">
        <f t="shared" si="51"/>
        <v>6196.9487942099968</v>
      </c>
      <c r="E93" s="115">
        <f t="shared" si="51"/>
        <v>6255.2036447499968</v>
      </c>
      <c r="F93" s="115">
        <f t="shared" si="51"/>
        <v>6743.2718317399977</v>
      </c>
      <c r="G93" s="115">
        <f t="shared" si="51"/>
        <v>4545.3598203099982</v>
      </c>
      <c r="H93" s="115">
        <f t="shared" si="51"/>
        <v>4113.7533795499976</v>
      </c>
      <c r="I93" s="115">
        <f t="shared" si="51"/>
        <v>5171.9333769599989</v>
      </c>
      <c r="J93" s="115">
        <f t="shared" si="51"/>
        <v>4381.3210968899984</v>
      </c>
      <c r="K93" s="116">
        <f t="shared" si="51"/>
        <v>4396.2763449199974</v>
      </c>
      <c r="L93" s="260">
        <f t="shared" si="51"/>
        <v>297.95359748999886</v>
      </c>
      <c r="M93" s="116">
        <f t="shared" si="51"/>
        <v>326.11718369999892</v>
      </c>
      <c r="N93" s="116">
        <f t="shared" si="51"/>
        <v>365.91502489999834</v>
      </c>
      <c r="O93" s="74">
        <f t="shared" si="40"/>
        <v>47569.480235579977</v>
      </c>
    </row>
    <row r="94" spans="1:15" x14ac:dyDescent="0.2">
      <c r="A94" s="91" t="s">
        <v>50</v>
      </c>
      <c r="B94" s="91"/>
      <c r="C94" s="114">
        <f t="shared" ref="C94:N94" si="52">+C93/C66</f>
        <v>57.067711999999979</v>
      </c>
      <c r="D94" s="115">
        <f t="shared" si="52"/>
        <v>72.301350999999968</v>
      </c>
      <c r="E94" s="115">
        <f t="shared" si="52"/>
        <v>79.694274999999962</v>
      </c>
      <c r="F94" s="115">
        <f t="shared" si="52"/>
        <v>69.791676999999979</v>
      </c>
      <c r="G94" s="115">
        <f t="shared" si="52"/>
        <v>53.468530999999977</v>
      </c>
      <c r="H94" s="115">
        <f t="shared" si="52"/>
        <v>45.350604999999973</v>
      </c>
      <c r="I94" s="115">
        <f t="shared" si="52"/>
        <v>52.608415999999984</v>
      </c>
      <c r="J94" s="115">
        <f t="shared" si="52"/>
        <v>49.068440999999979</v>
      </c>
      <c r="K94" s="117">
        <f t="shared" si="52"/>
        <v>41.365038999999975</v>
      </c>
      <c r="L94" s="259">
        <f t="shared" si="52"/>
        <v>4.0052909999999846</v>
      </c>
      <c r="M94" s="117">
        <f t="shared" si="52"/>
        <v>4.3017699999999852</v>
      </c>
      <c r="N94" s="117">
        <f t="shared" si="52"/>
        <v>3.9114379999999822</v>
      </c>
      <c r="O94" s="74"/>
    </row>
    <row r="95" spans="1:15" ht="8.1" customHeight="1" x14ac:dyDescent="0.2"/>
    <row r="96" spans="1:15" x14ac:dyDescent="0.2">
      <c r="A96" s="91"/>
      <c r="C96" s="74">
        <f t="shared" ref="C96:N96" si="53">C94*0.7</f>
        <v>39.947398399999983</v>
      </c>
      <c r="D96" s="74">
        <f t="shared" si="53"/>
        <v>50.610945699999974</v>
      </c>
      <c r="E96" s="74">
        <f t="shared" si="53"/>
        <v>55.785992499999971</v>
      </c>
      <c r="F96" s="74">
        <f t="shared" si="53"/>
        <v>48.854173899999985</v>
      </c>
      <c r="G96" s="74">
        <f t="shared" si="53"/>
        <v>37.427971699999979</v>
      </c>
      <c r="H96" s="74">
        <f t="shared" si="53"/>
        <v>31.74542349999998</v>
      </c>
      <c r="I96" s="74">
        <f t="shared" si="53"/>
        <v>36.825891199999987</v>
      </c>
      <c r="J96" s="74">
        <f t="shared" si="53"/>
        <v>34.347908699999984</v>
      </c>
      <c r="K96" s="74">
        <f t="shared" si="53"/>
        <v>28.955527299999979</v>
      </c>
      <c r="L96" s="92">
        <f t="shared" si="53"/>
        <v>2.8037036999999891</v>
      </c>
      <c r="M96" s="74">
        <f t="shared" si="53"/>
        <v>3.0112389999999896</v>
      </c>
      <c r="N96" s="74">
        <f t="shared" si="53"/>
        <v>2.7380065999999874</v>
      </c>
    </row>
    <row r="97" spans="1:14" x14ac:dyDescent="0.2">
      <c r="C97" s="75"/>
      <c r="D97" s="75"/>
      <c r="E97" s="75"/>
      <c r="F97" s="75"/>
      <c r="G97" s="75"/>
      <c r="H97" s="75"/>
      <c r="I97" s="75"/>
      <c r="J97" s="75"/>
      <c r="K97" s="75"/>
      <c r="L97" s="258"/>
      <c r="M97" s="75"/>
      <c r="N97" s="75"/>
    </row>
    <row r="98" spans="1:14" x14ac:dyDescent="0.2">
      <c r="A98" s="91"/>
      <c r="B98" s="91"/>
      <c r="C98" s="114"/>
      <c r="D98" s="114"/>
      <c r="E98" s="114"/>
      <c r="F98" s="114"/>
      <c r="G98" s="114"/>
      <c r="H98" s="114"/>
      <c r="I98" s="114"/>
      <c r="J98" s="118"/>
    </row>
    <row r="99" spans="1:14" ht="8.1" customHeight="1" x14ac:dyDescent="0.2">
      <c r="C99" s="76"/>
      <c r="D99" s="76"/>
      <c r="E99" s="76"/>
      <c r="F99" s="76"/>
      <c r="G99" s="76"/>
      <c r="H99" s="76"/>
      <c r="I99" s="76"/>
      <c r="J99" s="76"/>
    </row>
    <row r="100" spans="1:14" x14ac:dyDescent="0.2">
      <c r="A100" s="91"/>
      <c r="B100" s="91"/>
      <c r="C100" s="118"/>
      <c r="D100" s="118"/>
      <c r="E100" s="118"/>
      <c r="F100" s="118"/>
      <c r="G100" s="118"/>
      <c r="H100" s="118"/>
      <c r="I100" s="118"/>
      <c r="J100" s="118"/>
    </row>
    <row r="101" spans="1:14" ht="8.1" customHeight="1" x14ac:dyDescent="0.2">
      <c r="C101" s="76"/>
      <c r="D101" s="76"/>
      <c r="E101" s="76"/>
      <c r="F101" s="76"/>
      <c r="G101" s="76"/>
      <c r="H101" s="76"/>
      <c r="I101" s="76"/>
      <c r="J101" s="76"/>
    </row>
    <row r="102" spans="1:14" x14ac:dyDescent="0.2">
      <c r="A102" s="91"/>
      <c r="C102" s="75"/>
      <c r="D102" s="75"/>
      <c r="E102" s="75"/>
      <c r="F102" s="75"/>
      <c r="G102" s="75"/>
      <c r="H102" s="75"/>
      <c r="I102" s="75"/>
      <c r="J102" s="77"/>
    </row>
    <row r="105" spans="1:14" x14ac:dyDescent="0.2">
      <c r="B105" s="47" t="str">
        <f ca="1">CELL("filename")</f>
        <v>S:\District\~WUTC Files~\1. RSA\2017-2019 Plan Year\UTC Filing 12-2018\Revised Filing\Lynnwood\[Revised TG-181018 fixed Staff comm CR RS adjust.xlsx]Staff Analysis</v>
      </c>
    </row>
  </sheetData>
  <pageMargins left="0.5" right="0.5" top="0.75" bottom="0.75" header="0.5" footer="0.5"/>
  <pageSetup scale="60" fitToWidth="0" orientation="portrait" horizontalDpi="4294967295" verticalDpi="4294967295" r:id="rId1"/>
  <headerFooter alignWithMargins="0"/>
  <rowBreaks count="1" manualBreakCount="1">
    <brk id="53" max="1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12"/>
  <sheetViews>
    <sheetView workbookViewId="0">
      <selection activeCell="D32" sqref="D32"/>
    </sheetView>
  </sheetViews>
  <sheetFormatPr defaultRowHeight="12.75" x14ac:dyDescent="0.2"/>
  <cols>
    <col min="1" max="1" width="24.28515625" style="5" customWidth="1"/>
    <col min="2" max="2" width="10.5703125" style="5" customWidth="1"/>
    <col min="3" max="3" width="4.42578125" style="5" customWidth="1"/>
    <col min="4" max="4" width="11.28515625" style="5" customWidth="1"/>
    <col min="5" max="5" width="5.85546875" style="5" customWidth="1"/>
    <col min="6" max="6" width="11.28515625" style="5" customWidth="1"/>
    <col min="7" max="7" width="8.7109375" style="5" customWidth="1"/>
    <col min="8" max="8" width="4.42578125" style="5" customWidth="1"/>
    <col min="9" max="9" width="8.7109375" style="5" bestFit="1" customWidth="1"/>
    <col min="10" max="10" width="10.85546875" style="5" customWidth="1"/>
    <col min="11" max="11" width="7.140625" style="5" customWidth="1"/>
    <col min="12" max="12" width="9.5703125" style="5" customWidth="1"/>
    <col min="13" max="14" width="9.5703125" style="5" hidden="1" customWidth="1"/>
    <col min="15" max="15" width="15.28515625" style="5" hidden="1" customWidth="1"/>
    <col min="16" max="16" width="36.7109375" style="5" hidden="1" customWidth="1"/>
    <col min="17" max="22" width="9.5703125" style="5" customWidth="1"/>
    <col min="23" max="24" width="10.42578125" style="5" customWidth="1"/>
    <col min="25" max="25" width="9.85546875" style="5" customWidth="1"/>
    <col min="26" max="26" width="9.140625" style="5"/>
    <col min="27" max="27" width="10.42578125" style="5" customWidth="1"/>
    <col min="28" max="256" width="9.140625" style="5"/>
    <col min="257" max="257" width="24.28515625" style="5" customWidth="1"/>
    <col min="258" max="258" width="10.5703125" style="5" customWidth="1"/>
    <col min="259" max="259" width="4.42578125" style="5" customWidth="1"/>
    <col min="260" max="260" width="11.28515625" style="5" customWidth="1"/>
    <col min="261" max="261" width="5.85546875" style="5" customWidth="1"/>
    <col min="262" max="262" width="11.28515625" style="5" customWidth="1"/>
    <col min="263" max="263" width="8.7109375" style="5" customWidth="1"/>
    <col min="264" max="264" width="4.42578125" style="5" customWidth="1"/>
    <col min="265" max="265" width="8.7109375" style="5" bestFit="1" customWidth="1"/>
    <col min="266" max="266" width="10.85546875" style="5" customWidth="1"/>
    <col min="267" max="267" width="7.140625" style="5" customWidth="1"/>
    <col min="268" max="268" width="9.5703125" style="5" customWidth="1"/>
    <col min="269" max="272" width="0" style="5" hidden="1" customWidth="1"/>
    <col min="273" max="278" width="9.5703125" style="5" customWidth="1"/>
    <col min="279" max="280" width="10.42578125" style="5" customWidth="1"/>
    <col min="281" max="281" width="9.85546875" style="5" customWidth="1"/>
    <col min="282" max="282" width="9.140625" style="5"/>
    <col min="283" max="283" width="10.42578125" style="5" customWidth="1"/>
    <col min="284" max="512" width="9.140625" style="5"/>
    <col min="513" max="513" width="24.28515625" style="5" customWidth="1"/>
    <col min="514" max="514" width="10.5703125" style="5" customWidth="1"/>
    <col min="515" max="515" width="4.42578125" style="5" customWidth="1"/>
    <col min="516" max="516" width="11.28515625" style="5" customWidth="1"/>
    <col min="517" max="517" width="5.85546875" style="5" customWidth="1"/>
    <col min="518" max="518" width="11.28515625" style="5" customWidth="1"/>
    <col min="519" max="519" width="8.7109375" style="5" customWidth="1"/>
    <col min="520" max="520" width="4.42578125" style="5" customWidth="1"/>
    <col min="521" max="521" width="8.7109375" style="5" bestFit="1" customWidth="1"/>
    <col min="522" max="522" width="10.85546875" style="5" customWidth="1"/>
    <col min="523" max="523" width="7.140625" style="5" customWidth="1"/>
    <col min="524" max="524" width="9.5703125" style="5" customWidth="1"/>
    <col min="525" max="528" width="0" style="5" hidden="1" customWidth="1"/>
    <col min="529" max="534" width="9.5703125" style="5" customWidth="1"/>
    <col min="535" max="536" width="10.42578125" style="5" customWidth="1"/>
    <col min="537" max="537" width="9.85546875" style="5" customWidth="1"/>
    <col min="538" max="538" width="9.140625" style="5"/>
    <col min="539" max="539" width="10.42578125" style="5" customWidth="1"/>
    <col min="540" max="768" width="9.140625" style="5"/>
    <col min="769" max="769" width="24.28515625" style="5" customWidth="1"/>
    <col min="770" max="770" width="10.5703125" style="5" customWidth="1"/>
    <col min="771" max="771" width="4.42578125" style="5" customWidth="1"/>
    <col min="772" max="772" width="11.28515625" style="5" customWidth="1"/>
    <col min="773" max="773" width="5.85546875" style="5" customWidth="1"/>
    <col min="774" max="774" width="11.28515625" style="5" customWidth="1"/>
    <col min="775" max="775" width="8.7109375" style="5" customWidth="1"/>
    <col min="776" max="776" width="4.42578125" style="5" customWidth="1"/>
    <col min="777" max="777" width="8.7109375" style="5" bestFit="1" customWidth="1"/>
    <col min="778" max="778" width="10.85546875" style="5" customWidth="1"/>
    <col min="779" max="779" width="7.140625" style="5" customWidth="1"/>
    <col min="780" max="780" width="9.5703125" style="5" customWidth="1"/>
    <col min="781" max="784" width="0" style="5" hidden="1" customWidth="1"/>
    <col min="785" max="790" width="9.5703125" style="5" customWidth="1"/>
    <col min="791" max="792" width="10.42578125" style="5" customWidth="1"/>
    <col min="793" max="793" width="9.85546875" style="5" customWidth="1"/>
    <col min="794" max="794" width="9.140625" style="5"/>
    <col min="795" max="795" width="10.42578125" style="5" customWidth="1"/>
    <col min="796" max="1024" width="9.140625" style="5"/>
    <col min="1025" max="1025" width="24.28515625" style="5" customWidth="1"/>
    <col min="1026" max="1026" width="10.5703125" style="5" customWidth="1"/>
    <col min="1027" max="1027" width="4.42578125" style="5" customWidth="1"/>
    <col min="1028" max="1028" width="11.28515625" style="5" customWidth="1"/>
    <col min="1029" max="1029" width="5.85546875" style="5" customWidth="1"/>
    <col min="1030" max="1030" width="11.28515625" style="5" customWidth="1"/>
    <col min="1031" max="1031" width="8.7109375" style="5" customWidth="1"/>
    <col min="1032" max="1032" width="4.42578125" style="5" customWidth="1"/>
    <col min="1033" max="1033" width="8.7109375" style="5" bestFit="1" customWidth="1"/>
    <col min="1034" max="1034" width="10.85546875" style="5" customWidth="1"/>
    <col min="1035" max="1035" width="7.140625" style="5" customWidth="1"/>
    <col min="1036" max="1036" width="9.5703125" style="5" customWidth="1"/>
    <col min="1037" max="1040" width="0" style="5" hidden="1" customWidth="1"/>
    <col min="1041" max="1046" width="9.5703125" style="5" customWidth="1"/>
    <col min="1047" max="1048" width="10.42578125" style="5" customWidth="1"/>
    <col min="1049" max="1049" width="9.85546875" style="5" customWidth="1"/>
    <col min="1050" max="1050" width="9.140625" style="5"/>
    <col min="1051" max="1051" width="10.42578125" style="5" customWidth="1"/>
    <col min="1052" max="1280" width="9.140625" style="5"/>
    <col min="1281" max="1281" width="24.28515625" style="5" customWidth="1"/>
    <col min="1282" max="1282" width="10.5703125" style="5" customWidth="1"/>
    <col min="1283" max="1283" width="4.42578125" style="5" customWidth="1"/>
    <col min="1284" max="1284" width="11.28515625" style="5" customWidth="1"/>
    <col min="1285" max="1285" width="5.85546875" style="5" customWidth="1"/>
    <col min="1286" max="1286" width="11.28515625" style="5" customWidth="1"/>
    <col min="1287" max="1287" width="8.7109375" style="5" customWidth="1"/>
    <col min="1288" max="1288" width="4.42578125" style="5" customWidth="1"/>
    <col min="1289" max="1289" width="8.7109375" style="5" bestFit="1" customWidth="1"/>
    <col min="1290" max="1290" width="10.85546875" style="5" customWidth="1"/>
    <col min="1291" max="1291" width="7.140625" style="5" customWidth="1"/>
    <col min="1292" max="1292" width="9.5703125" style="5" customWidth="1"/>
    <col min="1293" max="1296" width="0" style="5" hidden="1" customWidth="1"/>
    <col min="1297" max="1302" width="9.5703125" style="5" customWidth="1"/>
    <col min="1303" max="1304" width="10.42578125" style="5" customWidth="1"/>
    <col min="1305" max="1305" width="9.85546875" style="5" customWidth="1"/>
    <col min="1306" max="1306" width="9.140625" style="5"/>
    <col min="1307" max="1307" width="10.42578125" style="5" customWidth="1"/>
    <col min="1308" max="1536" width="9.140625" style="5"/>
    <col min="1537" max="1537" width="24.28515625" style="5" customWidth="1"/>
    <col min="1538" max="1538" width="10.5703125" style="5" customWidth="1"/>
    <col min="1539" max="1539" width="4.42578125" style="5" customWidth="1"/>
    <col min="1540" max="1540" width="11.28515625" style="5" customWidth="1"/>
    <col min="1541" max="1541" width="5.85546875" style="5" customWidth="1"/>
    <col min="1542" max="1542" width="11.28515625" style="5" customWidth="1"/>
    <col min="1543" max="1543" width="8.7109375" style="5" customWidth="1"/>
    <col min="1544" max="1544" width="4.42578125" style="5" customWidth="1"/>
    <col min="1545" max="1545" width="8.7109375" style="5" bestFit="1" customWidth="1"/>
    <col min="1546" max="1546" width="10.85546875" style="5" customWidth="1"/>
    <col min="1547" max="1547" width="7.140625" style="5" customWidth="1"/>
    <col min="1548" max="1548" width="9.5703125" style="5" customWidth="1"/>
    <col min="1549" max="1552" width="0" style="5" hidden="1" customWidth="1"/>
    <col min="1553" max="1558" width="9.5703125" style="5" customWidth="1"/>
    <col min="1559" max="1560" width="10.42578125" style="5" customWidth="1"/>
    <col min="1561" max="1561" width="9.85546875" style="5" customWidth="1"/>
    <col min="1562" max="1562" width="9.140625" style="5"/>
    <col min="1563" max="1563" width="10.42578125" style="5" customWidth="1"/>
    <col min="1564" max="1792" width="9.140625" style="5"/>
    <col min="1793" max="1793" width="24.28515625" style="5" customWidth="1"/>
    <col min="1794" max="1794" width="10.5703125" style="5" customWidth="1"/>
    <col min="1795" max="1795" width="4.42578125" style="5" customWidth="1"/>
    <col min="1796" max="1796" width="11.28515625" style="5" customWidth="1"/>
    <col min="1797" max="1797" width="5.85546875" style="5" customWidth="1"/>
    <col min="1798" max="1798" width="11.28515625" style="5" customWidth="1"/>
    <col min="1799" max="1799" width="8.7109375" style="5" customWidth="1"/>
    <col min="1800" max="1800" width="4.42578125" style="5" customWidth="1"/>
    <col min="1801" max="1801" width="8.7109375" style="5" bestFit="1" customWidth="1"/>
    <col min="1802" max="1802" width="10.85546875" style="5" customWidth="1"/>
    <col min="1803" max="1803" width="7.140625" style="5" customWidth="1"/>
    <col min="1804" max="1804" width="9.5703125" style="5" customWidth="1"/>
    <col min="1805" max="1808" width="0" style="5" hidden="1" customWidth="1"/>
    <col min="1809" max="1814" width="9.5703125" style="5" customWidth="1"/>
    <col min="1815" max="1816" width="10.42578125" style="5" customWidth="1"/>
    <col min="1817" max="1817" width="9.85546875" style="5" customWidth="1"/>
    <col min="1818" max="1818" width="9.140625" style="5"/>
    <col min="1819" max="1819" width="10.42578125" style="5" customWidth="1"/>
    <col min="1820" max="2048" width="9.140625" style="5"/>
    <col min="2049" max="2049" width="24.28515625" style="5" customWidth="1"/>
    <col min="2050" max="2050" width="10.5703125" style="5" customWidth="1"/>
    <col min="2051" max="2051" width="4.42578125" style="5" customWidth="1"/>
    <col min="2052" max="2052" width="11.28515625" style="5" customWidth="1"/>
    <col min="2053" max="2053" width="5.85546875" style="5" customWidth="1"/>
    <col min="2054" max="2054" width="11.28515625" style="5" customWidth="1"/>
    <col min="2055" max="2055" width="8.7109375" style="5" customWidth="1"/>
    <col min="2056" max="2056" width="4.42578125" style="5" customWidth="1"/>
    <col min="2057" max="2057" width="8.7109375" style="5" bestFit="1" customWidth="1"/>
    <col min="2058" max="2058" width="10.85546875" style="5" customWidth="1"/>
    <col min="2059" max="2059" width="7.140625" style="5" customWidth="1"/>
    <col min="2060" max="2060" width="9.5703125" style="5" customWidth="1"/>
    <col min="2061" max="2064" width="0" style="5" hidden="1" customWidth="1"/>
    <col min="2065" max="2070" width="9.5703125" style="5" customWidth="1"/>
    <col min="2071" max="2072" width="10.42578125" style="5" customWidth="1"/>
    <col min="2073" max="2073" width="9.85546875" style="5" customWidth="1"/>
    <col min="2074" max="2074" width="9.140625" style="5"/>
    <col min="2075" max="2075" width="10.42578125" style="5" customWidth="1"/>
    <col min="2076" max="2304" width="9.140625" style="5"/>
    <col min="2305" max="2305" width="24.28515625" style="5" customWidth="1"/>
    <col min="2306" max="2306" width="10.5703125" style="5" customWidth="1"/>
    <col min="2307" max="2307" width="4.42578125" style="5" customWidth="1"/>
    <col min="2308" max="2308" width="11.28515625" style="5" customWidth="1"/>
    <col min="2309" max="2309" width="5.85546875" style="5" customWidth="1"/>
    <col min="2310" max="2310" width="11.28515625" style="5" customWidth="1"/>
    <col min="2311" max="2311" width="8.7109375" style="5" customWidth="1"/>
    <col min="2312" max="2312" width="4.42578125" style="5" customWidth="1"/>
    <col min="2313" max="2313" width="8.7109375" style="5" bestFit="1" customWidth="1"/>
    <col min="2314" max="2314" width="10.85546875" style="5" customWidth="1"/>
    <col min="2315" max="2315" width="7.140625" style="5" customWidth="1"/>
    <col min="2316" max="2316" width="9.5703125" style="5" customWidth="1"/>
    <col min="2317" max="2320" width="0" style="5" hidden="1" customWidth="1"/>
    <col min="2321" max="2326" width="9.5703125" style="5" customWidth="1"/>
    <col min="2327" max="2328" width="10.42578125" style="5" customWidth="1"/>
    <col min="2329" max="2329" width="9.85546875" style="5" customWidth="1"/>
    <col min="2330" max="2330" width="9.140625" style="5"/>
    <col min="2331" max="2331" width="10.42578125" style="5" customWidth="1"/>
    <col min="2332" max="2560" width="9.140625" style="5"/>
    <col min="2561" max="2561" width="24.28515625" style="5" customWidth="1"/>
    <col min="2562" max="2562" width="10.5703125" style="5" customWidth="1"/>
    <col min="2563" max="2563" width="4.42578125" style="5" customWidth="1"/>
    <col min="2564" max="2564" width="11.28515625" style="5" customWidth="1"/>
    <col min="2565" max="2565" width="5.85546875" style="5" customWidth="1"/>
    <col min="2566" max="2566" width="11.28515625" style="5" customWidth="1"/>
    <col min="2567" max="2567" width="8.7109375" style="5" customWidth="1"/>
    <col min="2568" max="2568" width="4.42578125" style="5" customWidth="1"/>
    <col min="2569" max="2569" width="8.7109375" style="5" bestFit="1" customWidth="1"/>
    <col min="2570" max="2570" width="10.85546875" style="5" customWidth="1"/>
    <col min="2571" max="2571" width="7.140625" style="5" customWidth="1"/>
    <col min="2572" max="2572" width="9.5703125" style="5" customWidth="1"/>
    <col min="2573" max="2576" width="0" style="5" hidden="1" customWidth="1"/>
    <col min="2577" max="2582" width="9.5703125" style="5" customWidth="1"/>
    <col min="2583" max="2584" width="10.42578125" style="5" customWidth="1"/>
    <col min="2585" max="2585" width="9.85546875" style="5" customWidth="1"/>
    <col min="2586" max="2586" width="9.140625" style="5"/>
    <col min="2587" max="2587" width="10.42578125" style="5" customWidth="1"/>
    <col min="2588" max="2816" width="9.140625" style="5"/>
    <col min="2817" max="2817" width="24.28515625" style="5" customWidth="1"/>
    <col min="2818" max="2818" width="10.5703125" style="5" customWidth="1"/>
    <col min="2819" max="2819" width="4.42578125" style="5" customWidth="1"/>
    <col min="2820" max="2820" width="11.28515625" style="5" customWidth="1"/>
    <col min="2821" max="2821" width="5.85546875" style="5" customWidth="1"/>
    <col min="2822" max="2822" width="11.28515625" style="5" customWidth="1"/>
    <col min="2823" max="2823" width="8.7109375" style="5" customWidth="1"/>
    <col min="2824" max="2824" width="4.42578125" style="5" customWidth="1"/>
    <col min="2825" max="2825" width="8.7109375" style="5" bestFit="1" customWidth="1"/>
    <col min="2826" max="2826" width="10.85546875" style="5" customWidth="1"/>
    <col min="2827" max="2827" width="7.140625" style="5" customWidth="1"/>
    <col min="2828" max="2828" width="9.5703125" style="5" customWidth="1"/>
    <col min="2829" max="2832" width="0" style="5" hidden="1" customWidth="1"/>
    <col min="2833" max="2838" width="9.5703125" style="5" customWidth="1"/>
    <col min="2839" max="2840" width="10.42578125" style="5" customWidth="1"/>
    <col min="2841" max="2841" width="9.85546875" style="5" customWidth="1"/>
    <col min="2842" max="2842" width="9.140625" style="5"/>
    <col min="2843" max="2843" width="10.42578125" style="5" customWidth="1"/>
    <col min="2844" max="3072" width="9.140625" style="5"/>
    <col min="3073" max="3073" width="24.28515625" style="5" customWidth="1"/>
    <col min="3074" max="3074" width="10.5703125" style="5" customWidth="1"/>
    <col min="3075" max="3075" width="4.42578125" style="5" customWidth="1"/>
    <col min="3076" max="3076" width="11.28515625" style="5" customWidth="1"/>
    <col min="3077" max="3077" width="5.85546875" style="5" customWidth="1"/>
    <col min="3078" max="3078" width="11.28515625" style="5" customWidth="1"/>
    <col min="3079" max="3079" width="8.7109375" style="5" customWidth="1"/>
    <col min="3080" max="3080" width="4.42578125" style="5" customWidth="1"/>
    <col min="3081" max="3081" width="8.7109375" style="5" bestFit="1" customWidth="1"/>
    <col min="3082" max="3082" width="10.85546875" style="5" customWidth="1"/>
    <col min="3083" max="3083" width="7.140625" style="5" customWidth="1"/>
    <col min="3084" max="3084" width="9.5703125" style="5" customWidth="1"/>
    <col min="3085" max="3088" width="0" style="5" hidden="1" customWidth="1"/>
    <col min="3089" max="3094" width="9.5703125" style="5" customWidth="1"/>
    <col min="3095" max="3096" width="10.42578125" style="5" customWidth="1"/>
    <col min="3097" max="3097" width="9.85546875" style="5" customWidth="1"/>
    <col min="3098" max="3098" width="9.140625" style="5"/>
    <col min="3099" max="3099" width="10.42578125" style="5" customWidth="1"/>
    <col min="3100" max="3328" width="9.140625" style="5"/>
    <col min="3329" max="3329" width="24.28515625" style="5" customWidth="1"/>
    <col min="3330" max="3330" width="10.5703125" style="5" customWidth="1"/>
    <col min="3331" max="3331" width="4.42578125" style="5" customWidth="1"/>
    <col min="3332" max="3332" width="11.28515625" style="5" customWidth="1"/>
    <col min="3333" max="3333" width="5.85546875" style="5" customWidth="1"/>
    <col min="3334" max="3334" width="11.28515625" style="5" customWidth="1"/>
    <col min="3335" max="3335" width="8.7109375" style="5" customWidth="1"/>
    <col min="3336" max="3336" width="4.42578125" style="5" customWidth="1"/>
    <col min="3337" max="3337" width="8.7109375" style="5" bestFit="1" customWidth="1"/>
    <col min="3338" max="3338" width="10.85546875" style="5" customWidth="1"/>
    <col min="3339" max="3339" width="7.140625" style="5" customWidth="1"/>
    <col min="3340" max="3340" width="9.5703125" style="5" customWidth="1"/>
    <col min="3341" max="3344" width="0" style="5" hidden="1" customWidth="1"/>
    <col min="3345" max="3350" width="9.5703125" style="5" customWidth="1"/>
    <col min="3351" max="3352" width="10.42578125" style="5" customWidth="1"/>
    <col min="3353" max="3353" width="9.85546875" style="5" customWidth="1"/>
    <col min="3354" max="3354" width="9.140625" style="5"/>
    <col min="3355" max="3355" width="10.42578125" style="5" customWidth="1"/>
    <col min="3356" max="3584" width="9.140625" style="5"/>
    <col min="3585" max="3585" width="24.28515625" style="5" customWidth="1"/>
    <col min="3586" max="3586" width="10.5703125" style="5" customWidth="1"/>
    <col min="3587" max="3587" width="4.42578125" style="5" customWidth="1"/>
    <col min="3588" max="3588" width="11.28515625" style="5" customWidth="1"/>
    <col min="3589" max="3589" width="5.85546875" style="5" customWidth="1"/>
    <col min="3590" max="3590" width="11.28515625" style="5" customWidth="1"/>
    <col min="3591" max="3591" width="8.7109375" style="5" customWidth="1"/>
    <col min="3592" max="3592" width="4.42578125" style="5" customWidth="1"/>
    <col min="3593" max="3593" width="8.7109375" style="5" bestFit="1" customWidth="1"/>
    <col min="3594" max="3594" width="10.85546875" style="5" customWidth="1"/>
    <col min="3595" max="3595" width="7.140625" style="5" customWidth="1"/>
    <col min="3596" max="3596" width="9.5703125" style="5" customWidth="1"/>
    <col min="3597" max="3600" width="0" style="5" hidden="1" customWidth="1"/>
    <col min="3601" max="3606" width="9.5703125" style="5" customWidth="1"/>
    <col min="3607" max="3608" width="10.42578125" style="5" customWidth="1"/>
    <col min="3609" max="3609" width="9.85546875" style="5" customWidth="1"/>
    <col min="3610" max="3610" width="9.140625" style="5"/>
    <col min="3611" max="3611" width="10.42578125" style="5" customWidth="1"/>
    <col min="3612" max="3840" width="9.140625" style="5"/>
    <col min="3841" max="3841" width="24.28515625" style="5" customWidth="1"/>
    <col min="3842" max="3842" width="10.5703125" style="5" customWidth="1"/>
    <col min="3843" max="3843" width="4.42578125" style="5" customWidth="1"/>
    <col min="3844" max="3844" width="11.28515625" style="5" customWidth="1"/>
    <col min="3845" max="3845" width="5.85546875" style="5" customWidth="1"/>
    <col min="3846" max="3846" width="11.28515625" style="5" customWidth="1"/>
    <col min="3847" max="3847" width="8.7109375" style="5" customWidth="1"/>
    <col min="3848" max="3848" width="4.42578125" style="5" customWidth="1"/>
    <col min="3849" max="3849" width="8.7109375" style="5" bestFit="1" customWidth="1"/>
    <col min="3850" max="3850" width="10.85546875" style="5" customWidth="1"/>
    <col min="3851" max="3851" width="7.140625" style="5" customWidth="1"/>
    <col min="3852" max="3852" width="9.5703125" style="5" customWidth="1"/>
    <col min="3853" max="3856" width="0" style="5" hidden="1" customWidth="1"/>
    <col min="3857" max="3862" width="9.5703125" style="5" customWidth="1"/>
    <col min="3863" max="3864" width="10.42578125" style="5" customWidth="1"/>
    <col min="3865" max="3865" width="9.85546875" style="5" customWidth="1"/>
    <col min="3866" max="3866" width="9.140625" style="5"/>
    <col min="3867" max="3867" width="10.42578125" style="5" customWidth="1"/>
    <col min="3868" max="4096" width="9.140625" style="5"/>
    <col min="4097" max="4097" width="24.28515625" style="5" customWidth="1"/>
    <col min="4098" max="4098" width="10.5703125" style="5" customWidth="1"/>
    <col min="4099" max="4099" width="4.42578125" style="5" customWidth="1"/>
    <col min="4100" max="4100" width="11.28515625" style="5" customWidth="1"/>
    <col min="4101" max="4101" width="5.85546875" style="5" customWidth="1"/>
    <col min="4102" max="4102" width="11.28515625" style="5" customWidth="1"/>
    <col min="4103" max="4103" width="8.7109375" style="5" customWidth="1"/>
    <col min="4104" max="4104" width="4.42578125" style="5" customWidth="1"/>
    <col min="4105" max="4105" width="8.7109375" style="5" bestFit="1" customWidth="1"/>
    <col min="4106" max="4106" width="10.85546875" style="5" customWidth="1"/>
    <col min="4107" max="4107" width="7.140625" style="5" customWidth="1"/>
    <col min="4108" max="4108" width="9.5703125" style="5" customWidth="1"/>
    <col min="4109" max="4112" width="0" style="5" hidden="1" customWidth="1"/>
    <col min="4113" max="4118" width="9.5703125" style="5" customWidth="1"/>
    <col min="4119" max="4120" width="10.42578125" style="5" customWidth="1"/>
    <col min="4121" max="4121" width="9.85546875" style="5" customWidth="1"/>
    <col min="4122" max="4122" width="9.140625" style="5"/>
    <col min="4123" max="4123" width="10.42578125" style="5" customWidth="1"/>
    <col min="4124" max="4352" width="9.140625" style="5"/>
    <col min="4353" max="4353" width="24.28515625" style="5" customWidth="1"/>
    <col min="4354" max="4354" width="10.5703125" style="5" customWidth="1"/>
    <col min="4355" max="4355" width="4.42578125" style="5" customWidth="1"/>
    <col min="4356" max="4356" width="11.28515625" style="5" customWidth="1"/>
    <col min="4357" max="4357" width="5.85546875" style="5" customWidth="1"/>
    <col min="4358" max="4358" width="11.28515625" style="5" customWidth="1"/>
    <col min="4359" max="4359" width="8.7109375" style="5" customWidth="1"/>
    <col min="4360" max="4360" width="4.42578125" style="5" customWidth="1"/>
    <col min="4361" max="4361" width="8.7109375" style="5" bestFit="1" customWidth="1"/>
    <col min="4362" max="4362" width="10.85546875" style="5" customWidth="1"/>
    <col min="4363" max="4363" width="7.140625" style="5" customWidth="1"/>
    <col min="4364" max="4364" width="9.5703125" style="5" customWidth="1"/>
    <col min="4365" max="4368" width="0" style="5" hidden="1" customWidth="1"/>
    <col min="4369" max="4374" width="9.5703125" style="5" customWidth="1"/>
    <col min="4375" max="4376" width="10.42578125" style="5" customWidth="1"/>
    <col min="4377" max="4377" width="9.85546875" style="5" customWidth="1"/>
    <col min="4378" max="4378" width="9.140625" style="5"/>
    <col min="4379" max="4379" width="10.42578125" style="5" customWidth="1"/>
    <col min="4380" max="4608" width="9.140625" style="5"/>
    <col min="4609" max="4609" width="24.28515625" style="5" customWidth="1"/>
    <col min="4610" max="4610" width="10.5703125" style="5" customWidth="1"/>
    <col min="4611" max="4611" width="4.42578125" style="5" customWidth="1"/>
    <col min="4612" max="4612" width="11.28515625" style="5" customWidth="1"/>
    <col min="4613" max="4613" width="5.85546875" style="5" customWidth="1"/>
    <col min="4614" max="4614" width="11.28515625" style="5" customWidth="1"/>
    <col min="4615" max="4615" width="8.7109375" style="5" customWidth="1"/>
    <col min="4616" max="4616" width="4.42578125" style="5" customWidth="1"/>
    <col min="4617" max="4617" width="8.7109375" style="5" bestFit="1" customWidth="1"/>
    <col min="4618" max="4618" width="10.85546875" style="5" customWidth="1"/>
    <col min="4619" max="4619" width="7.140625" style="5" customWidth="1"/>
    <col min="4620" max="4620" width="9.5703125" style="5" customWidth="1"/>
    <col min="4621" max="4624" width="0" style="5" hidden="1" customWidth="1"/>
    <col min="4625" max="4630" width="9.5703125" style="5" customWidth="1"/>
    <col min="4631" max="4632" width="10.42578125" style="5" customWidth="1"/>
    <col min="4633" max="4633" width="9.85546875" style="5" customWidth="1"/>
    <col min="4634" max="4634" width="9.140625" style="5"/>
    <col min="4635" max="4635" width="10.42578125" style="5" customWidth="1"/>
    <col min="4636" max="4864" width="9.140625" style="5"/>
    <col min="4865" max="4865" width="24.28515625" style="5" customWidth="1"/>
    <col min="4866" max="4866" width="10.5703125" style="5" customWidth="1"/>
    <col min="4867" max="4867" width="4.42578125" style="5" customWidth="1"/>
    <col min="4868" max="4868" width="11.28515625" style="5" customWidth="1"/>
    <col min="4869" max="4869" width="5.85546875" style="5" customWidth="1"/>
    <col min="4870" max="4870" width="11.28515625" style="5" customWidth="1"/>
    <col min="4871" max="4871" width="8.7109375" style="5" customWidth="1"/>
    <col min="4872" max="4872" width="4.42578125" style="5" customWidth="1"/>
    <col min="4873" max="4873" width="8.7109375" style="5" bestFit="1" customWidth="1"/>
    <col min="4874" max="4874" width="10.85546875" style="5" customWidth="1"/>
    <col min="4875" max="4875" width="7.140625" style="5" customWidth="1"/>
    <col min="4876" max="4876" width="9.5703125" style="5" customWidth="1"/>
    <col min="4877" max="4880" width="0" style="5" hidden="1" customWidth="1"/>
    <col min="4881" max="4886" width="9.5703125" style="5" customWidth="1"/>
    <col min="4887" max="4888" width="10.42578125" style="5" customWidth="1"/>
    <col min="4889" max="4889" width="9.85546875" style="5" customWidth="1"/>
    <col min="4890" max="4890" width="9.140625" style="5"/>
    <col min="4891" max="4891" width="10.42578125" style="5" customWidth="1"/>
    <col min="4892" max="5120" width="9.140625" style="5"/>
    <col min="5121" max="5121" width="24.28515625" style="5" customWidth="1"/>
    <col min="5122" max="5122" width="10.5703125" style="5" customWidth="1"/>
    <col min="5123" max="5123" width="4.42578125" style="5" customWidth="1"/>
    <col min="5124" max="5124" width="11.28515625" style="5" customWidth="1"/>
    <col min="5125" max="5125" width="5.85546875" style="5" customWidth="1"/>
    <col min="5126" max="5126" width="11.28515625" style="5" customWidth="1"/>
    <col min="5127" max="5127" width="8.7109375" style="5" customWidth="1"/>
    <col min="5128" max="5128" width="4.42578125" style="5" customWidth="1"/>
    <col min="5129" max="5129" width="8.7109375" style="5" bestFit="1" customWidth="1"/>
    <col min="5130" max="5130" width="10.85546875" style="5" customWidth="1"/>
    <col min="5131" max="5131" width="7.140625" style="5" customWidth="1"/>
    <col min="5132" max="5132" width="9.5703125" style="5" customWidth="1"/>
    <col min="5133" max="5136" width="0" style="5" hidden="1" customWidth="1"/>
    <col min="5137" max="5142" width="9.5703125" style="5" customWidth="1"/>
    <col min="5143" max="5144" width="10.42578125" style="5" customWidth="1"/>
    <col min="5145" max="5145" width="9.85546875" style="5" customWidth="1"/>
    <col min="5146" max="5146" width="9.140625" style="5"/>
    <col min="5147" max="5147" width="10.42578125" style="5" customWidth="1"/>
    <col min="5148" max="5376" width="9.140625" style="5"/>
    <col min="5377" max="5377" width="24.28515625" style="5" customWidth="1"/>
    <col min="5378" max="5378" width="10.5703125" style="5" customWidth="1"/>
    <col min="5379" max="5379" width="4.42578125" style="5" customWidth="1"/>
    <col min="5380" max="5380" width="11.28515625" style="5" customWidth="1"/>
    <col min="5381" max="5381" width="5.85546875" style="5" customWidth="1"/>
    <col min="5382" max="5382" width="11.28515625" style="5" customWidth="1"/>
    <col min="5383" max="5383" width="8.7109375" style="5" customWidth="1"/>
    <col min="5384" max="5384" width="4.42578125" style="5" customWidth="1"/>
    <col min="5385" max="5385" width="8.7109375" style="5" bestFit="1" customWidth="1"/>
    <col min="5386" max="5386" width="10.85546875" style="5" customWidth="1"/>
    <col min="5387" max="5387" width="7.140625" style="5" customWidth="1"/>
    <col min="5388" max="5388" width="9.5703125" style="5" customWidth="1"/>
    <col min="5389" max="5392" width="0" style="5" hidden="1" customWidth="1"/>
    <col min="5393" max="5398" width="9.5703125" style="5" customWidth="1"/>
    <col min="5399" max="5400" width="10.42578125" style="5" customWidth="1"/>
    <col min="5401" max="5401" width="9.85546875" style="5" customWidth="1"/>
    <col min="5402" max="5402" width="9.140625" style="5"/>
    <col min="5403" max="5403" width="10.42578125" style="5" customWidth="1"/>
    <col min="5404" max="5632" width="9.140625" style="5"/>
    <col min="5633" max="5633" width="24.28515625" style="5" customWidth="1"/>
    <col min="5634" max="5634" width="10.5703125" style="5" customWidth="1"/>
    <col min="5635" max="5635" width="4.42578125" style="5" customWidth="1"/>
    <col min="5636" max="5636" width="11.28515625" style="5" customWidth="1"/>
    <col min="5637" max="5637" width="5.85546875" style="5" customWidth="1"/>
    <col min="5638" max="5638" width="11.28515625" style="5" customWidth="1"/>
    <col min="5639" max="5639" width="8.7109375" style="5" customWidth="1"/>
    <col min="5640" max="5640" width="4.42578125" style="5" customWidth="1"/>
    <col min="5641" max="5641" width="8.7109375" style="5" bestFit="1" customWidth="1"/>
    <col min="5642" max="5642" width="10.85546875" style="5" customWidth="1"/>
    <col min="5643" max="5643" width="7.140625" style="5" customWidth="1"/>
    <col min="5644" max="5644" width="9.5703125" style="5" customWidth="1"/>
    <col min="5645" max="5648" width="0" style="5" hidden="1" customWidth="1"/>
    <col min="5649" max="5654" width="9.5703125" style="5" customWidth="1"/>
    <col min="5655" max="5656" width="10.42578125" style="5" customWidth="1"/>
    <col min="5657" max="5657" width="9.85546875" style="5" customWidth="1"/>
    <col min="5658" max="5658" width="9.140625" style="5"/>
    <col min="5659" max="5659" width="10.42578125" style="5" customWidth="1"/>
    <col min="5660" max="5888" width="9.140625" style="5"/>
    <col min="5889" max="5889" width="24.28515625" style="5" customWidth="1"/>
    <col min="5890" max="5890" width="10.5703125" style="5" customWidth="1"/>
    <col min="5891" max="5891" width="4.42578125" style="5" customWidth="1"/>
    <col min="5892" max="5892" width="11.28515625" style="5" customWidth="1"/>
    <col min="5893" max="5893" width="5.85546875" style="5" customWidth="1"/>
    <col min="5894" max="5894" width="11.28515625" style="5" customWidth="1"/>
    <col min="5895" max="5895" width="8.7109375" style="5" customWidth="1"/>
    <col min="5896" max="5896" width="4.42578125" style="5" customWidth="1"/>
    <col min="5897" max="5897" width="8.7109375" style="5" bestFit="1" customWidth="1"/>
    <col min="5898" max="5898" width="10.85546875" style="5" customWidth="1"/>
    <col min="5899" max="5899" width="7.140625" style="5" customWidth="1"/>
    <col min="5900" max="5900" width="9.5703125" style="5" customWidth="1"/>
    <col min="5901" max="5904" width="0" style="5" hidden="1" customWidth="1"/>
    <col min="5905" max="5910" width="9.5703125" style="5" customWidth="1"/>
    <col min="5911" max="5912" width="10.42578125" style="5" customWidth="1"/>
    <col min="5913" max="5913" width="9.85546875" style="5" customWidth="1"/>
    <col min="5914" max="5914" width="9.140625" style="5"/>
    <col min="5915" max="5915" width="10.42578125" style="5" customWidth="1"/>
    <col min="5916" max="6144" width="9.140625" style="5"/>
    <col min="6145" max="6145" width="24.28515625" style="5" customWidth="1"/>
    <col min="6146" max="6146" width="10.5703125" style="5" customWidth="1"/>
    <col min="6147" max="6147" width="4.42578125" style="5" customWidth="1"/>
    <col min="6148" max="6148" width="11.28515625" style="5" customWidth="1"/>
    <col min="6149" max="6149" width="5.85546875" style="5" customWidth="1"/>
    <col min="6150" max="6150" width="11.28515625" style="5" customWidth="1"/>
    <col min="6151" max="6151" width="8.7109375" style="5" customWidth="1"/>
    <col min="6152" max="6152" width="4.42578125" style="5" customWidth="1"/>
    <col min="6153" max="6153" width="8.7109375" style="5" bestFit="1" customWidth="1"/>
    <col min="6154" max="6154" width="10.85546875" style="5" customWidth="1"/>
    <col min="6155" max="6155" width="7.140625" style="5" customWidth="1"/>
    <col min="6156" max="6156" width="9.5703125" style="5" customWidth="1"/>
    <col min="6157" max="6160" width="0" style="5" hidden="1" customWidth="1"/>
    <col min="6161" max="6166" width="9.5703125" style="5" customWidth="1"/>
    <col min="6167" max="6168" width="10.42578125" style="5" customWidth="1"/>
    <col min="6169" max="6169" width="9.85546875" style="5" customWidth="1"/>
    <col min="6170" max="6170" width="9.140625" style="5"/>
    <col min="6171" max="6171" width="10.42578125" style="5" customWidth="1"/>
    <col min="6172" max="6400" width="9.140625" style="5"/>
    <col min="6401" max="6401" width="24.28515625" style="5" customWidth="1"/>
    <col min="6402" max="6402" width="10.5703125" style="5" customWidth="1"/>
    <col min="6403" max="6403" width="4.42578125" style="5" customWidth="1"/>
    <col min="6404" max="6404" width="11.28515625" style="5" customWidth="1"/>
    <col min="6405" max="6405" width="5.85546875" style="5" customWidth="1"/>
    <col min="6406" max="6406" width="11.28515625" style="5" customWidth="1"/>
    <col min="6407" max="6407" width="8.7109375" style="5" customWidth="1"/>
    <col min="6408" max="6408" width="4.42578125" style="5" customWidth="1"/>
    <col min="6409" max="6409" width="8.7109375" style="5" bestFit="1" customWidth="1"/>
    <col min="6410" max="6410" width="10.85546875" style="5" customWidth="1"/>
    <col min="6411" max="6411" width="7.140625" style="5" customWidth="1"/>
    <col min="6412" max="6412" width="9.5703125" style="5" customWidth="1"/>
    <col min="6413" max="6416" width="0" style="5" hidden="1" customWidth="1"/>
    <col min="6417" max="6422" width="9.5703125" style="5" customWidth="1"/>
    <col min="6423" max="6424" width="10.42578125" style="5" customWidth="1"/>
    <col min="6425" max="6425" width="9.85546875" style="5" customWidth="1"/>
    <col min="6426" max="6426" width="9.140625" style="5"/>
    <col min="6427" max="6427" width="10.42578125" style="5" customWidth="1"/>
    <col min="6428" max="6656" width="9.140625" style="5"/>
    <col min="6657" max="6657" width="24.28515625" style="5" customWidth="1"/>
    <col min="6658" max="6658" width="10.5703125" style="5" customWidth="1"/>
    <col min="6659" max="6659" width="4.42578125" style="5" customWidth="1"/>
    <col min="6660" max="6660" width="11.28515625" style="5" customWidth="1"/>
    <col min="6661" max="6661" width="5.85546875" style="5" customWidth="1"/>
    <col min="6662" max="6662" width="11.28515625" style="5" customWidth="1"/>
    <col min="6663" max="6663" width="8.7109375" style="5" customWidth="1"/>
    <col min="6664" max="6664" width="4.42578125" style="5" customWidth="1"/>
    <col min="6665" max="6665" width="8.7109375" style="5" bestFit="1" customWidth="1"/>
    <col min="6666" max="6666" width="10.85546875" style="5" customWidth="1"/>
    <col min="6667" max="6667" width="7.140625" style="5" customWidth="1"/>
    <col min="6668" max="6668" width="9.5703125" style="5" customWidth="1"/>
    <col min="6669" max="6672" width="0" style="5" hidden="1" customWidth="1"/>
    <col min="6673" max="6678" width="9.5703125" style="5" customWidth="1"/>
    <col min="6679" max="6680" width="10.42578125" style="5" customWidth="1"/>
    <col min="6681" max="6681" width="9.85546875" style="5" customWidth="1"/>
    <col min="6682" max="6682" width="9.140625" style="5"/>
    <col min="6683" max="6683" width="10.42578125" style="5" customWidth="1"/>
    <col min="6684" max="6912" width="9.140625" style="5"/>
    <col min="6913" max="6913" width="24.28515625" style="5" customWidth="1"/>
    <col min="6914" max="6914" width="10.5703125" style="5" customWidth="1"/>
    <col min="6915" max="6915" width="4.42578125" style="5" customWidth="1"/>
    <col min="6916" max="6916" width="11.28515625" style="5" customWidth="1"/>
    <col min="6917" max="6917" width="5.85546875" style="5" customWidth="1"/>
    <col min="6918" max="6918" width="11.28515625" style="5" customWidth="1"/>
    <col min="6919" max="6919" width="8.7109375" style="5" customWidth="1"/>
    <col min="6920" max="6920" width="4.42578125" style="5" customWidth="1"/>
    <col min="6921" max="6921" width="8.7109375" style="5" bestFit="1" customWidth="1"/>
    <col min="6922" max="6922" width="10.85546875" style="5" customWidth="1"/>
    <col min="6923" max="6923" width="7.140625" style="5" customWidth="1"/>
    <col min="6924" max="6924" width="9.5703125" style="5" customWidth="1"/>
    <col min="6925" max="6928" width="0" style="5" hidden="1" customWidth="1"/>
    <col min="6929" max="6934" width="9.5703125" style="5" customWidth="1"/>
    <col min="6935" max="6936" width="10.42578125" style="5" customWidth="1"/>
    <col min="6937" max="6937" width="9.85546875" style="5" customWidth="1"/>
    <col min="6938" max="6938" width="9.140625" style="5"/>
    <col min="6939" max="6939" width="10.42578125" style="5" customWidth="1"/>
    <col min="6940" max="7168" width="9.140625" style="5"/>
    <col min="7169" max="7169" width="24.28515625" style="5" customWidth="1"/>
    <col min="7170" max="7170" width="10.5703125" style="5" customWidth="1"/>
    <col min="7171" max="7171" width="4.42578125" style="5" customWidth="1"/>
    <col min="7172" max="7172" width="11.28515625" style="5" customWidth="1"/>
    <col min="7173" max="7173" width="5.85546875" style="5" customWidth="1"/>
    <col min="7174" max="7174" width="11.28515625" style="5" customWidth="1"/>
    <col min="7175" max="7175" width="8.7109375" style="5" customWidth="1"/>
    <col min="7176" max="7176" width="4.42578125" style="5" customWidth="1"/>
    <col min="7177" max="7177" width="8.7109375" style="5" bestFit="1" customWidth="1"/>
    <col min="7178" max="7178" width="10.85546875" style="5" customWidth="1"/>
    <col min="7179" max="7179" width="7.140625" style="5" customWidth="1"/>
    <col min="7180" max="7180" width="9.5703125" style="5" customWidth="1"/>
    <col min="7181" max="7184" width="0" style="5" hidden="1" customWidth="1"/>
    <col min="7185" max="7190" width="9.5703125" style="5" customWidth="1"/>
    <col min="7191" max="7192" width="10.42578125" style="5" customWidth="1"/>
    <col min="7193" max="7193" width="9.85546875" style="5" customWidth="1"/>
    <col min="7194" max="7194" width="9.140625" style="5"/>
    <col min="7195" max="7195" width="10.42578125" style="5" customWidth="1"/>
    <col min="7196" max="7424" width="9.140625" style="5"/>
    <col min="7425" max="7425" width="24.28515625" style="5" customWidth="1"/>
    <col min="7426" max="7426" width="10.5703125" style="5" customWidth="1"/>
    <col min="7427" max="7427" width="4.42578125" style="5" customWidth="1"/>
    <col min="7428" max="7428" width="11.28515625" style="5" customWidth="1"/>
    <col min="7429" max="7429" width="5.85546875" style="5" customWidth="1"/>
    <col min="7430" max="7430" width="11.28515625" style="5" customWidth="1"/>
    <col min="7431" max="7431" width="8.7109375" style="5" customWidth="1"/>
    <col min="7432" max="7432" width="4.42578125" style="5" customWidth="1"/>
    <col min="7433" max="7433" width="8.7109375" style="5" bestFit="1" customWidth="1"/>
    <col min="7434" max="7434" width="10.85546875" style="5" customWidth="1"/>
    <col min="7435" max="7435" width="7.140625" style="5" customWidth="1"/>
    <col min="7436" max="7436" width="9.5703125" style="5" customWidth="1"/>
    <col min="7437" max="7440" width="0" style="5" hidden="1" customWidth="1"/>
    <col min="7441" max="7446" width="9.5703125" style="5" customWidth="1"/>
    <col min="7447" max="7448" width="10.42578125" style="5" customWidth="1"/>
    <col min="7449" max="7449" width="9.85546875" style="5" customWidth="1"/>
    <col min="7450" max="7450" width="9.140625" style="5"/>
    <col min="7451" max="7451" width="10.42578125" style="5" customWidth="1"/>
    <col min="7452" max="7680" width="9.140625" style="5"/>
    <col min="7681" max="7681" width="24.28515625" style="5" customWidth="1"/>
    <col min="7682" max="7682" width="10.5703125" style="5" customWidth="1"/>
    <col min="7683" max="7683" width="4.42578125" style="5" customWidth="1"/>
    <col min="7684" max="7684" width="11.28515625" style="5" customWidth="1"/>
    <col min="7685" max="7685" width="5.85546875" style="5" customWidth="1"/>
    <col min="7686" max="7686" width="11.28515625" style="5" customWidth="1"/>
    <col min="7687" max="7687" width="8.7109375" style="5" customWidth="1"/>
    <col min="7688" max="7688" width="4.42578125" style="5" customWidth="1"/>
    <col min="7689" max="7689" width="8.7109375" style="5" bestFit="1" customWidth="1"/>
    <col min="7690" max="7690" width="10.85546875" style="5" customWidth="1"/>
    <col min="7691" max="7691" width="7.140625" style="5" customWidth="1"/>
    <col min="7692" max="7692" width="9.5703125" style="5" customWidth="1"/>
    <col min="7693" max="7696" width="0" style="5" hidden="1" customWidth="1"/>
    <col min="7697" max="7702" width="9.5703125" style="5" customWidth="1"/>
    <col min="7703" max="7704" width="10.42578125" style="5" customWidth="1"/>
    <col min="7705" max="7705" width="9.85546875" style="5" customWidth="1"/>
    <col min="7706" max="7706" width="9.140625" style="5"/>
    <col min="7707" max="7707" width="10.42578125" style="5" customWidth="1"/>
    <col min="7708" max="7936" width="9.140625" style="5"/>
    <col min="7937" max="7937" width="24.28515625" style="5" customWidth="1"/>
    <col min="7938" max="7938" width="10.5703125" style="5" customWidth="1"/>
    <col min="7939" max="7939" width="4.42578125" style="5" customWidth="1"/>
    <col min="7940" max="7940" width="11.28515625" style="5" customWidth="1"/>
    <col min="7941" max="7941" width="5.85546875" style="5" customWidth="1"/>
    <col min="7942" max="7942" width="11.28515625" style="5" customWidth="1"/>
    <col min="7943" max="7943" width="8.7109375" style="5" customWidth="1"/>
    <col min="7944" max="7944" width="4.42578125" style="5" customWidth="1"/>
    <col min="7945" max="7945" width="8.7109375" style="5" bestFit="1" customWidth="1"/>
    <col min="7946" max="7946" width="10.85546875" style="5" customWidth="1"/>
    <col min="7947" max="7947" width="7.140625" style="5" customWidth="1"/>
    <col min="7948" max="7948" width="9.5703125" style="5" customWidth="1"/>
    <col min="7949" max="7952" width="0" style="5" hidden="1" customWidth="1"/>
    <col min="7953" max="7958" width="9.5703125" style="5" customWidth="1"/>
    <col min="7959" max="7960" width="10.42578125" style="5" customWidth="1"/>
    <col min="7961" max="7961" width="9.85546875" style="5" customWidth="1"/>
    <col min="7962" max="7962" width="9.140625" style="5"/>
    <col min="7963" max="7963" width="10.42578125" style="5" customWidth="1"/>
    <col min="7964" max="8192" width="9.140625" style="5"/>
    <col min="8193" max="8193" width="24.28515625" style="5" customWidth="1"/>
    <col min="8194" max="8194" width="10.5703125" style="5" customWidth="1"/>
    <col min="8195" max="8195" width="4.42578125" style="5" customWidth="1"/>
    <col min="8196" max="8196" width="11.28515625" style="5" customWidth="1"/>
    <col min="8197" max="8197" width="5.85546875" style="5" customWidth="1"/>
    <col min="8198" max="8198" width="11.28515625" style="5" customWidth="1"/>
    <col min="8199" max="8199" width="8.7109375" style="5" customWidth="1"/>
    <col min="8200" max="8200" width="4.42578125" style="5" customWidth="1"/>
    <col min="8201" max="8201" width="8.7109375" style="5" bestFit="1" customWidth="1"/>
    <col min="8202" max="8202" width="10.85546875" style="5" customWidth="1"/>
    <col min="8203" max="8203" width="7.140625" style="5" customWidth="1"/>
    <col min="8204" max="8204" width="9.5703125" style="5" customWidth="1"/>
    <col min="8205" max="8208" width="0" style="5" hidden="1" customWidth="1"/>
    <col min="8209" max="8214" width="9.5703125" style="5" customWidth="1"/>
    <col min="8215" max="8216" width="10.42578125" style="5" customWidth="1"/>
    <col min="8217" max="8217" width="9.85546875" style="5" customWidth="1"/>
    <col min="8218" max="8218" width="9.140625" style="5"/>
    <col min="8219" max="8219" width="10.42578125" style="5" customWidth="1"/>
    <col min="8220" max="8448" width="9.140625" style="5"/>
    <col min="8449" max="8449" width="24.28515625" style="5" customWidth="1"/>
    <col min="8450" max="8450" width="10.5703125" style="5" customWidth="1"/>
    <col min="8451" max="8451" width="4.42578125" style="5" customWidth="1"/>
    <col min="8452" max="8452" width="11.28515625" style="5" customWidth="1"/>
    <col min="8453" max="8453" width="5.85546875" style="5" customWidth="1"/>
    <col min="8454" max="8454" width="11.28515625" style="5" customWidth="1"/>
    <col min="8455" max="8455" width="8.7109375" style="5" customWidth="1"/>
    <col min="8456" max="8456" width="4.42578125" style="5" customWidth="1"/>
    <col min="8457" max="8457" width="8.7109375" style="5" bestFit="1" customWidth="1"/>
    <col min="8458" max="8458" width="10.85546875" style="5" customWidth="1"/>
    <col min="8459" max="8459" width="7.140625" style="5" customWidth="1"/>
    <col min="8460" max="8460" width="9.5703125" style="5" customWidth="1"/>
    <col min="8461" max="8464" width="0" style="5" hidden="1" customWidth="1"/>
    <col min="8465" max="8470" width="9.5703125" style="5" customWidth="1"/>
    <col min="8471" max="8472" width="10.42578125" style="5" customWidth="1"/>
    <col min="8473" max="8473" width="9.85546875" style="5" customWidth="1"/>
    <col min="8474" max="8474" width="9.140625" style="5"/>
    <col min="8475" max="8475" width="10.42578125" style="5" customWidth="1"/>
    <col min="8476" max="8704" width="9.140625" style="5"/>
    <col min="8705" max="8705" width="24.28515625" style="5" customWidth="1"/>
    <col min="8706" max="8706" width="10.5703125" style="5" customWidth="1"/>
    <col min="8707" max="8707" width="4.42578125" style="5" customWidth="1"/>
    <col min="8708" max="8708" width="11.28515625" style="5" customWidth="1"/>
    <col min="8709" max="8709" width="5.85546875" style="5" customWidth="1"/>
    <col min="8710" max="8710" width="11.28515625" style="5" customWidth="1"/>
    <col min="8711" max="8711" width="8.7109375" style="5" customWidth="1"/>
    <col min="8712" max="8712" width="4.42578125" style="5" customWidth="1"/>
    <col min="8713" max="8713" width="8.7109375" style="5" bestFit="1" customWidth="1"/>
    <col min="8714" max="8714" width="10.85546875" style="5" customWidth="1"/>
    <col min="8715" max="8715" width="7.140625" style="5" customWidth="1"/>
    <col min="8716" max="8716" width="9.5703125" style="5" customWidth="1"/>
    <col min="8717" max="8720" width="0" style="5" hidden="1" customWidth="1"/>
    <col min="8721" max="8726" width="9.5703125" style="5" customWidth="1"/>
    <col min="8727" max="8728" width="10.42578125" style="5" customWidth="1"/>
    <col min="8729" max="8729" width="9.85546875" style="5" customWidth="1"/>
    <col min="8730" max="8730" width="9.140625" style="5"/>
    <col min="8731" max="8731" width="10.42578125" style="5" customWidth="1"/>
    <col min="8732" max="8960" width="9.140625" style="5"/>
    <col min="8961" max="8961" width="24.28515625" style="5" customWidth="1"/>
    <col min="8962" max="8962" width="10.5703125" style="5" customWidth="1"/>
    <col min="8963" max="8963" width="4.42578125" style="5" customWidth="1"/>
    <col min="8964" max="8964" width="11.28515625" style="5" customWidth="1"/>
    <col min="8965" max="8965" width="5.85546875" style="5" customWidth="1"/>
    <col min="8966" max="8966" width="11.28515625" style="5" customWidth="1"/>
    <col min="8967" max="8967" width="8.7109375" style="5" customWidth="1"/>
    <col min="8968" max="8968" width="4.42578125" style="5" customWidth="1"/>
    <col min="8969" max="8969" width="8.7109375" style="5" bestFit="1" customWidth="1"/>
    <col min="8970" max="8970" width="10.85546875" style="5" customWidth="1"/>
    <col min="8971" max="8971" width="7.140625" style="5" customWidth="1"/>
    <col min="8972" max="8972" width="9.5703125" style="5" customWidth="1"/>
    <col min="8973" max="8976" width="0" style="5" hidden="1" customWidth="1"/>
    <col min="8977" max="8982" width="9.5703125" style="5" customWidth="1"/>
    <col min="8983" max="8984" width="10.42578125" style="5" customWidth="1"/>
    <col min="8985" max="8985" width="9.85546875" style="5" customWidth="1"/>
    <col min="8986" max="8986" width="9.140625" style="5"/>
    <col min="8987" max="8987" width="10.42578125" style="5" customWidth="1"/>
    <col min="8988" max="9216" width="9.140625" style="5"/>
    <col min="9217" max="9217" width="24.28515625" style="5" customWidth="1"/>
    <col min="9218" max="9218" width="10.5703125" style="5" customWidth="1"/>
    <col min="9219" max="9219" width="4.42578125" style="5" customWidth="1"/>
    <col min="9220" max="9220" width="11.28515625" style="5" customWidth="1"/>
    <col min="9221" max="9221" width="5.85546875" style="5" customWidth="1"/>
    <col min="9222" max="9222" width="11.28515625" style="5" customWidth="1"/>
    <col min="9223" max="9223" width="8.7109375" style="5" customWidth="1"/>
    <col min="9224" max="9224" width="4.42578125" style="5" customWidth="1"/>
    <col min="9225" max="9225" width="8.7109375" style="5" bestFit="1" customWidth="1"/>
    <col min="9226" max="9226" width="10.85546875" style="5" customWidth="1"/>
    <col min="9227" max="9227" width="7.140625" style="5" customWidth="1"/>
    <col min="9228" max="9228" width="9.5703125" style="5" customWidth="1"/>
    <col min="9229" max="9232" width="0" style="5" hidden="1" customWidth="1"/>
    <col min="9233" max="9238" width="9.5703125" style="5" customWidth="1"/>
    <col min="9239" max="9240" width="10.42578125" style="5" customWidth="1"/>
    <col min="9241" max="9241" width="9.85546875" style="5" customWidth="1"/>
    <col min="9242" max="9242" width="9.140625" style="5"/>
    <col min="9243" max="9243" width="10.42578125" style="5" customWidth="1"/>
    <col min="9244" max="9472" width="9.140625" style="5"/>
    <col min="9473" max="9473" width="24.28515625" style="5" customWidth="1"/>
    <col min="9474" max="9474" width="10.5703125" style="5" customWidth="1"/>
    <col min="9475" max="9475" width="4.42578125" style="5" customWidth="1"/>
    <col min="9476" max="9476" width="11.28515625" style="5" customWidth="1"/>
    <col min="9477" max="9477" width="5.85546875" style="5" customWidth="1"/>
    <col min="9478" max="9478" width="11.28515625" style="5" customWidth="1"/>
    <col min="9479" max="9479" width="8.7109375" style="5" customWidth="1"/>
    <col min="9480" max="9480" width="4.42578125" style="5" customWidth="1"/>
    <col min="9481" max="9481" width="8.7109375" style="5" bestFit="1" customWidth="1"/>
    <col min="9482" max="9482" width="10.85546875" style="5" customWidth="1"/>
    <col min="9483" max="9483" width="7.140625" style="5" customWidth="1"/>
    <col min="9484" max="9484" width="9.5703125" style="5" customWidth="1"/>
    <col min="9485" max="9488" width="0" style="5" hidden="1" customWidth="1"/>
    <col min="9489" max="9494" width="9.5703125" style="5" customWidth="1"/>
    <col min="9495" max="9496" width="10.42578125" style="5" customWidth="1"/>
    <col min="9497" max="9497" width="9.85546875" style="5" customWidth="1"/>
    <col min="9498" max="9498" width="9.140625" style="5"/>
    <col min="9499" max="9499" width="10.42578125" style="5" customWidth="1"/>
    <col min="9500" max="9728" width="9.140625" style="5"/>
    <col min="9729" max="9729" width="24.28515625" style="5" customWidth="1"/>
    <col min="9730" max="9730" width="10.5703125" style="5" customWidth="1"/>
    <col min="9731" max="9731" width="4.42578125" style="5" customWidth="1"/>
    <col min="9732" max="9732" width="11.28515625" style="5" customWidth="1"/>
    <col min="9733" max="9733" width="5.85546875" style="5" customWidth="1"/>
    <col min="9734" max="9734" width="11.28515625" style="5" customWidth="1"/>
    <col min="9735" max="9735" width="8.7109375" style="5" customWidth="1"/>
    <col min="9736" max="9736" width="4.42578125" style="5" customWidth="1"/>
    <col min="9737" max="9737" width="8.7109375" style="5" bestFit="1" customWidth="1"/>
    <col min="9738" max="9738" width="10.85546875" style="5" customWidth="1"/>
    <col min="9739" max="9739" width="7.140625" style="5" customWidth="1"/>
    <col min="9740" max="9740" width="9.5703125" style="5" customWidth="1"/>
    <col min="9741" max="9744" width="0" style="5" hidden="1" customWidth="1"/>
    <col min="9745" max="9750" width="9.5703125" style="5" customWidth="1"/>
    <col min="9751" max="9752" width="10.42578125" style="5" customWidth="1"/>
    <col min="9753" max="9753" width="9.85546875" style="5" customWidth="1"/>
    <col min="9754" max="9754" width="9.140625" style="5"/>
    <col min="9755" max="9755" width="10.42578125" style="5" customWidth="1"/>
    <col min="9756" max="9984" width="9.140625" style="5"/>
    <col min="9985" max="9985" width="24.28515625" style="5" customWidth="1"/>
    <col min="9986" max="9986" width="10.5703125" style="5" customWidth="1"/>
    <col min="9987" max="9987" width="4.42578125" style="5" customWidth="1"/>
    <col min="9988" max="9988" width="11.28515625" style="5" customWidth="1"/>
    <col min="9989" max="9989" width="5.85546875" style="5" customWidth="1"/>
    <col min="9990" max="9990" width="11.28515625" style="5" customWidth="1"/>
    <col min="9991" max="9991" width="8.7109375" style="5" customWidth="1"/>
    <col min="9992" max="9992" width="4.42578125" style="5" customWidth="1"/>
    <col min="9993" max="9993" width="8.7109375" style="5" bestFit="1" customWidth="1"/>
    <col min="9994" max="9994" width="10.85546875" style="5" customWidth="1"/>
    <col min="9995" max="9995" width="7.140625" style="5" customWidth="1"/>
    <col min="9996" max="9996" width="9.5703125" style="5" customWidth="1"/>
    <col min="9997" max="10000" width="0" style="5" hidden="1" customWidth="1"/>
    <col min="10001" max="10006" width="9.5703125" style="5" customWidth="1"/>
    <col min="10007" max="10008" width="10.42578125" style="5" customWidth="1"/>
    <col min="10009" max="10009" width="9.85546875" style="5" customWidth="1"/>
    <col min="10010" max="10010" width="9.140625" style="5"/>
    <col min="10011" max="10011" width="10.42578125" style="5" customWidth="1"/>
    <col min="10012" max="10240" width="9.140625" style="5"/>
    <col min="10241" max="10241" width="24.28515625" style="5" customWidth="1"/>
    <col min="10242" max="10242" width="10.5703125" style="5" customWidth="1"/>
    <col min="10243" max="10243" width="4.42578125" style="5" customWidth="1"/>
    <col min="10244" max="10244" width="11.28515625" style="5" customWidth="1"/>
    <col min="10245" max="10245" width="5.85546875" style="5" customWidth="1"/>
    <col min="10246" max="10246" width="11.28515625" style="5" customWidth="1"/>
    <col min="10247" max="10247" width="8.7109375" style="5" customWidth="1"/>
    <col min="10248" max="10248" width="4.42578125" style="5" customWidth="1"/>
    <col min="10249" max="10249" width="8.7109375" style="5" bestFit="1" customWidth="1"/>
    <col min="10250" max="10250" width="10.85546875" style="5" customWidth="1"/>
    <col min="10251" max="10251" width="7.140625" style="5" customWidth="1"/>
    <col min="10252" max="10252" width="9.5703125" style="5" customWidth="1"/>
    <col min="10253" max="10256" width="0" style="5" hidden="1" customWidth="1"/>
    <col min="10257" max="10262" width="9.5703125" style="5" customWidth="1"/>
    <col min="10263" max="10264" width="10.42578125" style="5" customWidth="1"/>
    <col min="10265" max="10265" width="9.85546875" style="5" customWidth="1"/>
    <col min="10266" max="10266" width="9.140625" style="5"/>
    <col min="10267" max="10267" width="10.42578125" style="5" customWidth="1"/>
    <col min="10268" max="10496" width="9.140625" style="5"/>
    <col min="10497" max="10497" width="24.28515625" style="5" customWidth="1"/>
    <col min="10498" max="10498" width="10.5703125" style="5" customWidth="1"/>
    <col min="10499" max="10499" width="4.42578125" style="5" customWidth="1"/>
    <col min="10500" max="10500" width="11.28515625" style="5" customWidth="1"/>
    <col min="10501" max="10501" width="5.85546875" style="5" customWidth="1"/>
    <col min="10502" max="10502" width="11.28515625" style="5" customWidth="1"/>
    <col min="10503" max="10503" width="8.7109375" style="5" customWidth="1"/>
    <col min="10504" max="10504" width="4.42578125" style="5" customWidth="1"/>
    <col min="10505" max="10505" width="8.7109375" style="5" bestFit="1" customWidth="1"/>
    <col min="10506" max="10506" width="10.85546875" style="5" customWidth="1"/>
    <col min="10507" max="10507" width="7.140625" style="5" customWidth="1"/>
    <col min="10508" max="10508" width="9.5703125" style="5" customWidth="1"/>
    <col min="10509" max="10512" width="0" style="5" hidden="1" customWidth="1"/>
    <col min="10513" max="10518" width="9.5703125" style="5" customWidth="1"/>
    <col min="10519" max="10520" width="10.42578125" style="5" customWidth="1"/>
    <col min="10521" max="10521" width="9.85546875" style="5" customWidth="1"/>
    <col min="10522" max="10522" width="9.140625" style="5"/>
    <col min="10523" max="10523" width="10.42578125" style="5" customWidth="1"/>
    <col min="10524" max="10752" width="9.140625" style="5"/>
    <col min="10753" max="10753" width="24.28515625" style="5" customWidth="1"/>
    <col min="10754" max="10754" width="10.5703125" style="5" customWidth="1"/>
    <col min="10755" max="10755" width="4.42578125" style="5" customWidth="1"/>
    <col min="10756" max="10756" width="11.28515625" style="5" customWidth="1"/>
    <col min="10757" max="10757" width="5.85546875" style="5" customWidth="1"/>
    <col min="10758" max="10758" width="11.28515625" style="5" customWidth="1"/>
    <col min="10759" max="10759" width="8.7109375" style="5" customWidth="1"/>
    <col min="10760" max="10760" width="4.42578125" style="5" customWidth="1"/>
    <col min="10761" max="10761" width="8.7109375" style="5" bestFit="1" customWidth="1"/>
    <col min="10762" max="10762" width="10.85546875" style="5" customWidth="1"/>
    <col min="10763" max="10763" width="7.140625" style="5" customWidth="1"/>
    <col min="10764" max="10764" width="9.5703125" style="5" customWidth="1"/>
    <col min="10765" max="10768" width="0" style="5" hidden="1" customWidth="1"/>
    <col min="10769" max="10774" width="9.5703125" style="5" customWidth="1"/>
    <col min="10775" max="10776" width="10.42578125" style="5" customWidth="1"/>
    <col min="10777" max="10777" width="9.85546875" style="5" customWidth="1"/>
    <col min="10778" max="10778" width="9.140625" style="5"/>
    <col min="10779" max="10779" width="10.42578125" style="5" customWidth="1"/>
    <col min="10780" max="11008" width="9.140625" style="5"/>
    <col min="11009" max="11009" width="24.28515625" style="5" customWidth="1"/>
    <col min="11010" max="11010" width="10.5703125" style="5" customWidth="1"/>
    <col min="11011" max="11011" width="4.42578125" style="5" customWidth="1"/>
    <col min="11012" max="11012" width="11.28515625" style="5" customWidth="1"/>
    <col min="11013" max="11013" width="5.85546875" style="5" customWidth="1"/>
    <col min="11014" max="11014" width="11.28515625" style="5" customWidth="1"/>
    <col min="11015" max="11015" width="8.7109375" style="5" customWidth="1"/>
    <col min="11016" max="11016" width="4.42578125" style="5" customWidth="1"/>
    <col min="11017" max="11017" width="8.7109375" style="5" bestFit="1" customWidth="1"/>
    <col min="11018" max="11018" width="10.85546875" style="5" customWidth="1"/>
    <col min="11019" max="11019" width="7.140625" style="5" customWidth="1"/>
    <col min="11020" max="11020" width="9.5703125" style="5" customWidth="1"/>
    <col min="11021" max="11024" width="0" style="5" hidden="1" customWidth="1"/>
    <col min="11025" max="11030" width="9.5703125" style="5" customWidth="1"/>
    <col min="11031" max="11032" width="10.42578125" style="5" customWidth="1"/>
    <col min="11033" max="11033" width="9.85546875" style="5" customWidth="1"/>
    <col min="11034" max="11034" width="9.140625" style="5"/>
    <col min="11035" max="11035" width="10.42578125" style="5" customWidth="1"/>
    <col min="11036" max="11264" width="9.140625" style="5"/>
    <col min="11265" max="11265" width="24.28515625" style="5" customWidth="1"/>
    <col min="11266" max="11266" width="10.5703125" style="5" customWidth="1"/>
    <col min="11267" max="11267" width="4.42578125" style="5" customWidth="1"/>
    <col min="11268" max="11268" width="11.28515625" style="5" customWidth="1"/>
    <col min="11269" max="11269" width="5.85546875" style="5" customWidth="1"/>
    <col min="11270" max="11270" width="11.28515625" style="5" customWidth="1"/>
    <col min="11271" max="11271" width="8.7109375" style="5" customWidth="1"/>
    <col min="11272" max="11272" width="4.42578125" style="5" customWidth="1"/>
    <col min="11273" max="11273" width="8.7109375" style="5" bestFit="1" customWidth="1"/>
    <col min="11274" max="11274" width="10.85546875" style="5" customWidth="1"/>
    <col min="11275" max="11275" width="7.140625" style="5" customWidth="1"/>
    <col min="11276" max="11276" width="9.5703125" style="5" customWidth="1"/>
    <col min="11277" max="11280" width="0" style="5" hidden="1" customWidth="1"/>
    <col min="11281" max="11286" width="9.5703125" style="5" customWidth="1"/>
    <col min="11287" max="11288" width="10.42578125" style="5" customWidth="1"/>
    <col min="11289" max="11289" width="9.85546875" style="5" customWidth="1"/>
    <col min="11290" max="11290" width="9.140625" style="5"/>
    <col min="11291" max="11291" width="10.42578125" style="5" customWidth="1"/>
    <col min="11292" max="11520" width="9.140625" style="5"/>
    <col min="11521" max="11521" width="24.28515625" style="5" customWidth="1"/>
    <col min="11522" max="11522" width="10.5703125" style="5" customWidth="1"/>
    <col min="11523" max="11523" width="4.42578125" style="5" customWidth="1"/>
    <col min="11524" max="11524" width="11.28515625" style="5" customWidth="1"/>
    <col min="11525" max="11525" width="5.85546875" style="5" customWidth="1"/>
    <col min="11526" max="11526" width="11.28515625" style="5" customWidth="1"/>
    <col min="11527" max="11527" width="8.7109375" style="5" customWidth="1"/>
    <col min="11528" max="11528" width="4.42578125" style="5" customWidth="1"/>
    <col min="11529" max="11529" width="8.7109375" style="5" bestFit="1" customWidth="1"/>
    <col min="11530" max="11530" width="10.85546875" style="5" customWidth="1"/>
    <col min="11531" max="11531" width="7.140625" style="5" customWidth="1"/>
    <col min="11532" max="11532" width="9.5703125" style="5" customWidth="1"/>
    <col min="11533" max="11536" width="0" style="5" hidden="1" customWidth="1"/>
    <col min="11537" max="11542" width="9.5703125" style="5" customWidth="1"/>
    <col min="11543" max="11544" width="10.42578125" style="5" customWidth="1"/>
    <col min="11545" max="11545" width="9.85546875" style="5" customWidth="1"/>
    <col min="11546" max="11546" width="9.140625" style="5"/>
    <col min="11547" max="11547" width="10.42578125" style="5" customWidth="1"/>
    <col min="11548" max="11776" width="9.140625" style="5"/>
    <col min="11777" max="11777" width="24.28515625" style="5" customWidth="1"/>
    <col min="11778" max="11778" width="10.5703125" style="5" customWidth="1"/>
    <col min="11779" max="11779" width="4.42578125" style="5" customWidth="1"/>
    <col min="11780" max="11780" width="11.28515625" style="5" customWidth="1"/>
    <col min="11781" max="11781" width="5.85546875" style="5" customWidth="1"/>
    <col min="11782" max="11782" width="11.28515625" style="5" customWidth="1"/>
    <col min="11783" max="11783" width="8.7109375" style="5" customWidth="1"/>
    <col min="11784" max="11784" width="4.42578125" style="5" customWidth="1"/>
    <col min="11785" max="11785" width="8.7109375" style="5" bestFit="1" customWidth="1"/>
    <col min="11786" max="11786" width="10.85546875" style="5" customWidth="1"/>
    <col min="11787" max="11787" width="7.140625" style="5" customWidth="1"/>
    <col min="11788" max="11788" width="9.5703125" style="5" customWidth="1"/>
    <col min="11789" max="11792" width="0" style="5" hidden="1" customWidth="1"/>
    <col min="11793" max="11798" width="9.5703125" style="5" customWidth="1"/>
    <col min="11799" max="11800" width="10.42578125" style="5" customWidth="1"/>
    <col min="11801" max="11801" width="9.85546875" style="5" customWidth="1"/>
    <col min="11802" max="11802" width="9.140625" style="5"/>
    <col min="11803" max="11803" width="10.42578125" style="5" customWidth="1"/>
    <col min="11804" max="12032" width="9.140625" style="5"/>
    <col min="12033" max="12033" width="24.28515625" style="5" customWidth="1"/>
    <col min="12034" max="12034" width="10.5703125" style="5" customWidth="1"/>
    <col min="12035" max="12035" width="4.42578125" style="5" customWidth="1"/>
    <col min="12036" max="12036" width="11.28515625" style="5" customWidth="1"/>
    <col min="12037" max="12037" width="5.85546875" style="5" customWidth="1"/>
    <col min="12038" max="12038" width="11.28515625" style="5" customWidth="1"/>
    <col min="12039" max="12039" width="8.7109375" style="5" customWidth="1"/>
    <col min="12040" max="12040" width="4.42578125" style="5" customWidth="1"/>
    <col min="12041" max="12041" width="8.7109375" style="5" bestFit="1" customWidth="1"/>
    <col min="12042" max="12042" width="10.85546875" style="5" customWidth="1"/>
    <col min="12043" max="12043" width="7.140625" style="5" customWidth="1"/>
    <col min="12044" max="12044" width="9.5703125" style="5" customWidth="1"/>
    <col min="12045" max="12048" width="0" style="5" hidden="1" customWidth="1"/>
    <col min="12049" max="12054" width="9.5703125" style="5" customWidth="1"/>
    <col min="12055" max="12056" width="10.42578125" style="5" customWidth="1"/>
    <col min="12057" max="12057" width="9.85546875" style="5" customWidth="1"/>
    <col min="12058" max="12058" width="9.140625" style="5"/>
    <col min="12059" max="12059" width="10.42578125" style="5" customWidth="1"/>
    <col min="12060" max="12288" width="9.140625" style="5"/>
    <col min="12289" max="12289" width="24.28515625" style="5" customWidth="1"/>
    <col min="12290" max="12290" width="10.5703125" style="5" customWidth="1"/>
    <col min="12291" max="12291" width="4.42578125" style="5" customWidth="1"/>
    <col min="12292" max="12292" width="11.28515625" style="5" customWidth="1"/>
    <col min="12293" max="12293" width="5.85546875" style="5" customWidth="1"/>
    <col min="12294" max="12294" width="11.28515625" style="5" customWidth="1"/>
    <col min="12295" max="12295" width="8.7109375" style="5" customWidth="1"/>
    <col min="12296" max="12296" width="4.42578125" style="5" customWidth="1"/>
    <col min="12297" max="12297" width="8.7109375" style="5" bestFit="1" customWidth="1"/>
    <col min="12298" max="12298" width="10.85546875" style="5" customWidth="1"/>
    <col min="12299" max="12299" width="7.140625" style="5" customWidth="1"/>
    <col min="12300" max="12300" width="9.5703125" style="5" customWidth="1"/>
    <col min="12301" max="12304" width="0" style="5" hidden="1" customWidth="1"/>
    <col min="12305" max="12310" width="9.5703125" style="5" customWidth="1"/>
    <col min="12311" max="12312" width="10.42578125" style="5" customWidth="1"/>
    <col min="12313" max="12313" width="9.85546875" style="5" customWidth="1"/>
    <col min="12314" max="12314" width="9.140625" style="5"/>
    <col min="12315" max="12315" width="10.42578125" style="5" customWidth="1"/>
    <col min="12316" max="12544" width="9.140625" style="5"/>
    <col min="12545" max="12545" width="24.28515625" style="5" customWidth="1"/>
    <col min="12546" max="12546" width="10.5703125" style="5" customWidth="1"/>
    <col min="12547" max="12547" width="4.42578125" style="5" customWidth="1"/>
    <col min="12548" max="12548" width="11.28515625" style="5" customWidth="1"/>
    <col min="12549" max="12549" width="5.85546875" style="5" customWidth="1"/>
    <col min="12550" max="12550" width="11.28515625" style="5" customWidth="1"/>
    <col min="12551" max="12551" width="8.7109375" style="5" customWidth="1"/>
    <col min="12552" max="12552" width="4.42578125" style="5" customWidth="1"/>
    <col min="12553" max="12553" width="8.7109375" style="5" bestFit="1" customWidth="1"/>
    <col min="12554" max="12554" width="10.85546875" style="5" customWidth="1"/>
    <col min="12555" max="12555" width="7.140625" style="5" customWidth="1"/>
    <col min="12556" max="12556" width="9.5703125" style="5" customWidth="1"/>
    <col min="12557" max="12560" width="0" style="5" hidden="1" customWidth="1"/>
    <col min="12561" max="12566" width="9.5703125" style="5" customWidth="1"/>
    <col min="12567" max="12568" width="10.42578125" style="5" customWidth="1"/>
    <col min="12569" max="12569" width="9.85546875" style="5" customWidth="1"/>
    <col min="12570" max="12570" width="9.140625" style="5"/>
    <col min="12571" max="12571" width="10.42578125" style="5" customWidth="1"/>
    <col min="12572" max="12800" width="9.140625" style="5"/>
    <col min="12801" max="12801" width="24.28515625" style="5" customWidth="1"/>
    <col min="12802" max="12802" width="10.5703125" style="5" customWidth="1"/>
    <col min="12803" max="12803" width="4.42578125" style="5" customWidth="1"/>
    <col min="12804" max="12804" width="11.28515625" style="5" customWidth="1"/>
    <col min="12805" max="12805" width="5.85546875" style="5" customWidth="1"/>
    <col min="12806" max="12806" width="11.28515625" style="5" customWidth="1"/>
    <col min="12807" max="12807" width="8.7109375" style="5" customWidth="1"/>
    <col min="12808" max="12808" width="4.42578125" style="5" customWidth="1"/>
    <col min="12809" max="12809" width="8.7109375" style="5" bestFit="1" customWidth="1"/>
    <col min="12810" max="12810" width="10.85546875" style="5" customWidth="1"/>
    <col min="12811" max="12811" width="7.140625" style="5" customWidth="1"/>
    <col min="12812" max="12812" width="9.5703125" style="5" customWidth="1"/>
    <col min="12813" max="12816" width="0" style="5" hidden="1" customWidth="1"/>
    <col min="12817" max="12822" width="9.5703125" style="5" customWidth="1"/>
    <col min="12823" max="12824" width="10.42578125" style="5" customWidth="1"/>
    <col min="12825" max="12825" width="9.85546875" style="5" customWidth="1"/>
    <col min="12826" max="12826" width="9.140625" style="5"/>
    <col min="12827" max="12827" width="10.42578125" style="5" customWidth="1"/>
    <col min="12828" max="13056" width="9.140625" style="5"/>
    <col min="13057" max="13057" width="24.28515625" style="5" customWidth="1"/>
    <col min="13058" max="13058" width="10.5703125" style="5" customWidth="1"/>
    <col min="13059" max="13059" width="4.42578125" style="5" customWidth="1"/>
    <col min="13060" max="13060" width="11.28515625" style="5" customWidth="1"/>
    <col min="13061" max="13061" width="5.85546875" style="5" customWidth="1"/>
    <col min="13062" max="13062" width="11.28515625" style="5" customWidth="1"/>
    <col min="13063" max="13063" width="8.7109375" style="5" customWidth="1"/>
    <col min="13064" max="13064" width="4.42578125" style="5" customWidth="1"/>
    <col min="13065" max="13065" width="8.7109375" style="5" bestFit="1" customWidth="1"/>
    <col min="13066" max="13066" width="10.85546875" style="5" customWidth="1"/>
    <col min="13067" max="13067" width="7.140625" style="5" customWidth="1"/>
    <col min="13068" max="13068" width="9.5703125" style="5" customWidth="1"/>
    <col min="13069" max="13072" width="0" style="5" hidden="1" customWidth="1"/>
    <col min="13073" max="13078" width="9.5703125" style="5" customWidth="1"/>
    <col min="13079" max="13080" width="10.42578125" style="5" customWidth="1"/>
    <col min="13081" max="13081" width="9.85546875" style="5" customWidth="1"/>
    <col min="13082" max="13082" width="9.140625" style="5"/>
    <col min="13083" max="13083" width="10.42578125" style="5" customWidth="1"/>
    <col min="13084" max="13312" width="9.140625" style="5"/>
    <col min="13313" max="13313" width="24.28515625" style="5" customWidth="1"/>
    <col min="13314" max="13314" width="10.5703125" style="5" customWidth="1"/>
    <col min="13315" max="13315" width="4.42578125" style="5" customWidth="1"/>
    <col min="13316" max="13316" width="11.28515625" style="5" customWidth="1"/>
    <col min="13317" max="13317" width="5.85546875" style="5" customWidth="1"/>
    <col min="13318" max="13318" width="11.28515625" style="5" customWidth="1"/>
    <col min="13319" max="13319" width="8.7109375" style="5" customWidth="1"/>
    <col min="13320" max="13320" width="4.42578125" style="5" customWidth="1"/>
    <col min="13321" max="13321" width="8.7109375" style="5" bestFit="1" customWidth="1"/>
    <col min="13322" max="13322" width="10.85546875" style="5" customWidth="1"/>
    <col min="13323" max="13323" width="7.140625" style="5" customWidth="1"/>
    <col min="13324" max="13324" width="9.5703125" style="5" customWidth="1"/>
    <col min="13325" max="13328" width="0" style="5" hidden="1" customWidth="1"/>
    <col min="13329" max="13334" width="9.5703125" style="5" customWidth="1"/>
    <col min="13335" max="13336" width="10.42578125" style="5" customWidth="1"/>
    <col min="13337" max="13337" width="9.85546875" style="5" customWidth="1"/>
    <col min="13338" max="13338" width="9.140625" style="5"/>
    <col min="13339" max="13339" width="10.42578125" style="5" customWidth="1"/>
    <col min="13340" max="13568" width="9.140625" style="5"/>
    <col min="13569" max="13569" width="24.28515625" style="5" customWidth="1"/>
    <col min="13570" max="13570" width="10.5703125" style="5" customWidth="1"/>
    <col min="13571" max="13571" width="4.42578125" style="5" customWidth="1"/>
    <col min="13572" max="13572" width="11.28515625" style="5" customWidth="1"/>
    <col min="13573" max="13573" width="5.85546875" style="5" customWidth="1"/>
    <col min="13574" max="13574" width="11.28515625" style="5" customWidth="1"/>
    <col min="13575" max="13575" width="8.7109375" style="5" customWidth="1"/>
    <col min="13576" max="13576" width="4.42578125" style="5" customWidth="1"/>
    <col min="13577" max="13577" width="8.7109375" style="5" bestFit="1" customWidth="1"/>
    <col min="13578" max="13578" width="10.85546875" style="5" customWidth="1"/>
    <col min="13579" max="13579" width="7.140625" style="5" customWidth="1"/>
    <col min="13580" max="13580" width="9.5703125" style="5" customWidth="1"/>
    <col min="13581" max="13584" width="0" style="5" hidden="1" customWidth="1"/>
    <col min="13585" max="13590" width="9.5703125" style="5" customWidth="1"/>
    <col min="13591" max="13592" width="10.42578125" style="5" customWidth="1"/>
    <col min="13593" max="13593" width="9.85546875" style="5" customWidth="1"/>
    <col min="13594" max="13594" width="9.140625" style="5"/>
    <col min="13595" max="13595" width="10.42578125" style="5" customWidth="1"/>
    <col min="13596" max="13824" width="9.140625" style="5"/>
    <col min="13825" max="13825" width="24.28515625" style="5" customWidth="1"/>
    <col min="13826" max="13826" width="10.5703125" style="5" customWidth="1"/>
    <col min="13827" max="13827" width="4.42578125" style="5" customWidth="1"/>
    <col min="13828" max="13828" width="11.28515625" style="5" customWidth="1"/>
    <col min="13829" max="13829" width="5.85546875" style="5" customWidth="1"/>
    <col min="13830" max="13830" width="11.28515625" style="5" customWidth="1"/>
    <col min="13831" max="13831" width="8.7109375" style="5" customWidth="1"/>
    <col min="13832" max="13832" width="4.42578125" style="5" customWidth="1"/>
    <col min="13833" max="13833" width="8.7109375" style="5" bestFit="1" customWidth="1"/>
    <col min="13834" max="13834" width="10.85546875" style="5" customWidth="1"/>
    <col min="13835" max="13835" width="7.140625" style="5" customWidth="1"/>
    <col min="13836" max="13836" width="9.5703125" style="5" customWidth="1"/>
    <col min="13837" max="13840" width="0" style="5" hidden="1" customWidth="1"/>
    <col min="13841" max="13846" width="9.5703125" style="5" customWidth="1"/>
    <col min="13847" max="13848" width="10.42578125" style="5" customWidth="1"/>
    <col min="13849" max="13849" width="9.85546875" style="5" customWidth="1"/>
    <col min="13850" max="13850" width="9.140625" style="5"/>
    <col min="13851" max="13851" width="10.42578125" style="5" customWidth="1"/>
    <col min="13852" max="14080" width="9.140625" style="5"/>
    <col min="14081" max="14081" width="24.28515625" style="5" customWidth="1"/>
    <col min="14082" max="14082" width="10.5703125" style="5" customWidth="1"/>
    <col min="14083" max="14083" width="4.42578125" style="5" customWidth="1"/>
    <col min="14084" max="14084" width="11.28515625" style="5" customWidth="1"/>
    <col min="14085" max="14085" width="5.85546875" style="5" customWidth="1"/>
    <col min="14086" max="14086" width="11.28515625" style="5" customWidth="1"/>
    <col min="14087" max="14087" width="8.7109375" style="5" customWidth="1"/>
    <col min="14088" max="14088" width="4.42578125" style="5" customWidth="1"/>
    <col min="14089" max="14089" width="8.7109375" style="5" bestFit="1" customWidth="1"/>
    <col min="14090" max="14090" width="10.85546875" style="5" customWidth="1"/>
    <col min="14091" max="14091" width="7.140625" style="5" customWidth="1"/>
    <col min="14092" max="14092" width="9.5703125" style="5" customWidth="1"/>
    <col min="14093" max="14096" width="0" style="5" hidden="1" customWidth="1"/>
    <col min="14097" max="14102" width="9.5703125" style="5" customWidth="1"/>
    <col min="14103" max="14104" width="10.42578125" style="5" customWidth="1"/>
    <col min="14105" max="14105" width="9.85546875" style="5" customWidth="1"/>
    <col min="14106" max="14106" width="9.140625" style="5"/>
    <col min="14107" max="14107" width="10.42578125" style="5" customWidth="1"/>
    <col min="14108" max="14336" width="9.140625" style="5"/>
    <col min="14337" max="14337" width="24.28515625" style="5" customWidth="1"/>
    <col min="14338" max="14338" width="10.5703125" style="5" customWidth="1"/>
    <col min="14339" max="14339" width="4.42578125" style="5" customWidth="1"/>
    <col min="14340" max="14340" width="11.28515625" style="5" customWidth="1"/>
    <col min="14341" max="14341" width="5.85546875" style="5" customWidth="1"/>
    <col min="14342" max="14342" width="11.28515625" style="5" customWidth="1"/>
    <col min="14343" max="14343" width="8.7109375" style="5" customWidth="1"/>
    <col min="14344" max="14344" width="4.42578125" style="5" customWidth="1"/>
    <col min="14345" max="14345" width="8.7109375" style="5" bestFit="1" customWidth="1"/>
    <col min="14346" max="14346" width="10.85546875" style="5" customWidth="1"/>
    <col min="14347" max="14347" width="7.140625" style="5" customWidth="1"/>
    <col min="14348" max="14348" width="9.5703125" style="5" customWidth="1"/>
    <col min="14349" max="14352" width="0" style="5" hidden="1" customWidth="1"/>
    <col min="14353" max="14358" width="9.5703125" style="5" customWidth="1"/>
    <col min="14359" max="14360" width="10.42578125" style="5" customWidth="1"/>
    <col min="14361" max="14361" width="9.85546875" style="5" customWidth="1"/>
    <col min="14362" max="14362" width="9.140625" style="5"/>
    <col min="14363" max="14363" width="10.42578125" style="5" customWidth="1"/>
    <col min="14364" max="14592" width="9.140625" style="5"/>
    <col min="14593" max="14593" width="24.28515625" style="5" customWidth="1"/>
    <col min="14594" max="14594" width="10.5703125" style="5" customWidth="1"/>
    <col min="14595" max="14595" width="4.42578125" style="5" customWidth="1"/>
    <col min="14596" max="14596" width="11.28515625" style="5" customWidth="1"/>
    <col min="14597" max="14597" width="5.85546875" style="5" customWidth="1"/>
    <col min="14598" max="14598" width="11.28515625" style="5" customWidth="1"/>
    <col min="14599" max="14599" width="8.7109375" style="5" customWidth="1"/>
    <col min="14600" max="14600" width="4.42578125" style="5" customWidth="1"/>
    <col min="14601" max="14601" width="8.7109375" style="5" bestFit="1" customWidth="1"/>
    <col min="14602" max="14602" width="10.85546875" style="5" customWidth="1"/>
    <col min="14603" max="14603" width="7.140625" style="5" customWidth="1"/>
    <col min="14604" max="14604" width="9.5703125" style="5" customWidth="1"/>
    <col min="14605" max="14608" width="0" style="5" hidden="1" customWidth="1"/>
    <col min="14609" max="14614" width="9.5703125" style="5" customWidth="1"/>
    <col min="14615" max="14616" width="10.42578125" style="5" customWidth="1"/>
    <col min="14617" max="14617" width="9.85546875" style="5" customWidth="1"/>
    <col min="14618" max="14618" width="9.140625" style="5"/>
    <col min="14619" max="14619" width="10.42578125" style="5" customWidth="1"/>
    <col min="14620" max="14848" width="9.140625" style="5"/>
    <col min="14849" max="14849" width="24.28515625" style="5" customWidth="1"/>
    <col min="14850" max="14850" width="10.5703125" style="5" customWidth="1"/>
    <col min="14851" max="14851" width="4.42578125" style="5" customWidth="1"/>
    <col min="14852" max="14852" width="11.28515625" style="5" customWidth="1"/>
    <col min="14853" max="14853" width="5.85546875" style="5" customWidth="1"/>
    <col min="14854" max="14854" width="11.28515625" style="5" customWidth="1"/>
    <col min="14855" max="14855" width="8.7109375" style="5" customWidth="1"/>
    <col min="14856" max="14856" width="4.42578125" style="5" customWidth="1"/>
    <col min="14857" max="14857" width="8.7109375" style="5" bestFit="1" customWidth="1"/>
    <col min="14858" max="14858" width="10.85546875" style="5" customWidth="1"/>
    <col min="14859" max="14859" width="7.140625" style="5" customWidth="1"/>
    <col min="14860" max="14860" width="9.5703125" style="5" customWidth="1"/>
    <col min="14861" max="14864" width="0" style="5" hidden="1" customWidth="1"/>
    <col min="14865" max="14870" width="9.5703125" style="5" customWidth="1"/>
    <col min="14871" max="14872" width="10.42578125" style="5" customWidth="1"/>
    <col min="14873" max="14873" width="9.85546875" style="5" customWidth="1"/>
    <col min="14874" max="14874" width="9.140625" style="5"/>
    <col min="14875" max="14875" width="10.42578125" style="5" customWidth="1"/>
    <col min="14876" max="15104" width="9.140625" style="5"/>
    <col min="15105" max="15105" width="24.28515625" style="5" customWidth="1"/>
    <col min="15106" max="15106" width="10.5703125" style="5" customWidth="1"/>
    <col min="15107" max="15107" width="4.42578125" style="5" customWidth="1"/>
    <col min="15108" max="15108" width="11.28515625" style="5" customWidth="1"/>
    <col min="15109" max="15109" width="5.85546875" style="5" customWidth="1"/>
    <col min="15110" max="15110" width="11.28515625" style="5" customWidth="1"/>
    <col min="15111" max="15111" width="8.7109375" style="5" customWidth="1"/>
    <col min="15112" max="15112" width="4.42578125" style="5" customWidth="1"/>
    <col min="15113" max="15113" width="8.7109375" style="5" bestFit="1" customWidth="1"/>
    <col min="15114" max="15114" width="10.85546875" style="5" customWidth="1"/>
    <col min="15115" max="15115" width="7.140625" style="5" customWidth="1"/>
    <col min="15116" max="15116" width="9.5703125" style="5" customWidth="1"/>
    <col min="15117" max="15120" width="0" style="5" hidden="1" customWidth="1"/>
    <col min="15121" max="15126" width="9.5703125" style="5" customWidth="1"/>
    <col min="15127" max="15128" width="10.42578125" style="5" customWidth="1"/>
    <col min="15129" max="15129" width="9.85546875" style="5" customWidth="1"/>
    <col min="15130" max="15130" width="9.140625" style="5"/>
    <col min="15131" max="15131" width="10.42578125" style="5" customWidth="1"/>
    <col min="15132" max="15360" width="9.140625" style="5"/>
    <col min="15361" max="15361" width="24.28515625" style="5" customWidth="1"/>
    <col min="15362" max="15362" width="10.5703125" style="5" customWidth="1"/>
    <col min="15363" max="15363" width="4.42578125" style="5" customWidth="1"/>
    <col min="15364" max="15364" width="11.28515625" style="5" customWidth="1"/>
    <col min="15365" max="15365" width="5.85546875" style="5" customWidth="1"/>
    <col min="15366" max="15366" width="11.28515625" style="5" customWidth="1"/>
    <col min="15367" max="15367" width="8.7109375" style="5" customWidth="1"/>
    <col min="15368" max="15368" width="4.42578125" style="5" customWidth="1"/>
    <col min="15369" max="15369" width="8.7109375" style="5" bestFit="1" customWidth="1"/>
    <col min="15370" max="15370" width="10.85546875" style="5" customWidth="1"/>
    <col min="15371" max="15371" width="7.140625" style="5" customWidth="1"/>
    <col min="15372" max="15372" width="9.5703125" style="5" customWidth="1"/>
    <col min="15373" max="15376" width="0" style="5" hidden="1" customWidth="1"/>
    <col min="15377" max="15382" width="9.5703125" style="5" customWidth="1"/>
    <col min="15383" max="15384" width="10.42578125" style="5" customWidth="1"/>
    <col min="15385" max="15385" width="9.85546875" style="5" customWidth="1"/>
    <col min="15386" max="15386" width="9.140625" style="5"/>
    <col min="15387" max="15387" width="10.42578125" style="5" customWidth="1"/>
    <col min="15388" max="15616" width="9.140625" style="5"/>
    <col min="15617" max="15617" width="24.28515625" style="5" customWidth="1"/>
    <col min="15618" max="15618" width="10.5703125" style="5" customWidth="1"/>
    <col min="15619" max="15619" width="4.42578125" style="5" customWidth="1"/>
    <col min="15620" max="15620" width="11.28515625" style="5" customWidth="1"/>
    <col min="15621" max="15621" width="5.85546875" style="5" customWidth="1"/>
    <col min="15622" max="15622" width="11.28515625" style="5" customWidth="1"/>
    <col min="15623" max="15623" width="8.7109375" style="5" customWidth="1"/>
    <col min="15624" max="15624" width="4.42578125" style="5" customWidth="1"/>
    <col min="15625" max="15625" width="8.7109375" style="5" bestFit="1" customWidth="1"/>
    <col min="15626" max="15626" width="10.85546875" style="5" customWidth="1"/>
    <col min="15627" max="15627" width="7.140625" style="5" customWidth="1"/>
    <col min="15628" max="15628" width="9.5703125" style="5" customWidth="1"/>
    <col min="15629" max="15632" width="0" style="5" hidden="1" customWidth="1"/>
    <col min="15633" max="15638" width="9.5703125" style="5" customWidth="1"/>
    <col min="15639" max="15640" width="10.42578125" style="5" customWidth="1"/>
    <col min="15641" max="15641" width="9.85546875" style="5" customWidth="1"/>
    <col min="15642" max="15642" width="9.140625" style="5"/>
    <col min="15643" max="15643" width="10.42578125" style="5" customWidth="1"/>
    <col min="15644" max="15872" width="9.140625" style="5"/>
    <col min="15873" max="15873" width="24.28515625" style="5" customWidth="1"/>
    <col min="15874" max="15874" width="10.5703125" style="5" customWidth="1"/>
    <col min="15875" max="15875" width="4.42578125" style="5" customWidth="1"/>
    <col min="15876" max="15876" width="11.28515625" style="5" customWidth="1"/>
    <col min="15877" max="15877" width="5.85546875" style="5" customWidth="1"/>
    <col min="15878" max="15878" width="11.28515625" style="5" customWidth="1"/>
    <col min="15879" max="15879" width="8.7109375" style="5" customWidth="1"/>
    <col min="15880" max="15880" width="4.42578125" style="5" customWidth="1"/>
    <col min="15881" max="15881" width="8.7109375" style="5" bestFit="1" customWidth="1"/>
    <col min="15882" max="15882" width="10.85546875" style="5" customWidth="1"/>
    <col min="15883" max="15883" width="7.140625" style="5" customWidth="1"/>
    <col min="15884" max="15884" width="9.5703125" style="5" customWidth="1"/>
    <col min="15885" max="15888" width="0" style="5" hidden="1" customWidth="1"/>
    <col min="15889" max="15894" width="9.5703125" style="5" customWidth="1"/>
    <col min="15895" max="15896" width="10.42578125" style="5" customWidth="1"/>
    <col min="15897" max="15897" width="9.85546875" style="5" customWidth="1"/>
    <col min="15898" max="15898" width="9.140625" style="5"/>
    <col min="15899" max="15899" width="10.42578125" style="5" customWidth="1"/>
    <col min="15900" max="16128" width="9.140625" style="5"/>
    <col min="16129" max="16129" width="24.28515625" style="5" customWidth="1"/>
    <col min="16130" max="16130" width="10.5703125" style="5" customWidth="1"/>
    <col min="16131" max="16131" width="4.42578125" style="5" customWidth="1"/>
    <col min="16132" max="16132" width="11.28515625" style="5" customWidth="1"/>
    <col min="16133" max="16133" width="5.85546875" style="5" customWidth="1"/>
    <col min="16134" max="16134" width="11.28515625" style="5" customWidth="1"/>
    <col min="16135" max="16135" width="8.7109375" style="5" customWidth="1"/>
    <col min="16136" max="16136" width="4.42578125" style="5" customWidth="1"/>
    <col min="16137" max="16137" width="8.7109375" style="5" bestFit="1" customWidth="1"/>
    <col min="16138" max="16138" width="10.85546875" style="5" customWidth="1"/>
    <col min="16139" max="16139" width="7.140625" style="5" customWidth="1"/>
    <col min="16140" max="16140" width="9.5703125" style="5" customWidth="1"/>
    <col min="16141" max="16144" width="0" style="5" hidden="1" customWidth="1"/>
    <col min="16145" max="16150" width="9.5703125" style="5" customWidth="1"/>
    <col min="16151" max="16152" width="10.42578125" style="5" customWidth="1"/>
    <col min="16153" max="16153" width="9.85546875" style="5" customWidth="1"/>
    <col min="16154" max="16154" width="9.140625" style="5"/>
    <col min="16155" max="16155" width="10.42578125" style="5" customWidth="1"/>
    <col min="16156" max="16384" width="9.140625" style="5"/>
  </cols>
  <sheetData>
    <row r="1" spans="1:27" x14ac:dyDescent="0.2">
      <c r="A1" s="1" t="s">
        <v>110</v>
      </c>
      <c r="B1" s="2"/>
      <c r="C1" s="2"/>
      <c r="D1" s="2"/>
      <c r="E1" s="2"/>
      <c r="F1" s="2"/>
      <c r="G1" s="3"/>
      <c r="H1" s="2"/>
      <c r="I1" s="2"/>
      <c r="J1" s="1" t="s">
        <v>54</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"&amp;YEAR(A22)</f>
        <v>For the Year Ended April 2019</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63</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81" t="str">
        <f>"Total "&amp;F5</f>
        <v>Total Commodity</v>
      </c>
      <c r="P5" s="82"/>
      <c r="Q5" s="2"/>
      <c r="R5" s="2"/>
      <c r="S5" s="2"/>
      <c r="T5" s="2"/>
      <c r="U5" s="2"/>
      <c r="V5" s="13"/>
      <c r="W5" s="14"/>
      <c r="X5" s="14"/>
      <c r="Y5" s="14"/>
      <c r="AA5" s="14"/>
    </row>
    <row r="6" spans="1:27" s="16" customFormat="1" ht="11.25" x14ac:dyDescent="0.2">
      <c r="A6" s="15"/>
      <c r="B6" s="12"/>
      <c r="C6" s="12"/>
      <c r="D6" s="12" t="s">
        <v>2</v>
      </c>
      <c r="E6" s="12"/>
      <c r="F6" s="12" t="s">
        <v>3</v>
      </c>
      <c r="G6" s="12"/>
      <c r="H6" s="12"/>
      <c r="I6" s="12"/>
      <c r="J6" s="12"/>
      <c r="K6" s="12"/>
      <c r="O6" s="83" t="str">
        <f>+F6</f>
        <v>Revenue</v>
      </c>
      <c r="P6" s="84"/>
    </row>
    <row r="7" spans="1:27" s="16" customFormat="1" ht="11.25" x14ac:dyDescent="0.2">
      <c r="A7" s="15" t="s">
        <v>5</v>
      </c>
      <c r="B7" s="12" t="s">
        <v>64</v>
      </c>
      <c r="C7" s="12"/>
      <c r="D7" s="12" t="s">
        <v>3</v>
      </c>
      <c r="E7" s="12"/>
      <c r="F7" s="12" t="s">
        <v>65</v>
      </c>
      <c r="G7" s="12"/>
      <c r="H7" s="12"/>
      <c r="I7" s="12"/>
      <c r="J7" s="12" t="s">
        <v>66</v>
      </c>
      <c r="K7" s="12"/>
      <c r="O7" s="83" t="str">
        <f>+F7</f>
        <v>per Yard</v>
      </c>
      <c r="P7" s="84"/>
    </row>
    <row r="8" spans="1:27" s="16" customFormat="1" ht="11.25" x14ac:dyDescent="0.2">
      <c r="A8" s="203">
        <f>[1]Multi_Family!$C$6</f>
        <v>43221</v>
      </c>
      <c r="B8" s="217">
        <v>7731.5700000000006</v>
      </c>
      <c r="C8" s="12"/>
      <c r="D8" s="216">
        <f>[1]Value!O6</f>
        <v>73.97678874999923</v>
      </c>
      <c r="E8" s="12"/>
      <c r="F8" s="16">
        <f>ROUND(D8/B14,2)</f>
        <v>0.01</v>
      </c>
      <c r="G8" s="12"/>
      <c r="H8" s="12"/>
      <c r="I8" s="12"/>
      <c r="J8" s="14">
        <f>+B8</f>
        <v>7731.5700000000006</v>
      </c>
      <c r="K8" s="13">
        <f>YEAR(A8)</f>
        <v>2018</v>
      </c>
      <c r="O8" s="85">
        <f>VLOOKUP(A8,[1]Value!$A$6:$O$17,13,FALSE)</f>
        <v>147.95357749999846</v>
      </c>
      <c r="P8" s="84"/>
    </row>
    <row r="9" spans="1:27" s="16" customFormat="1" ht="11.25" x14ac:dyDescent="0.2">
      <c r="A9" s="17">
        <f>EOMONTH(A8,1)</f>
        <v>43281</v>
      </c>
      <c r="B9" s="217">
        <v>7766.6</v>
      </c>
      <c r="C9" s="19"/>
      <c r="D9" s="216">
        <f>[1]Value!O7</f>
        <v>468.12848549999939</v>
      </c>
      <c r="E9" s="14"/>
      <c r="F9" s="16">
        <f>ROUND(D9/B9,2)</f>
        <v>0.06</v>
      </c>
      <c r="G9" s="14"/>
      <c r="H9" s="14"/>
      <c r="I9" s="14"/>
      <c r="J9" s="14">
        <f>+B9</f>
        <v>7766.6</v>
      </c>
      <c r="K9" s="13">
        <f>YEAR(A9)</f>
        <v>2018</v>
      </c>
      <c r="O9" s="85">
        <f>VLOOKUP(A9,[1]Value!$A$6:$O$17,13,FALSE)</f>
        <v>936.25697099999877</v>
      </c>
      <c r="P9" s="84"/>
    </row>
    <row r="10" spans="1:27" s="16" customFormat="1" ht="11.25" x14ac:dyDescent="0.2">
      <c r="A10" s="17">
        <f>EOMONTH(A9,1)</f>
        <v>43312</v>
      </c>
      <c r="B10" s="217">
        <v>7749.28</v>
      </c>
      <c r="C10" s="14"/>
      <c r="D10" s="216">
        <f>[1]Value!O8</f>
        <v>822.96649987499916</v>
      </c>
      <c r="E10" s="14"/>
      <c r="F10" s="16">
        <f>ROUND(D10/B10,2)</f>
        <v>0.11</v>
      </c>
      <c r="G10" s="14"/>
      <c r="H10" s="14"/>
      <c r="I10" s="14"/>
      <c r="J10" s="14">
        <f>+B10</f>
        <v>7749.28</v>
      </c>
      <c r="K10" s="13">
        <f>YEAR(A10)</f>
        <v>2018</v>
      </c>
      <c r="O10" s="85">
        <f>VLOOKUP(A10,[1]Value!$A$6:$O$17,13,FALSE)</f>
        <v>1645.9329997499983</v>
      </c>
      <c r="P10" s="84"/>
    </row>
    <row r="11" spans="1:27" s="16" customFormat="1" ht="11.25" x14ac:dyDescent="0.2">
      <c r="A11" s="17"/>
      <c r="B11" s="14"/>
      <c r="C11" s="14"/>
      <c r="E11" s="14"/>
      <c r="G11" s="14"/>
      <c r="H11" s="14"/>
      <c r="I11" s="14"/>
      <c r="J11" s="14"/>
      <c r="K11" s="13"/>
      <c r="O11" s="85"/>
      <c r="P11" s="84"/>
    </row>
    <row r="12" spans="1:27" s="16" customFormat="1" ht="11.25" x14ac:dyDescent="0.2">
      <c r="A12" s="17" t="s">
        <v>67</v>
      </c>
      <c r="B12" s="20">
        <f>SUM(B8:B11)</f>
        <v>23247.45</v>
      </c>
      <c r="C12" s="19" t="s">
        <v>8</v>
      </c>
      <c r="D12" s="79">
        <f>SUM(D8:D11)</f>
        <v>1365.0717741249978</v>
      </c>
      <c r="E12" s="14"/>
      <c r="G12" s="14"/>
      <c r="H12" s="14"/>
      <c r="I12" s="14"/>
      <c r="J12" s="14"/>
      <c r="K12" s="13"/>
      <c r="O12" s="85"/>
      <c r="P12" s="84"/>
    </row>
    <row r="13" spans="1:27" s="16" customFormat="1" ht="11.25" x14ac:dyDescent="0.2">
      <c r="A13" s="17"/>
      <c r="B13" s="14"/>
      <c r="C13" s="14"/>
      <c r="E13" s="14"/>
      <c r="G13" s="14"/>
      <c r="H13" s="14"/>
      <c r="I13" s="14"/>
      <c r="J13" s="14"/>
      <c r="K13" s="13"/>
      <c r="O13" s="85"/>
      <c r="P13" s="84"/>
    </row>
    <row r="14" spans="1:27" s="16" customFormat="1" ht="11.25" x14ac:dyDescent="0.2">
      <c r="A14" s="17">
        <f>EOMONTH(A10,1)</f>
        <v>43343</v>
      </c>
      <c r="B14" s="218">
        <v>7716.59</v>
      </c>
      <c r="C14" s="14"/>
      <c r="D14" s="240">
        <f>[1]Value!O9</f>
        <v>958.37659386999917</v>
      </c>
      <c r="E14" s="14"/>
      <c r="F14" s="16">
        <f>ROUND(D14/B14,2)</f>
        <v>0.12</v>
      </c>
      <c r="G14" s="21"/>
      <c r="H14" s="14"/>
      <c r="I14" s="14"/>
      <c r="J14" s="14">
        <f t="shared" ref="J14:J22" si="0">+B14</f>
        <v>7716.59</v>
      </c>
      <c r="K14" s="13">
        <f t="shared" ref="K14:K22" si="1">YEAR(A14)</f>
        <v>2018</v>
      </c>
      <c r="O14" s="85">
        <f>VLOOKUP(A14,[1]Value!$A$6:$O$17,13,FALSE)</f>
        <v>1916.7531877399983</v>
      </c>
      <c r="P14" s="84"/>
    </row>
    <row r="15" spans="1:27" s="16" customFormat="1" ht="11.25" x14ac:dyDescent="0.2">
      <c r="A15" s="17">
        <f t="shared" ref="A15:A22" si="2">EOMONTH(A14,1)</f>
        <v>43373</v>
      </c>
      <c r="B15" s="217">
        <v>7725.25</v>
      </c>
      <c r="C15" s="14"/>
      <c r="D15" s="240">
        <f>[1]Value!O10</f>
        <v>1055.9617428149995</v>
      </c>
      <c r="E15" s="14"/>
      <c r="F15" s="16">
        <f>ROUND(D15/B15,2)</f>
        <v>0.14000000000000001</v>
      </c>
      <c r="G15" s="21"/>
      <c r="H15" s="14"/>
      <c r="I15" s="14"/>
      <c r="J15" s="14">
        <f t="shared" si="0"/>
        <v>7725.25</v>
      </c>
      <c r="K15" s="13">
        <f t="shared" si="1"/>
        <v>2018</v>
      </c>
      <c r="O15" s="85">
        <f>VLOOKUP(A15,[1]Value!$A$6:$O$17,13,FALSE)</f>
        <v>2111.923485629999</v>
      </c>
      <c r="P15" s="84"/>
    </row>
    <row r="16" spans="1:27" s="16" customFormat="1" ht="11.25" x14ac:dyDescent="0.2">
      <c r="A16" s="17">
        <f t="shared" si="2"/>
        <v>43404</v>
      </c>
      <c r="B16" s="217">
        <v>7759.89</v>
      </c>
      <c r="C16" s="14"/>
      <c r="D16" s="240">
        <f>[1]Value!O11</f>
        <v>1797.3695052599987</v>
      </c>
      <c r="E16" s="14"/>
      <c r="F16" s="16">
        <f>ROUND(D16/B16,2)</f>
        <v>0.23</v>
      </c>
      <c r="G16" s="21"/>
      <c r="H16" s="14"/>
      <c r="I16" s="14"/>
      <c r="J16" s="14">
        <f t="shared" si="0"/>
        <v>7759.89</v>
      </c>
      <c r="K16" s="13">
        <f t="shared" si="1"/>
        <v>2018</v>
      </c>
      <c r="O16" s="85">
        <f>VLOOKUP(A16,[1]Value!$A$6:$O$17,13,FALSE)</f>
        <v>3594.7390105199975</v>
      </c>
      <c r="P16" s="84"/>
    </row>
    <row r="17" spans="1:27" s="16" customFormat="1" ht="11.25" x14ac:dyDescent="0.2">
      <c r="A17" s="17">
        <f t="shared" si="2"/>
        <v>43434</v>
      </c>
      <c r="B17" s="217"/>
      <c r="C17" s="14"/>
      <c r="D17" s="240">
        <f>[1]Value!O12</f>
        <v>0</v>
      </c>
      <c r="E17" s="14"/>
      <c r="G17" s="21"/>
      <c r="H17" s="14"/>
      <c r="I17" s="14"/>
      <c r="J17" s="14">
        <f t="shared" si="0"/>
        <v>0</v>
      </c>
      <c r="K17" s="13">
        <f t="shared" si="1"/>
        <v>2018</v>
      </c>
      <c r="O17" s="85">
        <f>VLOOKUP(A17,[1]Value!$A$6:$O$17,13,FALSE)</f>
        <v>0</v>
      </c>
      <c r="P17" s="84"/>
    </row>
    <row r="18" spans="1:27" s="16" customFormat="1" ht="11.25" x14ac:dyDescent="0.2">
      <c r="A18" s="17">
        <f t="shared" si="2"/>
        <v>43465</v>
      </c>
      <c r="B18" s="217"/>
      <c r="C18" s="14"/>
      <c r="D18" s="240">
        <f>[1]Value!O13</f>
        <v>0</v>
      </c>
      <c r="E18" s="14"/>
      <c r="G18" s="21"/>
      <c r="H18" s="14"/>
      <c r="I18" s="14"/>
      <c r="J18" s="14">
        <f t="shared" si="0"/>
        <v>0</v>
      </c>
      <c r="K18" s="13">
        <f t="shared" si="1"/>
        <v>2018</v>
      </c>
      <c r="O18" s="85">
        <f>VLOOKUP(A18,[1]Value!$A$6:$O$17,13,FALSE)</f>
        <v>0</v>
      </c>
      <c r="P18" s="84"/>
      <c r="X18" s="14"/>
      <c r="Y18" s="14"/>
    </row>
    <row r="19" spans="1:27" s="16" customFormat="1" ht="11.25" x14ac:dyDescent="0.2">
      <c r="A19" s="17">
        <f t="shared" si="2"/>
        <v>43496</v>
      </c>
      <c r="B19" s="217"/>
      <c r="C19" s="14"/>
      <c r="D19" s="240">
        <f>[1]Value!O14</f>
        <v>0</v>
      </c>
      <c r="E19" s="14"/>
      <c r="G19" s="21"/>
      <c r="H19" s="14"/>
      <c r="I19" s="14"/>
      <c r="J19" s="14">
        <f t="shared" si="0"/>
        <v>0</v>
      </c>
      <c r="K19" s="13">
        <f t="shared" si="1"/>
        <v>2019</v>
      </c>
      <c r="L19" s="14"/>
      <c r="M19" s="14"/>
      <c r="N19" s="14"/>
      <c r="O19" s="85">
        <f>VLOOKUP(A19,[1]Value!$A$6:$O$17,13,FALSE)</f>
        <v>0</v>
      </c>
      <c r="P19" s="84"/>
      <c r="Q19" s="14"/>
      <c r="R19" s="14"/>
      <c r="S19" s="14"/>
      <c r="T19" s="14"/>
      <c r="U19" s="14"/>
      <c r="V19" s="14"/>
      <c r="W19" s="14"/>
      <c r="Y19" s="14"/>
      <c r="AA19" s="14"/>
    </row>
    <row r="20" spans="1:27" s="16" customFormat="1" ht="11.25" x14ac:dyDescent="0.2">
      <c r="A20" s="17">
        <f t="shared" si="2"/>
        <v>43524</v>
      </c>
      <c r="B20" s="217"/>
      <c r="C20" s="14"/>
      <c r="D20" s="240">
        <f>[1]Value!O15</f>
        <v>0</v>
      </c>
      <c r="E20" s="14"/>
      <c r="G20" s="21"/>
      <c r="H20" s="14"/>
      <c r="I20" s="14"/>
      <c r="J20" s="14">
        <f t="shared" si="0"/>
        <v>0</v>
      </c>
      <c r="K20" s="13">
        <f t="shared" si="1"/>
        <v>2019</v>
      </c>
      <c r="O20" s="85">
        <f>VLOOKUP(A20,[1]Value!$A$6:$O$17,13,FALSE)</f>
        <v>0</v>
      </c>
      <c r="P20" s="31"/>
    </row>
    <row r="21" spans="1:27" s="16" customFormat="1" ht="11.25" x14ac:dyDescent="0.2">
      <c r="A21" s="17">
        <f t="shared" si="2"/>
        <v>43555</v>
      </c>
      <c r="B21" s="217"/>
      <c r="C21" s="14"/>
      <c r="D21" s="240">
        <f>[1]Value!O16</f>
        <v>0</v>
      </c>
      <c r="E21" s="14"/>
      <c r="G21" s="21"/>
      <c r="H21" s="19"/>
      <c r="I21" s="14"/>
      <c r="J21" s="14">
        <f>+B21</f>
        <v>0</v>
      </c>
      <c r="K21" s="13">
        <f t="shared" si="1"/>
        <v>2019</v>
      </c>
      <c r="O21" s="85">
        <f>VLOOKUP(A21,[1]Value!$A$6:$O$17,13,FALSE)</f>
        <v>0</v>
      </c>
      <c r="P21" s="84"/>
    </row>
    <row r="22" spans="1:27" s="16" customFormat="1" ht="11.25" x14ac:dyDescent="0.2">
      <c r="A22" s="17">
        <f t="shared" si="2"/>
        <v>43585</v>
      </c>
      <c r="B22" s="217"/>
      <c r="C22" s="14"/>
      <c r="D22" s="240">
        <f>[1]Value!O17</f>
        <v>0</v>
      </c>
      <c r="E22" s="14"/>
      <c r="G22" s="21"/>
      <c r="H22" s="19"/>
      <c r="I22" s="14"/>
      <c r="J22" s="14">
        <f t="shared" si="0"/>
        <v>0</v>
      </c>
      <c r="K22" s="13">
        <f t="shared" si="1"/>
        <v>2019</v>
      </c>
      <c r="O22" s="85">
        <f>VLOOKUP(A22,[1]Value!$A$6:$O$17,13,FALSE)</f>
        <v>0</v>
      </c>
      <c r="P22" s="84"/>
    </row>
    <row r="23" spans="1:27" s="16" customFormat="1" ht="11.25" x14ac:dyDescent="0.2">
      <c r="A23" s="17"/>
      <c r="B23" s="14"/>
      <c r="C23" s="14"/>
      <c r="E23" s="14"/>
      <c r="G23" s="14"/>
      <c r="H23" s="14"/>
      <c r="I23" s="14"/>
      <c r="J23" s="14"/>
      <c r="K23" s="13"/>
      <c r="O23" s="86"/>
    </row>
    <row r="24" spans="1:27" s="16" customFormat="1" ht="11.25" x14ac:dyDescent="0.2">
      <c r="A24" s="17" t="s">
        <v>68</v>
      </c>
      <c r="B24" s="20">
        <f>SUM(B13:B23)</f>
        <v>23201.73</v>
      </c>
      <c r="C24" s="19" t="s">
        <v>9</v>
      </c>
      <c r="D24" s="79">
        <f>SUM(D13:D23)</f>
        <v>3811.7078419449972</v>
      </c>
      <c r="E24" s="14"/>
      <c r="G24" s="14"/>
      <c r="H24" s="14"/>
      <c r="I24" s="14"/>
      <c r="J24" s="14"/>
      <c r="K24" s="13"/>
      <c r="O24" s="86"/>
      <c r="P24" s="87" t="s">
        <v>55</v>
      </c>
    </row>
    <row r="25" spans="1:27" s="16" customFormat="1" x14ac:dyDescent="0.2">
      <c r="A25" s="5"/>
      <c r="B25" s="5"/>
      <c r="C25" s="5"/>
      <c r="D25" s="22"/>
      <c r="E25" s="5"/>
      <c r="F25" s="5"/>
      <c r="G25" s="5"/>
      <c r="H25" s="5"/>
      <c r="I25" s="5"/>
      <c r="J25" s="5"/>
      <c r="K25" s="5"/>
      <c r="O25" s="86">
        <f>SUM(O8:O24)</f>
        <v>10353.559232139991</v>
      </c>
      <c r="P25" s="88"/>
    </row>
    <row r="26" spans="1:27" s="16" customFormat="1" ht="12" thickBot="1" x14ac:dyDescent="0.25">
      <c r="A26" s="23"/>
      <c r="B26" s="24">
        <f>+B12+B24</f>
        <v>46449.18</v>
      </c>
      <c r="C26" s="19"/>
      <c r="D26" s="93">
        <f>+D12+D24</f>
        <v>5176.7796160699945</v>
      </c>
      <c r="E26" s="19" t="s">
        <v>10</v>
      </c>
      <c r="F26" s="21">
        <f>ROUND(D26/B26,3)</f>
        <v>0.111</v>
      </c>
      <c r="H26" s="14"/>
      <c r="I26" s="14"/>
      <c r="J26" s="24">
        <f>SUM(J8:J25)</f>
        <v>46449.18</v>
      </c>
      <c r="K26" s="19" t="s">
        <v>12</v>
      </c>
      <c r="O26" s="89">
        <f>ROUND(O25/J26,3)</f>
        <v>0.223</v>
      </c>
      <c r="P26" s="84" t="s">
        <v>56</v>
      </c>
    </row>
    <row r="27" spans="1:27" s="16" customFormat="1" ht="12" thickTop="1" x14ac:dyDescent="0.2">
      <c r="B27" s="14"/>
      <c r="C27" s="19"/>
      <c r="D27" s="14"/>
      <c r="E27" s="14"/>
      <c r="F27" s="14"/>
      <c r="G27" s="14"/>
      <c r="H27" s="14"/>
      <c r="I27" s="14"/>
      <c r="J27" s="14"/>
      <c r="K27" s="14"/>
      <c r="O27" s="215">
        <f>J22</f>
        <v>0</v>
      </c>
      <c r="P27" s="84" t="s">
        <v>57</v>
      </c>
    </row>
    <row r="28" spans="1:27" s="16" customFormat="1" ht="11.25" x14ac:dyDescent="0.2">
      <c r="B28" s="14"/>
      <c r="C28" s="19"/>
      <c r="D28" s="14"/>
      <c r="E28" s="14"/>
      <c r="F28" s="14"/>
      <c r="G28" s="14"/>
      <c r="H28" s="14"/>
      <c r="I28" s="14"/>
      <c r="J28" s="14"/>
      <c r="K28" s="14"/>
      <c r="O28" s="214"/>
      <c r="P28" s="84"/>
    </row>
    <row r="29" spans="1:27" s="16" customFormat="1" ht="11.25" x14ac:dyDescent="0.2">
      <c r="A29" s="16" t="s">
        <v>98</v>
      </c>
      <c r="B29" s="14">
        <f>B26</f>
        <v>46449.18</v>
      </c>
      <c r="C29" s="19"/>
      <c r="D29" s="14">
        <f>D26</f>
        <v>5176.7796160699945</v>
      </c>
      <c r="E29" s="14"/>
      <c r="F29" s="21">
        <f>D29/B29</f>
        <v>0.11145039839390049</v>
      </c>
      <c r="G29" s="19" t="s">
        <v>11</v>
      </c>
      <c r="H29" s="14"/>
      <c r="I29" s="14"/>
      <c r="J29" s="14"/>
      <c r="K29" s="14"/>
      <c r="O29" s="214"/>
      <c r="P29" s="84"/>
    </row>
    <row r="30" spans="1:27" s="16" customFormat="1" ht="11.25" x14ac:dyDescent="0.2">
      <c r="A30" s="16" t="s">
        <v>142</v>
      </c>
      <c r="B30" s="14"/>
      <c r="C30" s="19"/>
      <c r="D30" s="14"/>
      <c r="E30" s="14"/>
      <c r="F30" s="14"/>
      <c r="G30" s="14"/>
      <c r="H30" s="14"/>
      <c r="I30" s="14"/>
      <c r="J30" s="14"/>
      <c r="K30" s="14"/>
      <c r="O30" s="214"/>
      <c r="P30" s="84"/>
    </row>
    <row r="31" spans="1:27" s="16" customFormat="1" ht="11.25" x14ac:dyDescent="0.2">
      <c r="B31" s="14"/>
      <c r="C31" s="19"/>
      <c r="D31" s="14"/>
      <c r="E31" s="14"/>
      <c r="F31" s="14"/>
      <c r="G31" s="14"/>
      <c r="H31" s="14"/>
      <c r="I31" s="14"/>
      <c r="J31" s="14"/>
      <c r="K31" s="14"/>
      <c r="O31" s="214"/>
      <c r="P31" s="84"/>
    </row>
    <row r="32" spans="1:27" s="16" customFormat="1" ht="11.25" x14ac:dyDescent="0.2">
      <c r="B32" s="14"/>
      <c r="C32" s="19"/>
      <c r="D32" s="14"/>
      <c r="E32" s="14"/>
      <c r="F32" s="14"/>
      <c r="G32" s="14"/>
      <c r="H32" s="14"/>
      <c r="I32" s="14"/>
      <c r="J32" s="14"/>
      <c r="K32" s="14"/>
      <c r="O32" s="214"/>
      <c r="P32" s="84"/>
    </row>
    <row r="33" spans="1:27" s="16" customFormat="1" ht="11.25" x14ac:dyDescent="0.2">
      <c r="B33" s="14"/>
      <c r="C33" s="19"/>
      <c r="D33" s="14"/>
      <c r="E33" s="14"/>
      <c r="F33" s="14"/>
      <c r="G33" s="14"/>
      <c r="H33" s="14"/>
      <c r="I33" s="14"/>
      <c r="J33" s="14"/>
      <c r="K33" s="14"/>
      <c r="O33" s="214"/>
      <c r="P33" s="84"/>
    </row>
    <row r="34" spans="1:27" s="16" customFormat="1" ht="11.25" x14ac:dyDescent="0.2">
      <c r="B34" s="14"/>
      <c r="C34" s="14"/>
      <c r="D34" s="14"/>
      <c r="E34" s="14"/>
      <c r="F34" s="14"/>
      <c r="G34" s="14"/>
      <c r="H34" s="14"/>
      <c r="I34" s="14"/>
      <c r="J34" s="14"/>
      <c r="K34" s="14"/>
      <c r="O34" s="84"/>
      <c r="P34" s="84" t="s">
        <v>58</v>
      </c>
    </row>
    <row r="35" spans="1:27" s="16" customFormat="1" ht="12" thickBot="1" x14ac:dyDescent="0.25">
      <c r="B35" s="25" t="s">
        <v>13</v>
      </c>
      <c r="C35" s="26"/>
      <c r="D35" s="26"/>
      <c r="E35" s="26"/>
      <c r="F35" s="14"/>
      <c r="G35" s="14"/>
      <c r="H35" s="14"/>
      <c r="I35" s="14"/>
      <c r="J35" s="14"/>
      <c r="K35" s="14"/>
    </row>
    <row r="36" spans="1:27" s="16" customFormat="1" ht="12" thickTop="1" x14ac:dyDescent="0.2">
      <c r="A36" s="6"/>
      <c r="B36" s="27"/>
      <c r="C36" s="14"/>
      <c r="D36" s="14"/>
      <c r="E36" s="14"/>
      <c r="F36" s="14"/>
      <c r="G36" s="14"/>
      <c r="H36" s="14"/>
      <c r="I36" s="14"/>
      <c r="J36" s="14"/>
      <c r="K36" s="14"/>
      <c r="X36" s="14"/>
      <c r="Y36" s="14"/>
    </row>
    <row r="37" spans="1:27" s="16" customFormat="1" ht="11.25" x14ac:dyDescent="0.2">
      <c r="A37" s="8"/>
      <c r="B37" s="27"/>
      <c r="C37" s="14"/>
      <c r="D37" s="14"/>
      <c r="E37" s="14"/>
      <c r="F37" s="28" t="s">
        <v>14</v>
      </c>
      <c r="G37" s="14">
        <f>+D26</f>
        <v>5176.7796160699945</v>
      </c>
      <c r="H37" s="19" t="s">
        <v>10</v>
      </c>
      <c r="I37" s="14"/>
      <c r="J37" s="14"/>
      <c r="K37" s="14"/>
    </row>
    <row r="38" spans="1:27" s="13" customFormat="1" ht="11.25" x14ac:dyDescent="0.2">
      <c r="A38" s="29"/>
      <c r="B38" s="27"/>
      <c r="C38" s="14"/>
      <c r="D38" s="14"/>
      <c r="E38" s="14"/>
      <c r="F38" s="14"/>
      <c r="G38" s="14"/>
      <c r="H38" s="19"/>
      <c r="I38" s="14"/>
      <c r="J38" s="14"/>
      <c r="K38" s="14"/>
      <c r="O38" s="16">
        <f>12*O27*O26</f>
        <v>0</v>
      </c>
      <c r="P38" s="13" t="s">
        <v>59</v>
      </c>
      <c r="W38" s="14"/>
      <c r="X38" s="16"/>
      <c r="Y38" s="16"/>
      <c r="AA38" s="14"/>
    </row>
    <row r="39" spans="1:27" s="16" customFormat="1" ht="11.25" x14ac:dyDescent="0.2">
      <c r="B39" s="14" t="s">
        <v>69</v>
      </c>
      <c r="C39" s="14"/>
      <c r="D39" s="14"/>
      <c r="E39" s="14"/>
      <c r="F39" s="239">
        <v>0.371</v>
      </c>
      <c r="G39" s="14"/>
      <c r="H39" s="14"/>
      <c r="I39" s="14"/>
      <c r="J39" s="14"/>
      <c r="K39" s="14"/>
      <c r="O39" s="16">
        <f>12*O27*G62</f>
        <v>0</v>
      </c>
      <c r="P39" s="16" t="s">
        <v>60</v>
      </c>
    </row>
    <row r="40" spans="1:27" s="16" customFormat="1" ht="11.25" x14ac:dyDescent="0.2">
      <c r="B40" s="14"/>
      <c r="C40" s="14" t="str">
        <f>"Customers from "&amp;TEXT($A$8,"mm/yy")&amp;" - "&amp;TEXT($A$10,"mm/yy")</f>
        <v>Customers from 05/18 - 07/18</v>
      </c>
      <c r="D40" s="14"/>
      <c r="E40" s="14"/>
      <c r="F40" s="14">
        <f>+B12</f>
        <v>23247.45</v>
      </c>
      <c r="G40" s="19" t="s">
        <v>8</v>
      </c>
      <c r="H40" s="14"/>
      <c r="I40" s="14"/>
      <c r="J40" s="14"/>
      <c r="K40" s="14"/>
      <c r="O40" s="90" t="e">
        <f>+O39/O38</f>
        <v>#DIV/0!</v>
      </c>
    </row>
    <row r="41" spans="1:27" s="16" customFormat="1" ht="11.25" x14ac:dyDescent="0.2">
      <c r="B41" s="14"/>
      <c r="C41" s="14" t="s">
        <v>16</v>
      </c>
      <c r="D41" s="14"/>
      <c r="E41" s="14"/>
      <c r="F41" s="20">
        <f>ROUND(F39*F40,0)</f>
        <v>8625</v>
      </c>
      <c r="G41" s="19"/>
      <c r="H41" s="14"/>
      <c r="I41" s="14"/>
      <c r="J41" s="14"/>
      <c r="K41" s="14"/>
    </row>
    <row r="42" spans="1:27" s="16" customFormat="1" ht="11.25" x14ac:dyDescent="0.2">
      <c r="B42" s="14"/>
      <c r="C42" s="14"/>
      <c r="D42" s="14"/>
      <c r="E42" s="14"/>
      <c r="F42" s="31"/>
      <c r="G42" s="19"/>
      <c r="H42" s="14"/>
      <c r="I42" s="14"/>
      <c r="J42" s="14"/>
      <c r="K42" s="14"/>
    </row>
    <row r="43" spans="1:27" s="16" customFormat="1" ht="11.25" x14ac:dyDescent="0.2">
      <c r="B43" s="14" t="s">
        <v>69</v>
      </c>
      <c r="C43" s="14"/>
      <c r="D43" s="14"/>
      <c r="E43" s="14"/>
      <c r="F43" s="239">
        <v>0.161</v>
      </c>
      <c r="G43" s="14"/>
      <c r="H43" s="14"/>
      <c r="I43" s="14"/>
      <c r="J43" s="14"/>
      <c r="K43" s="14"/>
    </row>
    <row r="44" spans="1:27" s="16" customFormat="1" ht="11.25" x14ac:dyDescent="0.2">
      <c r="B44" s="14"/>
      <c r="C44" s="14" t="str">
        <f>"Customers from "&amp;TEXT($A$14,"mm/yy")&amp;" - "&amp;TEXT($A$22,"mm/yy")</f>
        <v>Customers from 08/18 - 04/19</v>
      </c>
      <c r="D44" s="14"/>
      <c r="E44" s="14"/>
      <c r="F44" s="14">
        <f>+B26-F40</f>
        <v>23201.73</v>
      </c>
      <c r="G44" s="19" t="s">
        <v>9</v>
      </c>
      <c r="H44" s="14"/>
      <c r="I44" s="14"/>
      <c r="J44" s="14"/>
      <c r="K44" s="14"/>
    </row>
    <row r="45" spans="1:27" s="16" customFormat="1" ht="11.25" x14ac:dyDescent="0.2">
      <c r="B45" s="14"/>
      <c r="C45" s="14" t="s">
        <v>16</v>
      </c>
      <c r="D45" s="14"/>
      <c r="E45" s="14"/>
      <c r="F45" s="20">
        <f>ROUND(F43*F44,0)</f>
        <v>3735</v>
      </c>
      <c r="G45" s="19"/>
      <c r="H45" s="14"/>
      <c r="I45" s="14"/>
      <c r="J45" s="14"/>
      <c r="K45" s="14"/>
    </row>
    <row r="46" spans="1:27" s="16" customFormat="1" ht="11.25" x14ac:dyDescent="0.2">
      <c r="B46" s="14"/>
      <c r="C46" s="14"/>
      <c r="D46" s="14"/>
      <c r="E46" s="14"/>
      <c r="F46" s="32"/>
      <c r="G46" s="19"/>
      <c r="H46" s="14"/>
      <c r="I46" s="14"/>
      <c r="J46" s="14"/>
      <c r="K46" s="14"/>
    </row>
    <row r="47" spans="1:27" s="16" customFormat="1" ht="12" thickBot="1" x14ac:dyDescent="0.25">
      <c r="B47" s="14"/>
      <c r="C47" s="14" t="s">
        <v>17</v>
      </c>
      <c r="D47" s="14"/>
      <c r="E47" s="14"/>
      <c r="F47" s="24">
        <f>+F41+F45</f>
        <v>12360</v>
      </c>
      <c r="G47" s="33">
        <f>+F47</f>
        <v>12360</v>
      </c>
      <c r="H47" s="14"/>
      <c r="I47" s="14"/>
      <c r="J47" s="14"/>
      <c r="K47" s="14"/>
    </row>
    <row r="48" spans="1:27" s="16" customFormat="1" ht="12" thickTop="1" x14ac:dyDescent="0.2">
      <c r="B48" s="14"/>
      <c r="C48" s="14"/>
      <c r="D48" s="14"/>
      <c r="E48" s="14"/>
      <c r="F48" s="14"/>
      <c r="G48" s="14"/>
      <c r="H48" s="14"/>
      <c r="I48" s="14"/>
      <c r="J48" s="14"/>
      <c r="K48" s="14"/>
    </row>
    <row r="49" spans="2:27" s="16" customFormat="1" ht="11.25" x14ac:dyDescent="0.2">
      <c r="B49" s="14"/>
      <c r="C49" s="14"/>
      <c r="D49" s="14"/>
      <c r="E49" s="14"/>
      <c r="F49" s="14"/>
      <c r="G49" s="14"/>
      <c r="H49" s="14"/>
      <c r="I49" s="14"/>
      <c r="J49" s="14"/>
      <c r="K49" s="14"/>
    </row>
    <row r="50" spans="2:27" s="16" customFormat="1" ht="12" thickBot="1" x14ac:dyDescent="0.25">
      <c r="B50" s="14"/>
      <c r="C50" s="14"/>
      <c r="D50" s="14"/>
      <c r="E50" s="14"/>
      <c r="F50" s="28" t="s">
        <v>128</v>
      </c>
      <c r="G50" s="34">
        <f>+G37-G47</f>
        <v>-7183.2203839300055</v>
      </c>
      <c r="H50" s="14"/>
      <c r="I50" s="14"/>
      <c r="J50" s="14"/>
      <c r="K50" s="14"/>
    </row>
    <row r="51" spans="2:27" s="16" customFormat="1" ht="12" thickTop="1" x14ac:dyDescent="0.2">
      <c r="B51" s="14"/>
      <c r="C51" s="14"/>
      <c r="D51" s="14"/>
      <c r="E51" s="14"/>
      <c r="F51" s="14"/>
      <c r="G51" s="14"/>
      <c r="H51" s="14"/>
      <c r="I51" s="14"/>
      <c r="J51" s="14"/>
      <c r="K51" s="14"/>
      <c r="Y51" s="14"/>
    </row>
    <row r="52" spans="2:27" s="16" customFormat="1" ht="11.25" x14ac:dyDescent="0.2">
      <c r="B52" s="14"/>
      <c r="C52" s="14"/>
      <c r="D52" s="14"/>
      <c r="E52" s="14"/>
      <c r="F52" s="14"/>
      <c r="G52" s="14"/>
      <c r="H52" s="14"/>
      <c r="I52" s="14"/>
      <c r="J52" s="14"/>
      <c r="K52" s="14"/>
    </row>
    <row r="53" spans="2:27" s="16" customFormat="1" ht="12" thickBot="1" x14ac:dyDescent="0.25">
      <c r="B53" s="25" t="str">
        <f>$K$22+1&amp;" Recycle Adjustment Calculation"</f>
        <v>2020 Recycle Adjustment Calculation</v>
      </c>
      <c r="C53" s="26"/>
      <c r="D53" s="26"/>
      <c r="E53" s="26"/>
      <c r="F53" s="26"/>
      <c r="G53" s="14"/>
      <c r="H53" s="14"/>
      <c r="I53" s="14"/>
      <c r="J53" s="14"/>
      <c r="K53" s="14"/>
    </row>
    <row r="54" spans="2:27" s="16" customFormat="1" ht="12" thickTop="1" x14ac:dyDescent="0.2">
      <c r="B54" s="27"/>
      <c r="C54" s="14"/>
      <c r="D54" s="14"/>
      <c r="E54" s="14"/>
      <c r="F54" s="14"/>
      <c r="G54" s="14"/>
      <c r="H54" s="14"/>
      <c r="I54" s="14"/>
      <c r="J54" s="14"/>
      <c r="K54" s="14"/>
      <c r="L54" s="14"/>
      <c r="M54" s="14"/>
      <c r="N54" s="14"/>
      <c r="O54" s="14"/>
      <c r="P54" s="14"/>
      <c r="Q54" s="14"/>
      <c r="R54" s="14"/>
      <c r="S54" s="14"/>
      <c r="T54" s="14"/>
      <c r="U54" s="14"/>
      <c r="V54" s="14"/>
      <c r="W54" s="14"/>
      <c r="AA54" s="14"/>
    </row>
    <row r="55" spans="2:27" s="16" customFormat="1" ht="11.25" x14ac:dyDescent="0.2">
      <c r="B55" s="14" t="s">
        <v>144</v>
      </c>
      <c r="C55" s="14"/>
      <c r="D55" s="14"/>
      <c r="E55" s="14"/>
      <c r="F55" s="14"/>
      <c r="G55" s="14"/>
      <c r="H55" s="14"/>
      <c r="I55" s="14"/>
      <c r="J55" s="14"/>
      <c r="K55" s="14"/>
    </row>
    <row r="56" spans="2:27" s="16" customFormat="1" ht="11.25" x14ac:dyDescent="0.2">
      <c r="B56" s="14"/>
      <c r="C56" s="14"/>
      <c r="D56" s="14"/>
      <c r="E56" s="14"/>
      <c r="F56" s="28" t="s">
        <v>149</v>
      </c>
      <c r="G56" s="238">
        <f>+J26</f>
        <v>46449.18</v>
      </c>
      <c r="H56" s="19" t="s">
        <v>12</v>
      </c>
      <c r="I56" s="14"/>
      <c r="J56" s="14"/>
      <c r="K56" s="14"/>
    </row>
    <row r="57" spans="2:27" s="16" customFormat="1" ht="11.25" x14ac:dyDescent="0.2">
      <c r="B57" s="14"/>
      <c r="C57" s="14"/>
      <c r="D57" s="14"/>
      <c r="E57" s="14"/>
      <c r="F57" s="28" t="s">
        <v>109</v>
      </c>
      <c r="G57" s="14">
        <f>+G50</f>
        <v>-7183.2203839300055</v>
      </c>
      <c r="H57" s="14"/>
      <c r="I57" s="14"/>
      <c r="J57" s="14"/>
      <c r="K57" s="14"/>
    </row>
    <row r="58" spans="2:27" s="16" customFormat="1" ht="11.25" x14ac:dyDescent="0.2">
      <c r="B58" s="14"/>
      <c r="C58" s="14"/>
      <c r="D58" s="14"/>
      <c r="E58" s="14"/>
      <c r="F58" s="28"/>
      <c r="G58" s="14"/>
      <c r="H58" s="14"/>
      <c r="I58" s="14"/>
      <c r="J58" s="14"/>
      <c r="K58" s="14"/>
    </row>
    <row r="59" spans="2:27" s="16" customFormat="1" ht="12" thickBot="1" x14ac:dyDescent="0.25">
      <c r="B59" s="14"/>
      <c r="C59" s="14"/>
      <c r="D59" s="14"/>
      <c r="E59" s="14"/>
      <c r="F59" s="28" t="s">
        <v>145</v>
      </c>
      <c r="G59" s="35">
        <f>ROUND(G57/G56,2)</f>
        <v>-0.15</v>
      </c>
      <c r="H59" s="14"/>
      <c r="I59" s="21">
        <f>+G59</f>
        <v>-0.15</v>
      </c>
      <c r="J59" s="14"/>
      <c r="K59" s="14"/>
    </row>
    <row r="60" spans="2:27" s="16" customFormat="1" ht="12" thickTop="1" x14ac:dyDescent="0.2">
      <c r="B60" s="14"/>
      <c r="C60" s="14"/>
      <c r="D60" s="14"/>
      <c r="E60" s="14"/>
      <c r="F60" s="28"/>
      <c r="G60" s="14"/>
      <c r="H60" s="14"/>
      <c r="I60" s="21"/>
      <c r="J60" s="14"/>
      <c r="K60" s="14"/>
      <c r="Y60" s="14"/>
    </row>
    <row r="61" spans="2:27" s="16" customFormat="1" ht="11.25" x14ac:dyDescent="0.2">
      <c r="B61" s="14" t="s">
        <v>146</v>
      </c>
      <c r="C61" s="14"/>
      <c r="D61" s="14"/>
      <c r="E61" s="14"/>
      <c r="F61" s="28"/>
      <c r="G61" s="14"/>
      <c r="H61" s="14"/>
      <c r="I61" s="21"/>
      <c r="J61" s="14"/>
      <c r="K61" s="14"/>
      <c r="M61" s="197" t="s">
        <v>61</v>
      </c>
    </row>
    <row r="62" spans="2:27" s="16" customFormat="1" ht="12" thickBot="1" x14ac:dyDescent="0.25">
      <c r="B62" s="27"/>
      <c r="C62" s="14"/>
      <c r="D62" s="14"/>
      <c r="E62" s="14"/>
      <c r="F62" s="28" t="s">
        <v>150</v>
      </c>
      <c r="G62" s="237">
        <f>+F29/[1]Value!P18*M62</f>
        <v>0.11145039839390049</v>
      </c>
      <c r="H62" s="14"/>
      <c r="I62" s="21">
        <f>+G62</f>
        <v>0.11145039839390049</v>
      </c>
      <c r="J62" s="19" t="s">
        <v>11</v>
      </c>
      <c r="K62" s="14"/>
      <c r="M62" s="213">
        <v>0.5</v>
      </c>
    </row>
    <row r="63" spans="2:27" s="14" customFormat="1" ht="12" thickTop="1" x14ac:dyDescent="0.2">
      <c r="B63" s="27"/>
      <c r="I63" s="21"/>
      <c r="X63" s="16"/>
      <c r="Y63" s="16"/>
    </row>
    <row r="64" spans="2:27" s="16" customFormat="1" ht="12" thickBot="1" x14ac:dyDescent="0.25">
      <c r="B64" s="14"/>
      <c r="C64" s="14"/>
      <c r="D64" s="14"/>
      <c r="E64" s="14"/>
      <c r="F64" s="14"/>
      <c r="G64" s="28" t="s">
        <v>148</v>
      </c>
      <c r="H64" s="24"/>
      <c r="I64" s="35">
        <f>+I59+I62</f>
        <v>-3.8549601606099507E-2</v>
      </c>
      <c r="J64" s="14"/>
      <c r="K64" s="14"/>
    </row>
    <row r="65" spans="1:25" s="16" customFormat="1" ht="12" thickTop="1" x14ac:dyDescent="0.2">
      <c r="I65" s="21"/>
    </row>
    <row r="66" spans="1:25" s="16" customFormat="1" ht="11.25" x14ac:dyDescent="0.2">
      <c r="G66" s="78" t="s">
        <v>72</v>
      </c>
      <c r="I66" s="21">
        <f>+I64*3.5</f>
        <v>-0.13492360562134828</v>
      </c>
    </row>
    <row r="67" spans="1:25" s="16" customFormat="1" ht="11.25" x14ac:dyDescent="0.2">
      <c r="A67" s="84"/>
      <c r="B67" s="84"/>
      <c r="C67" s="84"/>
      <c r="D67" s="84"/>
      <c r="E67" s="84"/>
      <c r="F67" s="84"/>
      <c r="G67" s="78" t="s">
        <v>73</v>
      </c>
      <c r="I67" s="21">
        <f>I64*5</f>
        <v>-0.19274800803049752</v>
      </c>
    </row>
    <row r="68" spans="1:25" s="16" customFormat="1" ht="11.25" x14ac:dyDescent="0.2">
      <c r="A68" s="94"/>
      <c r="B68" s="95"/>
      <c r="C68" s="96"/>
      <c r="D68" s="96"/>
      <c r="E68" s="96"/>
      <c r="F68" s="97"/>
      <c r="G68" s="78"/>
    </row>
    <row r="69" spans="1:25" s="16" customFormat="1" ht="11.25" x14ac:dyDescent="0.2">
      <c r="A69" s="87"/>
      <c r="B69" s="97"/>
      <c r="C69" s="97"/>
      <c r="D69" s="97"/>
      <c r="E69" s="97"/>
      <c r="F69" s="97"/>
      <c r="G69" s="78" t="s">
        <v>52</v>
      </c>
      <c r="I69" s="209">
        <f>'[2]2014-2015'!$C$14</f>
        <v>0</v>
      </c>
      <c r="J69" s="98"/>
      <c r="K69" s="98"/>
      <c r="Y69" s="14"/>
    </row>
    <row r="70" spans="1:25" s="16" customFormat="1" ht="11.25" x14ac:dyDescent="0.2">
      <c r="A70" s="87"/>
      <c r="B70" s="97"/>
      <c r="C70" s="97"/>
      <c r="D70" s="97"/>
      <c r="E70" s="97"/>
      <c r="F70" s="97"/>
    </row>
    <row r="71" spans="1:25" s="16" customFormat="1" ht="11.25" hidden="1" x14ac:dyDescent="0.2">
      <c r="A71" s="236"/>
      <c r="B71" s="211"/>
      <c r="C71" s="97"/>
      <c r="D71" s="235"/>
      <c r="E71" s="97"/>
      <c r="F71" s="84"/>
      <c r="G71" s="78" t="s">
        <v>105</v>
      </c>
      <c r="I71" s="209">
        <v>292961.99994565477</v>
      </c>
    </row>
    <row r="72" spans="1:25" s="16" customFormat="1" ht="11.25" hidden="1" x14ac:dyDescent="0.2">
      <c r="A72" s="100"/>
      <c r="B72" s="101"/>
      <c r="C72" s="103"/>
      <c r="D72" s="84"/>
      <c r="E72" s="31"/>
      <c r="F72" s="84"/>
      <c r="G72" s="78" t="s">
        <v>104</v>
      </c>
      <c r="I72" s="209">
        <v>56929</v>
      </c>
    </row>
    <row r="73" spans="1:25" s="14" customFormat="1" ht="11.25" x14ac:dyDescent="0.2">
      <c r="A73" s="100"/>
      <c r="B73" s="101"/>
      <c r="C73" s="31"/>
      <c r="D73" s="84"/>
      <c r="E73" s="31"/>
      <c r="F73" s="84"/>
      <c r="G73" s="16"/>
      <c r="H73" s="16"/>
      <c r="I73" s="16"/>
      <c r="X73" s="16"/>
      <c r="Y73" s="16"/>
    </row>
    <row r="74" spans="1:25" s="16" customFormat="1" ht="11.25" x14ac:dyDescent="0.2">
      <c r="B74" s="100" t="s">
        <v>127</v>
      </c>
      <c r="C74" s="31"/>
      <c r="D74" s="84"/>
      <c r="E74" s="31"/>
      <c r="F74" s="84"/>
      <c r="G74" s="78" t="s">
        <v>70</v>
      </c>
      <c r="I74" s="99">
        <v>0</v>
      </c>
    </row>
    <row r="75" spans="1:25" s="16" customFormat="1" ht="11.25" x14ac:dyDescent="0.2">
      <c r="A75" s="100"/>
      <c r="B75" s="31"/>
      <c r="C75" s="103"/>
      <c r="D75" s="84"/>
      <c r="E75" s="31"/>
      <c r="F75" s="84"/>
      <c r="G75" s="14"/>
      <c r="H75" s="14"/>
      <c r="I75" s="14"/>
    </row>
    <row r="76" spans="1:25" s="16" customFormat="1" ht="11.25" x14ac:dyDescent="0.2">
      <c r="A76" s="100"/>
      <c r="B76" s="31"/>
      <c r="C76" s="31"/>
      <c r="D76" s="84"/>
      <c r="E76" s="31"/>
      <c r="F76" s="84"/>
      <c r="G76" s="78" t="s">
        <v>71</v>
      </c>
      <c r="I76" s="79" t="e">
        <f>I74/(B17*12)</f>
        <v>#DIV/0!</v>
      </c>
    </row>
    <row r="77" spans="1:25" s="16" customFormat="1" ht="11.25" x14ac:dyDescent="0.2">
      <c r="A77" s="100"/>
      <c r="B77" s="101"/>
      <c r="C77" s="31"/>
      <c r="D77" s="84"/>
      <c r="E77" s="31"/>
      <c r="F77" s="84"/>
    </row>
    <row r="78" spans="1:25" s="16" customFormat="1" ht="12" thickBot="1" x14ac:dyDescent="0.25">
      <c r="A78" s="100"/>
      <c r="B78" s="101"/>
      <c r="C78" s="31"/>
      <c r="D78" s="84"/>
      <c r="E78" s="31"/>
      <c r="F78" s="84"/>
      <c r="G78" s="28" t="str">
        <f>$K$22+1&amp;" Net Credit"</f>
        <v>2020 Net Credit</v>
      </c>
      <c r="H78" s="24"/>
      <c r="I78" s="161" t="e">
        <f>+I64+I76</f>
        <v>#DIV/0!</v>
      </c>
    </row>
    <row r="79" spans="1:25" s="16" customFormat="1" ht="12" thickTop="1" x14ac:dyDescent="0.2">
      <c r="A79" s="100"/>
      <c r="B79" s="101"/>
      <c r="C79" s="31"/>
      <c r="D79" s="84"/>
      <c r="E79" s="31"/>
      <c r="F79" s="84"/>
      <c r="Y79" s="14"/>
    </row>
    <row r="80" spans="1:25" s="16" customFormat="1" ht="11.25" x14ac:dyDescent="0.2">
      <c r="A80" s="100"/>
      <c r="B80" s="101"/>
      <c r="C80" s="31"/>
      <c r="D80" s="84"/>
      <c r="E80" s="31"/>
      <c r="F80" s="84"/>
      <c r="G80" s="78" t="s">
        <v>72</v>
      </c>
      <c r="I80" s="102" t="e">
        <f>+I78*3.5</f>
        <v>#DIV/0!</v>
      </c>
    </row>
    <row r="81" spans="1:27" s="16" customFormat="1" ht="11.25" x14ac:dyDescent="0.2">
      <c r="A81" s="100"/>
      <c r="B81" s="101"/>
      <c r="C81" s="31"/>
      <c r="D81" s="84"/>
      <c r="E81" s="31"/>
      <c r="F81" s="84"/>
      <c r="G81" s="78" t="s">
        <v>73</v>
      </c>
      <c r="I81" s="16" t="e">
        <f>I78*5</f>
        <v>#DIV/0!</v>
      </c>
    </row>
    <row r="82" spans="1:27" s="16" customFormat="1" ht="11.25" x14ac:dyDescent="0.2">
      <c r="A82" s="100"/>
      <c r="B82" s="101"/>
      <c r="C82" s="31"/>
      <c r="D82" s="84"/>
      <c r="E82" s="31"/>
      <c r="F82" s="84"/>
    </row>
    <row r="83" spans="1:27" s="16" customFormat="1" ht="11.25" x14ac:dyDescent="0.2">
      <c r="A83" s="100"/>
      <c r="B83" s="101"/>
      <c r="C83" s="31"/>
      <c r="D83" s="84"/>
      <c r="E83" s="31"/>
      <c r="F83" s="84"/>
      <c r="G83" s="14"/>
      <c r="H83" s="13"/>
      <c r="I83" s="14"/>
      <c r="J83" s="14"/>
      <c r="K83" s="13"/>
      <c r="L83" s="14"/>
      <c r="M83" s="14"/>
      <c r="N83" s="14"/>
      <c r="O83" s="14"/>
      <c r="P83" s="14"/>
      <c r="Q83" s="14"/>
      <c r="R83" s="14"/>
      <c r="S83" s="14"/>
      <c r="T83" s="14"/>
      <c r="U83" s="14"/>
      <c r="V83" s="13"/>
      <c r="W83" s="14"/>
      <c r="AA83" s="14"/>
    </row>
    <row r="84" spans="1:27" s="16" customFormat="1" ht="11.25" x14ac:dyDescent="0.2">
      <c r="A84" s="100"/>
      <c r="B84" s="101"/>
      <c r="C84" s="31"/>
      <c r="D84" s="84"/>
      <c r="E84" s="31"/>
      <c r="F84" s="84"/>
    </row>
    <row r="85" spans="1:27" s="16" customFormat="1" ht="11.25" x14ac:dyDescent="0.2">
      <c r="A85" s="100"/>
      <c r="B85" s="101"/>
      <c r="C85" s="31"/>
      <c r="D85" s="84"/>
      <c r="E85" s="31"/>
      <c r="F85" s="84"/>
    </row>
    <row r="86" spans="1:27" s="16" customFormat="1" ht="11.25" x14ac:dyDescent="0.2">
      <c r="A86" s="100"/>
      <c r="B86" s="31"/>
      <c r="C86" s="31"/>
      <c r="D86" s="84"/>
      <c r="E86" s="31"/>
      <c r="F86" s="84"/>
    </row>
    <row r="87" spans="1:27" s="16" customFormat="1" ht="11.25" x14ac:dyDescent="0.2">
      <c r="A87" s="100"/>
      <c r="B87" s="31"/>
      <c r="C87" s="103"/>
      <c r="D87" s="84"/>
      <c r="E87" s="31"/>
      <c r="F87" s="84"/>
    </row>
    <row r="88" spans="1:27" s="16" customFormat="1" x14ac:dyDescent="0.2">
      <c r="A88" s="88"/>
      <c r="B88" s="88"/>
      <c r="C88" s="88"/>
      <c r="D88" s="104"/>
      <c r="E88" s="88"/>
      <c r="F88" s="88"/>
      <c r="Y88" s="14"/>
    </row>
    <row r="89" spans="1:27" s="16" customFormat="1" ht="11.25" x14ac:dyDescent="0.2">
      <c r="A89" s="105"/>
      <c r="B89" s="31"/>
      <c r="C89" s="103"/>
      <c r="D89" s="84"/>
      <c r="E89" s="103"/>
      <c r="F89" s="106"/>
    </row>
    <row r="90" spans="1:27" s="16" customFormat="1" ht="11.25" x14ac:dyDescent="0.2"/>
    <row r="91" spans="1:27" s="16" customFormat="1" ht="11.25" x14ac:dyDescent="0.2"/>
    <row r="92" spans="1:27" s="16" customFormat="1" ht="11.25" x14ac:dyDescent="0.2">
      <c r="B92" s="8"/>
    </row>
    <row r="93" spans="1:27" s="14" customFormat="1" ht="11.25" x14ac:dyDescent="0.2">
      <c r="B93" s="27"/>
      <c r="X93" s="16"/>
      <c r="Y93" s="16"/>
    </row>
    <row r="94" spans="1:27" s="16" customFormat="1" ht="11.25" x14ac:dyDescent="0.2"/>
    <row r="95" spans="1:27" s="16" customFormat="1" ht="11.25" x14ac:dyDescent="0.2"/>
    <row r="96" spans="1:27" s="16" customFormat="1" ht="11.25" x14ac:dyDescent="0.2"/>
    <row r="97" spans="1:27" s="16" customFormat="1" ht="11.25" x14ac:dyDescent="0.2"/>
    <row r="98" spans="1:27" s="16" customFormat="1" ht="11.25" x14ac:dyDescent="0.2"/>
    <row r="99" spans="1:27" s="16" customFormat="1" ht="11.25" x14ac:dyDescent="0.2"/>
    <row r="100" spans="1:27" s="16" customFormat="1" ht="11.25" x14ac:dyDescent="0.2"/>
    <row r="101" spans="1:27" s="16" customFormat="1" ht="11.25" x14ac:dyDescent="0.2"/>
    <row r="102" spans="1:27" s="16" customFormat="1" ht="11.25" x14ac:dyDescent="0.2">
      <c r="A102" s="6"/>
    </row>
    <row r="103" spans="1:27" s="16" customFormat="1" x14ac:dyDescent="0.2">
      <c r="AA103" s="5"/>
    </row>
    <row r="104" spans="1:27" s="16" customFormat="1" x14ac:dyDescent="0.2">
      <c r="AA104" s="5"/>
    </row>
    <row r="105" spans="1:27" s="16" customFormat="1" x14ac:dyDescent="0.2">
      <c r="AA105" s="5"/>
    </row>
    <row r="106" spans="1:27" s="16" customFormat="1" x14ac:dyDescent="0.2">
      <c r="AA106" s="5"/>
    </row>
    <row r="107" spans="1:27" s="16" customFormat="1" x14ac:dyDescent="0.2">
      <c r="G107" s="36"/>
      <c r="I107" s="36"/>
      <c r="J107" s="36"/>
      <c r="L107" s="36"/>
      <c r="M107" s="36"/>
      <c r="N107" s="36"/>
      <c r="O107" s="36"/>
      <c r="P107" s="36"/>
      <c r="Q107" s="36"/>
      <c r="R107" s="36"/>
      <c r="S107" s="36"/>
      <c r="T107" s="36"/>
      <c r="U107" s="36"/>
      <c r="V107" s="36"/>
      <c r="W107" s="36"/>
      <c r="X107" s="36"/>
      <c r="Y107" s="36"/>
      <c r="AA107" s="5"/>
    </row>
    <row r="108" spans="1:27" s="16" customFormat="1" x14ac:dyDescent="0.2">
      <c r="AA108" s="5"/>
    </row>
    <row r="109" spans="1:27" s="16" customFormat="1" ht="13.5" thickBot="1" x14ac:dyDescent="0.25">
      <c r="G109" s="37"/>
      <c r="I109" s="37"/>
      <c r="J109" s="37"/>
      <c r="L109" s="37"/>
      <c r="M109" s="37"/>
      <c r="N109" s="37"/>
      <c r="O109" s="37"/>
      <c r="P109" s="37"/>
      <c r="Q109" s="37"/>
      <c r="R109" s="37"/>
      <c r="S109" s="37"/>
      <c r="T109" s="37"/>
      <c r="U109" s="37"/>
      <c r="V109" s="37"/>
      <c r="W109" s="37"/>
      <c r="X109" s="37"/>
      <c r="Y109" s="37"/>
      <c r="AA109" s="5"/>
    </row>
    <row r="110" spans="1:27" ht="13.5" thickTop="1" x14ac:dyDescent="0.2"/>
    <row r="111" spans="1:27" x14ac:dyDescent="0.2">
      <c r="W111" s="38"/>
      <c r="X111" s="38"/>
      <c r="Y111" s="38"/>
    </row>
    <row r="112" spans="1:27" x14ac:dyDescent="0.2">
      <c r="W112" s="38"/>
      <c r="AA112" s="38"/>
    </row>
  </sheetData>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8"/>
  <sheetViews>
    <sheetView workbookViewId="0">
      <selection activeCell="G21" sqref="G21"/>
    </sheetView>
  </sheetViews>
  <sheetFormatPr defaultRowHeight="12.75" x14ac:dyDescent="0.2"/>
  <cols>
    <col min="1" max="1" width="8.140625" customWidth="1"/>
    <col min="2" max="2" width="2.140625" customWidth="1"/>
    <col min="3" max="13" width="11.7109375" customWidth="1"/>
    <col min="14" max="14" width="2.85546875" customWidth="1"/>
    <col min="15" max="15" width="9.7109375" style="53" customWidth="1"/>
    <col min="16" max="16" width="14.5703125" bestFit="1" customWidth="1"/>
    <col min="257" max="257" width="8.140625" customWidth="1"/>
    <col min="258" max="258" width="2.140625" customWidth="1"/>
    <col min="259" max="269" width="11.7109375" customWidth="1"/>
    <col min="270" max="270" width="2.85546875" customWidth="1"/>
    <col min="271" max="271" width="9.7109375" customWidth="1"/>
    <col min="272" max="272" width="14.5703125" bestFit="1" customWidth="1"/>
    <col min="513" max="513" width="8.140625" customWidth="1"/>
    <col min="514" max="514" width="2.140625" customWidth="1"/>
    <col min="515" max="525" width="11.7109375" customWidth="1"/>
    <col min="526" max="526" width="2.85546875" customWidth="1"/>
    <col min="527" max="527" width="9.7109375" customWidth="1"/>
    <col min="528" max="528" width="14.5703125" bestFit="1" customWidth="1"/>
    <col min="769" max="769" width="8.140625" customWidth="1"/>
    <col min="770" max="770" width="2.140625" customWidth="1"/>
    <col min="771" max="781" width="11.7109375" customWidth="1"/>
    <col min="782" max="782" width="2.85546875" customWidth="1"/>
    <col min="783" max="783" width="9.7109375" customWidth="1"/>
    <col min="784" max="784" width="14.5703125" bestFit="1" customWidth="1"/>
    <col min="1025" max="1025" width="8.140625" customWidth="1"/>
    <col min="1026" max="1026" width="2.140625" customWidth="1"/>
    <col min="1027" max="1037" width="11.7109375" customWidth="1"/>
    <col min="1038" max="1038" width="2.85546875" customWidth="1"/>
    <col min="1039" max="1039" width="9.7109375" customWidth="1"/>
    <col min="1040" max="1040" width="14.5703125" bestFit="1" customWidth="1"/>
    <col min="1281" max="1281" width="8.140625" customWidth="1"/>
    <col min="1282" max="1282" width="2.140625" customWidth="1"/>
    <col min="1283" max="1293" width="11.7109375" customWidth="1"/>
    <col min="1294" max="1294" width="2.85546875" customWidth="1"/>
    <col min="1295" max="1295" width="9.7109375" customWidth="1"/>
    <col min="1296" max="1296" width="14.5703125" bestFit="1" customWidth="1"/>
    <col min="1537" max="1537" width="8.140625" customWidth="1"/>
    <col min="1538" max="1538" width="2.140625" customWidth="1"/>
    <col min="1539" max="1549" width="11.7109375" customWidth="1"/>
    <col min="1550" max="1550" width="2.85546875" customWidth="1"/>
    <col min="1551" max="1551" width="9.7109375" customWidth="1"/>
    <col min="1552" max="1552" width="14.5703125" bestFit="1" customWidth="1"/>
    <col min="1793" max="1793" width="8.140625" customWidth="1"/>
    <col min="1794" max="1794" width="2.140625" customWidth="1"/>
    <col min="1795" max="1805" width="11.7109375" customWidth="1"/>
    <col min="1806" max="1806" width="2.85546875" customWidth="1"/>
    <col min="1807" max="1807" width="9.7109375" customWidth="1"/>
    <col min="1808" max="1808" width="14.5703125" bestFit="1" customWidth="1"/>
    <col min="2049" max="2049" width="8.140625" customWidth="1"/>
    <col min="2050" max="2050" width="2.140625" customWidth="1"/>
    <col min="2051" max="2061" width="11.7109375" customWidth="1"/>
    <col min="2062" max="2062" width="2.85546875" customWidth="1"/>
    <col min="2063" max="2063" width="9.7109375" customWidth="1"/>
    <col min="2064" max="2064" width="14.5703125" bestFit="1" customWidth="1"/>
    <col min="2305" max="2305" width="8.140625" customWidth="1"/>
    <col min="2306" max="2306" width="2.140625" customWidth="1"/>
    <col min="2307" max="2317" width="11.7109375" customWidth="1"/>
    <col min="2318" max="2318" width="2.85546875" customWidth="1"/>
    <col min="2319" max="2319" width="9.7109375" customWidth="1"/>
    <col min="2320" max="2320" width="14.5703125" bestFit="1" customWidth="1"/>
    <col min="2561" max="2561" width="8.140625" customWidth="1"/>
    <col min="2562" max="2562" width="2.140625" customWidth="1"/>
    <col min="2563" max="2573" width="11.7109375" customWidth="1"/>
    <col min="2574" max="2574" width="2.85546875" customWidth="1"/>
    <col min="2575" max="2575" width="9.7109375" customWidth="1"/>
    <col min="2576" max="2576" width="14.5703125" bestFit="1" customWidth="1"/>
    <col min="2817" max="2817" width="8.140625" customWidth="1"/>
    <col min="2818" max="2818" width="2.140625" customWidth="1"/>
    <col min="2819" max="2829" width="11.7109375" customWidth="1"/>
    <col min="2830" max="2830" width="2.85546875" customWidth="1"/>
    <col min="2831" max="2831" width="9.7109375" customWidth="1"/>
    <col min="2832" max="2832" width="14.5703125" bestFit="1" customWidth="1"/>
    <col min="3073" max="3073" width="8.140625" customWidth="1"/>
    <col min="3074" max="3074" width="2.140625" customWidth="1"/>
    <col min="3075" max="3085" width="11.7109375" customWidth="1"/>
    <col min="3086" max="3086" width="2.85546875" customWidth="1"/>
    <col min="3087" max="3087" width="9.7109375" customWidth="1"/>
    <col min="3088" max="3088" width="14.5703125" bestFit="1" customWidth="1"/>
    <col min="3329" max="3329" width="8.140625" customWidth="1"/>
    <col min="3330" max="3330" width="2.140625" customWidth="1"/>
    <col min="3331" max="3341" width="11.7109375" customWidth="1"/>
    <col min="3342" max="3342" width="2.85546875" customWidth="1"/>
    <col min="3343" max="3343" width="9.7109375" customWidth="1"/>
    <col min="3344" max="3344" width="14.5703125" bestFit="1" customWidth="1"/>
    <col min="3585" max="3585" width="8.140625" customWidth="1"/>
    <col min="3586" max="3586" width="2.140625" customWidth="1"/>
    <col min="3587" max="3597" width="11.7109375" customWidth="1"/>
    <col min="3598" max="3598" width="2.85546875" customWidth="1"/>
    <col min="3599" max="3599" width="9.7109375" customWidth="1"/>
    <col min="3600" max="3600" width="14.5703125" bestFit="1" customWidth="1"/>
    <col min="3841" max="3841" width="8.140625" customWidth="1"/>
    <col min="3842" max="3842" width="2.140625" customWidth="1"/>
    <col min="3843" max="3853" width="11.7109375" customWidth="1"/>
    <col min="3854" max="3854" width="2.85546875" customWidth="1"/>
    <col min="3855" max="3855" width="9.7109375" customWidth="1"/>
    <col min="3856" max="3856" width="14.5703125" bestFit="1" customWidth="1"/>
    <col min="4097" max="4097" width="8.140625" customWidth="1"/>
    <col min="4098" max="4098" width="2.140625" customWidth="1"/>
    <col min="4099" max="4109" width="11.7109375" customWidth="1"/>
    <col min="4110" max="4110" width="2.85546875" customWidth="1"/>
    <col min="4111" max="4111" width="9.7109375" customWidth="1"/>
    <col min="4112" max="4112" width="14.5703125" bestFit="1" customWidth="1"/>
    <col min="4353" max="4353" width="8.140625" customWidth="1"/>
    <col min="4354" max="4354" width="2.140625" customWidth="1"/>
    <col min="4355" max="4365" width="11.7109375" customWidth="1"/>
    <col min="4366" max="4366" width="2.85546875" customWidth="1"/>
    <col min="4367" max="4367" width="9.7109375" customWidth="1"/>
    <col min="4368" max="4368" width="14.5703125" bestFit="1" customWidth="1"/>
    <col min="4609" max="4609" width="8.140625" customWidth="1"/>
    <col min="4610" max="4610" width="2.140625" customWidth="1"/>
    <col min="4611" max="4621" width="11.7109375" customWidth="1"/>
    <col min="4622" max="4622" width="2.85546875" customWidth="1"/>
    <col min="4623" max="4623" width="9.7109375" customWidth="1"/>
    <col min="4624" max="4624" width="14.5703125" bestFit="1" customWidth="1"/>
    <col min="4865" max="4865" width="8.140625" customWidth="1"/>
    <col min="4866" max="4866" width="2.140625" customWidth="1"/>
    <col min="4867" max="4877" width="11.7109375" customWidth="1"/>
    <col min="4878" max="4878" width="2.85546875" customWidth="1"/>
    <col min="4879" max="4879" width="9.7109375" customWidth="1"/>
    <col min="4880" max="4880" width="14.5703125" bestFit="1" customWidth="1"/>
    <col min="5121" max="5121" width="8.140625" customWidth="1"/>
    <col min="5122" max="5122" width="2.140625" customWidth="1"/>
    <col min="5123" max="5133" width="11.7109375" customWidth="1"/>
    <col min="5134" max="5134" width="2.85546875" customWidth="1"/>
    <col min="5135" max="5135" width="9.7109375" customWidth="1"/>
    <col min="5136" max="5136" width="14.5703125" bestFit="1" customWidth="1"/>
    <col min="5377" max="5377" width="8.140625" customWidth="1"/>
    <col min="5378" max="5378" width="2.140625" customWidth="1"/>
    <col min="5379" max="5389" width="11.7109375" customWidth="1"/>
    <col min="5390" max="5390" width="2.85546875" customWidth="1"/>
    <col min="5391" max="5391" width="9.7109375" customWidth="1"/>
    <col min="5392" max="5392" width="14.5703125" bestFit="1" customWidth="1"/>
    <col min="5633" max="5633" width="8.140625" customWidth="1"/>
    <col min="5634" max="5634" width="2.140625" customWidth="1"/>
    <col min="5635" max="5645" width="11.7109375" customWidth="1"/>
    <col min="5646" max="5646" width="2.85546875" customWidth="1"/>
    <col min="5647" max="5647" width="9.7109375" customWidth="1"/>
    <col min="5648" max="5648" width="14.5703125" bestFit="1" customWidth="1"/>
    <col min="5889" max="5889" width="8.140625" customWidth="1"/>
    <col min="5890" max="5890" width="2.140625" customWidth="1"/>
    <col min="5891" max="5901" width="11.7109375" customWidth="1"/>
    <col min="5902" max="5902" width="2.85546875" customWidth="1"/>
    <col min="5903" max="5903" width="9.7109375" customWidth="1"/>
    <col min="5904" max="5904" width="14.5703125" bestFit="1" customWidth="1"/>
    <col min="6145" max="6145" width="8.140625" customWidth="1"/>
    <col min="6146" max="6146" width="2.140625" customWidth="1"/>
    <col min="6147" max="6157" width="11.7109375" customWidth="1"/>
    <col min="6158" max="6158" width="2.85546875" customWidth="1"/>
    <col min="6159" max="6159" width="9.7109375" customWidth="1"/>
    <col min="6160" max="6160" width="14.5703125" bestFit="1" customWidth="1"/>
    <col min="6401" max="6401" width="8.140625" customWidth="1"/>
    <col min="6402" max="6402" width="2.140625" customWidth="1"/>
    <col min="6403" max="6413" width="11.7109375" customWidth="1"/>
    <col min="6414" max="6414" width="2.85546875" customWidth="1"/>
    <col min="6415" max="6415" width="9.7109375" customWidth="1"/>
    <col min="6416" max="6416" width="14.5703125" bestFit="1" customWidth="1"/>
    <col min="6657" max="6657" width="8.140625" customWidth="1"/>
    <col min="6658" max="6658" width="2.140625" customWidth="1"/>
    <col min="6659" max="6669" width="11.7109375" customWidth="1"/>
    <col min="6670" max="6670" width="2.85546875" customWidth="1"/>
    <col min="6671" max="6671" width="9.7109375" customWidth="1"/>
    <col min="6672" max="6672" width="14.5703125" bestFit="1" customWidth="1"/>
    <col min="6913" max="6913" width="8.140625" customWidth="1"/>
    <col min="6914" max="6914" width="2.140625" customWidth="1"/>
    <col min="6915" max="6925" width="11.7109375" customWidth="1"/>
    <col min="6926" max="6926" width="2.85546875" customWidth="1"/>
    <col min="6927" max="6927" width="9.7109375" customWidth="1"/>
    <col min="6928" max="6928" width="14.5703125" bestFit="1" customWidth="1"/>
    <col min="7169" max="7169" width="8.140625" customWidth="1"/>
    <col min="7170" max="7170" width="2.140625" customWidth="1"/>
    <col min="7171" max="7181" width="11.7109375" customWidth="1"/>
    <col min="7182" max="7182" width="2.85546875" customWidth="1"/>
    <col min="7183" max="7183" width="9.7109375" customWidth="1"/>
    <col min="7184" max="7184" width="14.5703125" bestFit="1" customWidth="1"/>
    <col min="7425" max="7425" width="8.140625" customWidth="1"/>
    <col min="7426" max="7426" width="2.140625" customWidth="1"/>
    <col min="7427" max="7437" width="11.7109375" customWidth="1"/>
    <col min="7438" max="7438" width="2.85546875" customWidth="1"/>
    <col min="7439" max="7439" width="9.7109375" customWidth="1"/>
    <col min="7440" max="7440" width="14.5703125" bestFit="1" customWidth="1"/>
    <col min="7681" max="7681" width="8.140625" customWidth="1"/>
    <col min="7682" max="7682" width="2.140625" customWidth="1"/>
    <col min="7683" max="7693" width="11.7109375" customWidth="1"/>
    <col min="7694" max="7694" width="2.85546875" customWidth="1"/>
    <col min="7695" max="7695" width="9.7109375" customWidth="1"/>
    <col min="7696" max="7696" width="14.5703125" bestFit="1" customWidth="1"/>
    <col min="7937" max="7937" width="8.140625" customWidth="1"/>
    <col min="7938" max="7938" width="2.140625" customWidth="1"/>
    <col min="7939" max="7949" width="11.7109375" customWidth="1"/>
    <col min="7950" max="7950" width="2.85546875" customWidth="1"/>
    <col min="7951" max="7951" width="9.7109375" customWidth="1"/>
    <col min="7952" max="7952" width="14.5703125" bestFit="1" customWidth="1"/>
    <col min="8193" max="8193" width="8.140625" customWidth="1"/>
    <col min="8194" max="8194" width="2.140625" customWidth="1"/>
    <col min="8195" max="8205" width="11.7109375" customWidth="1"/>
    <col min="8206" max="8206" width="2.85546875" customWidth="1"/>
    <col min="8207" max="8207" width="9.7109375" customWidth="1"/>
    <col min="8208" max="8208" width="14.5703125" bestFit="1" customWidth="1"/>
    <col min="8449" max="8449" width="8.140625" customWidth="1"/>
    <col min="8450" max="8450" width="2.140625" customWidth="1"/>
    <col min="8451" max="8461" width="11.7109375" customWidth="1"/>
    <col min="8462" max="8462" width="2.85546875" customWidth="1"/>
    <col min="8463" max="8463" width="9.7109375" customWidth="1"/>
    <col min="8464" max="8464" width="14.5703125" bestFit="1" customWidth="1"/>
    <col min="8705" max="8705" width="8.140625" customWidth="1"/>
    <col min="8706" max="8706" width="2.140625" customWidth="1"/>
    <col min="8707" max="8717" width="11.7109375" customWidth="1"/>
    <col min="8718" max="8718" width="2.85546875" customWidth="1"/>
    <col min="8719" max="8719" width="9.7109375" customWidth="1"/>
    <col min="8720" max="8720" width="14.5703125" bestFit="1" customWidth="1"/>
    <col min="8961" max="8961" width="8.140625" customWidth="1"/>
    <col min="8962" max="8962" width="2.140625" customWidth="1"/>
    <col min="8963" max="8973" width="11.7109375" customWidth="1"/>
    <col min="8974" max="8974" width="2.85546875" customWidth="1"/>
    <col min="8975" max="8975" width="9.7109375" customWidth="1"/>
    <col min="8976" max="8976" width="14.5703125" bestFit="1" customWidth="1"/>
    <col min="9217" max="9217" width="8.140625" customWidth="1"/>
    <col min="9218" max="9218" width="2.140625" customWidth="1"/>
    <col min="9219" max="9229" width="11.7109375" customWidth="1"/>
    <col min="9230" max="9230" width="2.85546875" customWidth="1"/>
    <col min="9231" max="9231" width="9.7109375" customWidth="1"/>
    <col min="9232" max="9232" width="14.5703125" bestFit="1" customWidth="1"/>
    <col min="9473" max="9473" width="8.140625" customWidth="1"/>
    <col min="9474" max="9474" width="2.140625" customWidth="1"/>
    <col min="9475" max="9485" width="11.7109375" customWidth="1"/>
    <col min="9486" max="9486" width="2.85546875" customWidth="1"/>
    <col min="9487" max="9487" width="9.7109375" customWidth="1"/>
    <col min="9488" max="9488" width="14.5703125" bestFit="1" customWidth="1"/>
    <col min="9729" max="9729" width="8.140625" customWidth="1"/>
    <col min="9730" max="9730" width="2.140625" customWidth="1"/>
    <col min="9731" max="9741" width="11.7109375" customWidth="1"/>
    <col min="9742" max="9742" width="2.85546875" customWidth="1"/>
    <col min="9743" max="9743" width="9.7109375" customWidth="1"/>
    <col min="9744" max="9744" width="14.5703125" bestFit="1" customWidth="1"/>
    <col min="9985" max="9985" width="8.140625" customWidth="1"/>
    <col min="9986" max="9986" width="2.140625" customWidth="1"/>
    <col min="9987" max="9997" width="11.7109375" customWidth="1"/>
    <col min="9998" max="9998" width="2.85546875" customWidth="1"/>
    <col min="9999" max="9999" width="9.7109375" customWidth="1"/>
    <col min="10000" max="10000" width="14.5703125" bestFit="1" customWidth="1"/>
    <col min="10241" max="10241" width="8.140625" customWidth="1"/>
    <col min="10242" max="10242" width="2.140625" customWidth="1"/>
    <col min="10243" max="10253" width="11.7109375" customWidth="1"/>
    <col min="10254" max="10254" width="2.85546875" customWidth="1"/>
    <col min="10255" max="10255" width="9.7109375" customWidth="1"/>
    <col min="10256" max="10256" width="14.5703125" bestFit="1" customWidth="1"/>
    <col min="10497" max="10497" width="8.140625" customWidth="1"/>
    <col min="10498" max="10498" width="2.140625" customWidth="1"/>
    <col min="10499" max="10509" width="11.7109375" customWidth="1"/>
    <col min="10510" max="10510" width="2.85546875" customWidth="1"/>
    <col min="10511" max="10511" width="9.7109375" customWidth="1"/>
    <col min="10512" max="10512" width="14.5703125" bestFit="1" customWidth="1"/>
    <col min="10753" max="10753" width="8.140625" customWidth="1"/>
    <col min="10754" max="10754" width="2.140625" customWidth="1"/>
    <col min="10755" max="10765" width="11.7109375" customWidth="1"/>
    <col min="10766" max="10766" width="2.85546875" customWidth="1"/>
    <col min="10767" max="10767" width="9.7109375" customWidth="1"/>
    <col min="10768" max="10768" width="14.5703125" bestFit="1" customWidth="1"/>
    <col min="11009" max="11009" width="8.140625" customWidth="1"/>
    <col min="11010" max="11010" width="2.140625" customWidth="1"/>
    <col min="11011" max="11021" width="11.7109375" customWidth="1"/>
    <col min="11022" max="11022" width="2.85546875" customWidth="1"/>
    <col min="11023" max="11023" width="9.7109375" customWidth="1"/>
    <col min="11024" max="11024" width="14.5703125" bestFit="1" customWidth="1"/>
    <col min="11265" max="11265" width="8.140625" customWidth="1"/>
    <col min="11266" max="11266" width="2.140625" customWidth="1"/>
    <col min="11267" max="11277" width="11.7109375" customWidth="1"/>
    <col min="11278" max="11278" width="2.85546875" customWidth="1"/>
    <col min="11279" max="11279" width="9.7109375" customWidth="1"/>
    <col min="11280" max="11280" width="14.5703125" bestFit="1" customWidth="1"/>
    <col min="11521" max="11521" width="8.140625" customWidth="1"/>
    <col min="11522" max="11522" width="2.140625" customWidth="1"/>
    <col min="11523" max="11533" width="11.7109375" customWidth="1"/>
    <col min="11534" max="11534" width="2.85546875" customWidth="1"/>
    <col min="11535" max="11535" width="9.7109375" customWidth="1"/>
    <col min="11536" max="11536" width="14.5703125" bestFit="1" customWidth="1"/>
    <col min="11777" max="11777" width="8.140625" customWidth="1"/>
    <col min="11778" max="11778" width="2.140625" customWidth="1"/>
    <col min="11779" max="11789" width="11.7109375" customWidth="1"/>
    <col min="11790" max="11790" width="2.85546875" customWidth="1"/>
    <col min="11791" max="11791" width="9.7109375" customWidth="1"/>
    <col min="11792" max="11792" width="14.5703125" bestFit="1" customWidth="1"/>
    <col min="12033" max="12033" width="8.140625" customWidth="1"/>
    <col min="12034" max="12034" width="2.140625" customWidth="1"/>
    <col min="12035" max="12045" width="11.7109375" customWidth="1"/>
    <col min="12046" max="12046" width="2.85546875" customWidth="1"/>
    <col min="12047" max="12047" width="9.7109375" customWidth="1"/>
    <col min="12048" max="12048" width="14.5703125" bestFit="1" customWidth="1"/>
    <col min="12289" max="12289" width="8.140625" customWidth="1"/>
    <col min="12290" max="12290" width="2.140625" customWidth="1"/>
    <col min="12291" max="12301" width="11.7109375" customWidth="1"/>
    <col min="12302" max="12302" width="2.85546875" customWidth="1"/>
    <col min="12303" max="12303" width="9.7109375" customWidth="1"/>
    <col min="12304" max="12304" width="14.5703125" bestFit="1" customWidth="1"/>
    <col min="12545" max="12545" width="8.140625" customWidth="1"/>
    <col min="12546" max="12546" width="2.140625" customWidth="1"/>
    <col min="12547" max="12557" width="11.7109375" customWidth="1"/>
    <col min="12558" max="12558" width="2.85546875" customWidth="1"/>
    <col min="12559" max="12559" width="9.7109375" customWidth="1"/>
    <col min="12560" max="12560" width="14.5703125" bestFit="1" customWidth="1"/>
    <col min="12801" max="12801" width="8.140625" customWidth="1"/>
    <col min="12802" max="12802" width="2.140625" customWidth="1"/>
    <col min="12803" max="12813" width="11.7109375" customWidth="1"/>
    <col min="12814" max="12814" width="2.85546875" customWidth="1"/>
    <col min="12815" max="12815" width="9.7109375" customWidth="1"/>
    <col min="12816" max="12816" width="14.5703125" bestFit="1" customWidth="1"/>
    <col min="13057" max="13057" width="8.140625" customWidth="1"/>
    <col min="13058" max="13058" width="2.140625" customWidth="1"/>
    <col min="13059" max="13069" width="11.7109375" customWidth="1"/>
    <col min="13070" max="13070" width="2.85546875" customWidth="1"/>
    <col min="13071" max="13071" width="9.7109375" customWidth="1"/>
    <col min="13072" max="13072" width="14.5703125" bestFit="1" customWidth="1"/>
    <col min="13313" max="13313" width="8.140625" customWidth="1"/>
    <col min="13314" max="13314" width="2.140625" customWidth="1"/>
    <col min="13315" max="13325" width="11.7109375" customWidth="1"/>
    <col min="13326" max="13326" width="2.85546875" customWidth="1"/>
    <col min="13327" max="13327" width="9.7109375" customWidth="1"/>
    <col min="13328" max="13328" width="14.5703125" bestFit="1" customWidth="1"/>
    <col min="13569" max="13569" width="8.140625" customWidth="1"/>
    <col min="13570" max="13570" width="2.140625" customWidth="1"/>
    <col min="13571" max="13581" width="11.7109375" customWidth="1"/>
    <col min="13582" max="13582" width="2.85546875" customWidth="1"/>
    <col min="13583" max="13583" width="9.7109375" customWidth="1"/>
    <col min="13584" max="13584" width="14.5703125" bestFit="1" customWidth="1"/>
    <col min="13825" max="13825" width="8.140625" customWidth="1"/>
    <col min="13826" max="13826" width="2.140625" customWidth="1"/>
    <col min="13827" max="13837" width="11.7109375" customWidth="1"/>
    <col min="13838" max="13838" width="2.85546875" customWidth="1"/>
    <col min="13839" max="13839" width="9.7109375" customWidth="1"/>
    <col min="13840" max="13840" width="14.5703125" bestFit="1" customWidth="1"/>
    <col min="14081" max="14081" width="8.140625" customWidth="1"/>
    <col min="14082" max="14082" width="2.140625" customWidth="1"/>
    <col min="14083" max="14093" width="11.7109375" customWidth="1"/>
    <col min="14094" max="14094" width="2.85546875" customWidth="1"/>
    <col min="14095" max="14095" width="9.7109375" customWidth="1"/>
    <col min="14096" max="14096" width="14.5703125" bestFit="1" customWidth="1"/>
    <col min="14337" max="14337" width="8.140625" customWidth="1"/>
    <col min="14338" max="14338" width="2.140625" customWidth="1"/>
    <col min="14339" max="14349" width="11.7109375" customWidth="1"/>
    <col min="14350" max="14350" width="2.85546875" customWidth="1"/>
    <col min="14351" max="14351" width="9.7109375" customWidth="1"/>
    <col min="14352" max="14352" width="14.5703125" bestFit="1" customWidth="1"/>
    <col min="14593" max="14593" width="8.140625" customWidth="1"/>
    <col min="14594" max="14594" width="2.140625" customWidth="1"/>
    <col min="14595" max="14605" width="11.7109375" customWidth="1"/>
    <col min="14606" max="14606" width="2.85546875" customWidth="1"/>
    <col min="14607" max="14607" width="9.7109375" customWidth="1"/>
    <col min="14608" max="14608" width="14.5703125" bestFit="1" customWidth="1"/>
    <col min="14849" max="14849" width="8.140625" customWidth="1"/>
    <col min="14850" max="14850" width="2.140625" customWidth="1"/>
    <col min="14851" max="14861" width="11.7109375" customWidth="1"/>
    <col min="14862" max="14862" width="2.85546875" customWidth="1"/>
    <col min="14863" max="14863" width="9.7109375" customWidth="1"/>
    <col min="14864" max="14864" width="14.5703125" bestFit="1" customWidth="1"/>
    <col min="15105" max="15105" width="8.140625" customWidth="1"/>
    <col min="15106" max="15106" width="2.140625" customWidth="1"/>
    <col min="15107" max="15117" width="11.7109375" customWidth="1"/>
    <col min="15118" max="15118" width="2.85546875" customWidth="1"/>
    <col min="15119" max="15119" width="9.7109375" customWidth="1"/>
    <col min="15120" max="15120" width="14.5703125" bestFit="1" customWidth="1"/>
    <col min="15361" max="15361" width="8.140625" customWidth="1"/>
    <col min="15362" max="15362" width="2.140625" customWidth="1"/>
    <col min="15363" max="15373" width="11.7109375" customWidth="1"/>
    <col min="15374" max="15374" width="2.85546875" customWidth="1"/>
    <col min="15375" max="15375" width="9.7109375" customWidth="1"/>
    <col min="15376" max="15376" width="14.5703125" bestFit="1" customWidth="1"/>
    <col min="15617" max="15617" width="8.140625" customWidth="1"/>
    <col min="15618" max="15618" width="2.140625" customWidth="1"/>
    <col min="15619" max="15629" width="11.7109375" customWidth="1"/>
    <col min="15630" max="15630" width="2.85546875" customWidth="1"/>
    <col min="15631" max="15631" width="9.7109375" customWidth="1"/>
    <col min="15632" max="15632" width="14.5703125" bestFit="1" customWidth="1"/>
    <col min="15873" max="15873" width="8.140625" customWidth="1"/>
    <col min="15874" max="15874" width="2.140625" customWidth="1"/>
    <col min="15875" max="15885" width="11.7109375" customWidth="1"/>
    <col min="15886" max="15886" width="2.85546875" customWidth="1"/>
    <col min="15887" max="15887" width="9.7109375" customWidth="1"/>
    <col min="15888" max="15888" width="14.5703125" bestFit="1" customWidth="1"/>
    <col min="16129" max="16129" width="8.140625" customWidth="1"/>
    <col min="16130" max="16130" width="2.140625" customWidth="1"/>
    <col min="16131" max="16141" width="11.7109375" customWidth="1"/>
    <col min="16142" max="16142" width="2.85546875" customWidth="1"/>
    <col min="16143" max="16143" width="9.7109375" customWidth="1"/>
    <col min="16144" max="16144" width="14.5703125" bestFit="1" customWidth="1"/>
  </cols>
  <sheetData>
    <row r="1" spans="1:17" x14ac:dyDescent="0.2">
      <c r="A1" s="39" t="s">
        <v>151</v>
      </c>
      <c r="B1" s="40"/>
    </row>
    <row r="2" spans="1:17" x14ac:dyDescent="0.2">
      <c r="A2" s="41" t="str">
        <f>'[1]WUTC_AW of Lynnwood_MF'!A1</f>
        <v>Rabanco Ltd (dba Allied Waste of Lynnwood)</v>
      </c>
      <c r="B2" s="41"/>
    </row>
    <row r="3" spans="1:17" x14ac:dyDescent="0.2">
      <c r="B3" s="51"/>
    </row>
    <row r="4" spans="1:17" x14ac:dyDescent="0.2">
      <c r="B4" s="51"/>
      <c r="C4" s="51"/>
      <c r="D4" s="51"/>
      <c r="E4" s="51"/>
      <c r="F4" s="51"/>
      <c r="G4" s="51"/>
      <c r="H4" s="51"/>
      <c r="I4" s="51"/>
      <c r="J4" s="51"/>
      <c r="K4" s="51"/>
      <c r="L4" s="51"/>
      <c r="M4" s="51"/>
      <c r="O4" s="54" t="str">
        <f>+TEXT(P18,"00.0%")&amp;" of"</f>
        <v>50.0% of</v>
      </c>
    </row>
    <row r="5" spans="1:17" x14ac:dyDescent="0.2">
      <c r="B5" s="51"/>
      <c r="C5" s="43" t="s">
        <v>19</v>
      </c>
      <c r="D5" s="43" t="s">
        <v>20</v>
      </c>
      <c r="E5" s="43" t="s">
        <v>111</v>
      </c>
      <c r="F5" s="43" t="s">
        <v>21</v>
      </c>
      <c r="G5" s="43" t="s">
        <v>22</v>
      </c>
      <c r="H5" s="43" t="s">
        <v>23</v>
      </c>
      <c r="I5" s="43" t="s">
        <v>24</v>
      </c>
      <c r="J5" s="43" t="s">
        <v>25</v>
      </c>
      <c r="K5" s="43" t="s">
        <v>26</v>
      </c>
      <c r="L5" s="43" t="s">
        <v>27</v>
      </c>
      <c r="M5" s="43" t="s">
        <v>28</v>
      </c>
      <c r="O5" s="54" t="s">
        <v>28</v>
      </c>
      <c r="P5" s="43" t="s">
        <v>62</v>
      </c>
    </row>
    <row r="6" spans="1:17" ht="15.75" customHeight="1" x14ac:dyDescent="0.2">
      <c r="A6" s="46">
        <f>+[1]Pricing!A4</f>
        <v>43221</v>
      </c>
      <c r="B6" s="51"/>
      <c r="C6" s="52">
        <f>'[1]Commodity Tonnages'!C6*[1]Pricing!C4</f>
        <v>588.79968749999989</v>
      </c>
      <c r="D6" s="56">
        <f>'[1]Commodity Tonnages'!D6*[1]Pricing!D4</f>
        <v>-323.78268000000003</v>
      </c>
      <c r="E6" s="56">
        <f>'[1]Commodity Tonnages'!E6*[1]Pricing!E4</f>
        <v>0</v>
      </c>
      <c r="F6" s="56">
        <f>'[1]Commodity Tonnages'!F6*[1]Pricing!F4</f>
        <v>108.4281</v>
      </c>
      <c r="G6" s="56">
        <f>'[1]Commodity Tonnages'!G6*[1]Pricing!G4</f>
        <v>0</v>
      </c>
      <c r="H6" s="56">
        <f>'[1]Commodity Tonnages'!H6*[1]Pricing!H4</f>
        <v>-536.16708000000006</v>
      </c>
      <c r="I6" s="56">
        <f>'[1]Commodity Tonnages'!I6*[1]Pricing!I4</f>
        <v>163.52748375000002</v>
      </c>
      <c r="J6" s="56">
        <f>'[1]Commodity Tonnages'!J6*[1]Pricing!J4</f>
        <v>163.52748375000002</v>
      </c>
      <c r="K6" s="56">
        <f>'[1]Commodity Tonnages'!K6*[1]Pricing!K4</f>
        <v>562.25663999999995</v>
      </c>
      <c r="L6" s="56">
        <f>'[1]Commodity Tonnages'!L6*[1]Pricing!L4</f>
        <v>-578.63605750000136</v>
      </c>
      <c r="M6" s="242">
        <f>SUM(C6:L6)</f>
        <v>147.95357749999846</v>
      </c>
      <c r="O6" s="58">
        <f>M6*P6</f>
        <v>73.97678874999923</v>
      </c>
      <c r="P6" s="223">
        <v>0.5</v>
      </c>
      <c r="Q6" s="55"/>
    </row>
    <row r="7" spans="1:17" ht="15.75" customHeight="1" x14ac:dyDescent="0.2">
      <c r="A7" s="46">
        <f>+[1]Pricing!A5</f>
        <v>43281</v>
      </c>
      <c r="B7" s="51"/>
      <c r="C7" s="52">
        <f>'[1]Commodity Tonnages'!C7*[1]Pricing!C5</f>
        <v>551.09564250000005</v>
      </c>
      <c r="D7" s="56">
        <f>'[1]Commodity Tonnages'!D7*[1]Pricing!D5</f>
        <v>-222.04037960000002</v>
      </c>
      <c r="E7" s="56">
        <f>'[1]Commodity Tonnages'!E7*[1]Pricing!E5</f>
        <v>0</v>
      </c>
      <c r="F7" s="56">
        <f>'[1]Commodity Tonnages'!F7*[1]Pricing!F5</f>
        <v>100.81575075000001</v>
      </c>
      <c r="G7" s="56">
        <f>'[1]Commodity Tonnages'!G7*[1]Pricing!G5</f>
        <v>0</v>
      </c>
      <c r="H7" s="56">
        <f>'[1]Commodity Tonnages'!H7*[1]Pricing!H5</f>
        <v>67.855840000000015</v>
      </c>
      <c r="I7" s="56">
        <f>'[1]Commodity Tonnages'!I7*[1]Pricing!I5</f>
        <v>129.63918630000001</v>
      </c>
      <c r="J7" s="56">
        <f>'[1]Commodity Tonnages'!J7*[1]Pricing!J5</f>
        <v>129.63918630000001</v>
      </c>
      <c r="K7" s="56">
        <f>'[1]Commodity Tonnages'!K7*[1]Pricing!K5</f>
        <v>703.21667130000003</v>
      </c>
      <c r="L7" s="56">
        <f>'[1]Commodity Tonnages'!L7*[1]Pricing!L5</f>
        <v>-523.96492655000122</v>
      </c>
      <c r="M7" s="242">
        <f t="shared" ref="M7:M17" si="0">SUM(C7:L7)</f>
        <v>936.25697099999877</v>
      </c>
      <c r="O7" s="58">
        <f t="shared" ref="O7:O17" si="1">M7*P7</f>
        <v>468.12848549999939</v>
      </c>
      <c r="P7" s="223">
        <v>0.5</v>
      </c>
      <c r="Q7" s="55"/>
    </row>
    <row r="8" spans="1:17" ht="15.75" customHeight="1" x14ac:dyDescent="0.2">
      <c r="A8" s="46">
        <f>+[1]Pricing!A6</f>
        <v>43312</v>
      </c>
      <c r="B8" s="47"/>
      <c r="C8" s="52">
        <f>'[1]Commodity Tonnages'!C8*[1]Pricing!C6</f>
        <v>653.05783125000005</v>
      </c>
      <c r="D8" s="56">
        <f>'[1]Commodity Tonnages'!D8*[1]Pricing!D6</f>
        <v>-51.598638000000008</v>
      </c>
      <c r="E8" s="56">
        <f>'[1]Commodity Tonnages'!E8*[1]Pricing!E6</f>
        <v>0</v>
      </c>
      <c r="F8" s="56">
        <f>'[1]Commodity Tonnages'!F8*[1]Pricing!F6</f>
        <v>122.8285575</v>
      </c>
      <c r="G8" s="56">
        <f>'[1]Commodity Tonnages'!G8*[1]Pricing!G6</f>
        <v>0</v>
      </c>
      <c r="H8" s="56">
        <f>'[1]Commodity Tonnages'!H8*[1]Pricing!H6</f>
        <v>177.02079600000002</v>
      </c>
      <c r="I8" s="56">
        <f>'[1]Commodity Tonnages'!I8*[1]Pricing!I6</f>
        <v>200.46845362500002</v>
      </c>
      <c r="J8" s="56">
        <f>'[1]Commodity Tonnages'!J8*[1]Pricing!J6</f>
        <v>200.46845362500002</v>
      </c>
      <c r="K8" s="56">
        <f>'[1]Commodity Tonnages'!K8*[1]Pricing!K6</f>
        <v>996.14958299999989</v>
      </c>
      <c r="L8" s="56">
        <f>'[1]Commodity Tonnages'!L8*[1]Pricing!L6</f>
        <v>-652.46203725000146</v>
      </c>
      <c r="M8" s="242">
        <f t="shared" si="0"/>
        <v>1645.9329997499983</v>
      </c>
      <c r="O8" s="58">
        <f t="shared" si="1"/>
        <v>822.96649987499916</v>
      </c>
      <c r="P8" s="223">
        <v>0.5</v>
      </c>
      <c r="Q8" s="55"/>
    </row>
    <row r="9" spans="1:17" ht="15.75" customHeight="1" x14ac:dyDescent="0.2">
      <c r="A9" s="46">
        <f>+[1]Pricing!A7</f>
        <v>43343</v>
      </c>
      <c r="B9" s="47"/>
      <c r="C9" s="52">
        <f>'[1]Commodity Tonnages'!C9*[1]Pricing!C7</f>
        <v>641.15500350000002</v>
      </c>
      <c r="D9" s="56">
        <f>'[1]Commodity Tonnages'!D9*[1]Pricing!D7</f>
        <v>10.500576320000002</v>
      </c>
      <c r="E9" s="56">
        <f>'[1]Commodity Tonnages'!E9*[1]Pricing!E7</f>
        <v>0</v>
      </c>
      <c r="F9" s="56">
        <f>'[1]Commodity Tonnages'!F9*[1]Pricing!F7</f>
        <v>81.907336500000014</v>
      </c>
      <c r="G9" s="56">
        <f>'[1]Commodity Tonnages'!G9*[1]Pricing!G7</f>
        <v>0</v>
      </c>
      <c r="H9" s="56">
        <f>'[1]Commodity Tonnages'!H9*[1]Pricing!H7</f>
        <v>349.24785856</v>
      </c>
      <c r="I9" s="56">
        <f>'[1]Commodity Tonnages'!I9*[1]Pricing!I7</f>
        <v>303.6095345</v>
      </c>
      <c r="J9" s="56">
        <f>'[1]Commodity Tonnages'!J9*[1]Pricing!J7</f>
        <v>303.6095345</v>
      </c>
      <c r="K9" s="56">
        <f>'[1]Commodity Tonnages'!K9*[1]Pricing!K7</f>
        <v>867.29341248000003</v>
      </c>
      <c r="L9" s="56">
        <f>'[1]Commodity Tonnages'!L9*[1]Pricing!L7</f>
        <v>-640.57006862000151</v>
      </c>
      <c r="M9" s="242">
        <f t="shared" si="0"/>
        <v>1916.7531877399983</v>
      </c>
      <c r="O9" s="58">
        <f t="shared" si="1"/>
        <v>958.37659386999917</v>
      </c>
      <c r="P9" s="223">
        <v>0.5</v>
      </c>
      <c r="Q9" s="55"/>
    </row>
    <row r="10" spans="1:17" ht="15.75" customHeight="1" x14ac:dyDescent="0.2">
      <c r="A10" s="46">
        <f>+[1]Pricing!A8</f>
        <v>43373</v>
      </c>
      <c r="B10" s="47"/>
      <c r="C10" s="52">
        <f>'[1]Commodity Tonnages'!C10*[1]Pricing!C8</f>
        <v>563.14876049999998</v>
      </c>
      <c r="D10" s="56">
        <f>'[1]Commodity Tonnages'!D10*[1]Pricing!D8</f>
        <v>-206.48700072</v>
      </c>
      <c r="E10" s="56">
        <f>'[1]Commodity Tonnages'!E10*[1]Pricing!E8</f>
        <v>0</v>
      </c>
      <c r="F10" s="56">
        <f>'[1]Commodity Tonnages'!F10*[1]Pricing!F8</f>
        <v>91.742631750000015</v>
      </c>
      <c r="G10" s="56">
        <f>'[1]Commodity Tonnages'!G10*[1]Pricing!G8</f>
        <v>0</v>
      </c>
      <c r="H10" s="56">
        <f>'[1]Commodity Tonnages'!H10*[1]Pricing!H8</f>
        <v>1109.7902735999999</v>
      </c>
      <c r="I10" s="56">
        <f>'[1]Commodity Tonnages'!I10*[1]Pricing!I8</f>
        <v>141.27782530500002</v>
      </c>
      <c r="J10" s="56">
        <f>'[1]Commodity Tonnages'!J10*[1]Pricing!J8</f>
        <v>141.27782530500002</v>
      </c>
      <c r="K10" s="56">
        <f>'[1]Commodity Tonnages'!K10*[1]Pricing!K8</f>
        <v>908.31132809999997</v>
      </c>
      <c r="L10" s="56">
        <f>'[1]Commodity Tonnages'!L10*[1]Pricing!L8</f>
        <v>-637.13815821000139</v>
      </c>
      <c r="M10" s="242">
        <f t="shared" si="0"/>
        <v>2111.923485629999</v>
      </c>
      <c r="O10" s="58">
        <f t="shared" si="1"/>
        <v>1055.9617428149995</v>
      </c>
      <c r="P10" s="223">
        <v>0.5</v>
      </c>
      <c r="Q10" s="55"/>
    </row>
    <row r="11" spans="1:17" ht="15.75" customHeight="1" x14ac:dyDescent="0.2">
      <c r="A11" s="46">
        <f>+[1]Pricing!A9</f>
        <v>43404</v>
      </c>
      <c r="B11" s="47"/>
      <c r="C11" s="52">
        <f>'[1]Commodity Tonnages'!C11*[1]Pricing!C9</f>
        <v>926.53998150000007</v>
      </c>
      <c r="D11" s="56">
        <f>'[1]Commodity Tonnages'!D11*[1]Pricing!D9</f>
        <v>-396.52382224000002</v>
      </c>
      <c r="E11" s="56">
        <f>'[1]Commodity Tonnages'!E11*[1]Pricing!E9</f>
        <v>0</v>
      </c>
      <c r="F11" s="56">
        <f>'[1]Commodity Tonnages'!F11*[1]Pricing!F9</f>
        <v>173.55256380000003</v>
      </c>
      <c r="G11" s="56">
        <f>'[1]Commodity Tonnages'!G11*[1]Pricing!G9</f>
        <v>0</v>
      </c>
      <c r="H11" s="56">
        <f>'[1]Commodity Tonnages'!H11*[1]Pricing!H9</f>
        <v>1791.7951094399998</v>
      </c>
      <c r="I11" s="56">
        <f>'[1]Commodity Tonnages'!I11*[1]Pricing!I9</f>
        <v>227.31703498000002</v>
      </c>
      <c r="J11" s="56">
        <f>'[1]Commodity Tonnages'!J11*[1]Pricing!J9</f>
        <v>227.31703498000002</v>
      </c>
      <c r="K11" s="56">
        <f>'[1]Commodity Tonnages'!K11*[1]Pricing!K9</f>
        <v>1718.5300070400001</v>
      </c>
      <c r="L11" s="56">
        <f>'[1]Commodity Tonnages'!L11*[1]Pricing!L9</f>
        <v>-1073.7888989800024</v>
      </c>
      <c r="M11" s="242">
        <f t="shared" si="0"/>
        <v>3594.7390105199975</v>
      </c>
      <c r="O11" s="58">
        <f t="shared" si="1"/>
        <v>1797.3695052599987</v>
      </c>
      <c r="P11" s="223">
        <v>0.5</v>
      </c>
      <c r="Q11" s="55"/>
    </row>
    <row r="12" spans="1:17" ht="15.75" customHeight="1" x14ac:dyDescent="0.2">
      <c r="A12" s="46">
        <f>+[1]Pricing!A10</f>
        <v>43434</v>
      </c>
      <c r="B12" s="47"/>
      <c r="C12" s="52">
        <f>'[1]Commodity Tonnages'!C12*[1]Pricing!C10</f>
        <v>0</v>
      </c>
      <c r="D12" s="56">
        <f>'[1]Commodity Tonnages'!D12*[1]Pricing!D10</f>
        <v>0</v>
      </c>
      <c r="E12" s="56">
        <f>'[1]Commodity Tonnages'!E12*[1]Pricing!E10</f>
        <v>0</v>
      </c>
      <c r="F12" s="56">
        <f>'[1]Commodity Tonnages'!F12*[1]Pricing!F10</f>
        <v>0</v>
      </c>
      <c r="G12" s="56">
        <f>'[1]Commodity Tonnages'!G12*[1]Pricing!G10</f>
        <v>0</v>
      </c>
      <c r="H12" s="56">
        <f>'[1]Commodity Tonnages'!H12*[1]Pricing!H10</f>
        <v>0</v>
      </c>
      <c r="I12" s="56">
        <f>'[1]Commodity Tonnages'!I12*[1]Pricing!I10</f>
        <v>0</v>
      </c>
      <c r="J12" s="56">
        <f>'[1]Commodity Tonnages'!J12*[1]Pricing!J10</f>
        <v>0</v>
      </c>
      <c r="K12" s="56">
        <f>'[1]Commodity Tonnages'!K12*[1]Pricing!K10</f>
        <v>0</v>
      </c>
      <c r="L12" s="56">
        <f>'[1]Commodity Tonnages'!L12*[1]Pricing!L10</f>
        <v>0</v>
      </c>
      <c r="M12" s="242">
        <f t="shared" si="0"/>
        <v>0</v>
      </c>
      <c r="O12" s="58">
        <f t="shared" si="1"/>
        <v>0</v>
      </c>
      <c r="P12" s="223">
        <v>0.5</v>
      </c>
      <c r="Q12" s="55"/>
    </row>
    <row r="13" spans="1:17" ht="15.75" customHeight="1" x14ac:dyDescent="0.2">
      <c r="A13" s="46">
        <f>+[1]Pricing!A11</f>
        <v>43465</v>
      </c>
      <c r="B13" s="47"/>
      <c r="C13" s="52">
        <f>'[1]Commodity Tonnages'!C13*[1]Pricing!C11</f>
        <v>0</v>
      </c>
      <c r="D13" s="56">
        <f>'[1]Commodity Tonnages'!D13*[1]Pricing!D11</f>
        <v>0</v>
      </c>
      <c r="E13" s="56">
        <f>'[1]Commodity Tonnages'!E13*[1]Pricing!E11</f>
        <v>0</v>
      </c>
      <c r="F13" s="56">
        <f>'[1]Commodity Tonnages'!F13*[1]Pricing!F11</f>
        <v>0</v>
      </c>
      <c r="G13" s="56">
        <f>'[1]Commodity Tonnages'!G13*[1]Pricing!G11</f>
        <v>0</v>
      </c>
      <c r="H13" s="56">
        <f>'[1]Commodity Tonnages'!H13*[1]Pricing!H11</f>
        <v>0</v>
      </c>
      <c r="I13" s="56">
        <f>'[1]Commodity Tonnages'!I13*[1]Pricing!I11</f>
        <v>0</v>
      </c>
      <c r="J13" s="56">
        <f>'[1]Commodity Tonnages'!J13*[1]Pricing!J11</f>
        <v>0</v>
      </c>
      <c r="K13" s="56">
        <f>'[1]Commodity Tonnages'!K13*[1]Pricing!K11</f>
        <v>0</v>
      </c>
      <c r="L13" s="56">
        <f>'[1]Commodity Tonnages'!L13*[1]Pricing!L11</f>
        <v>0</v>
      </c>
      <c r="M13" s="242">
        <f>SUM(C13:L13)</f>
        <v>0</v>
      </c>
      <c r="O13" s="58">
        <f t="shared" si="1"/>
        <v>0</v>
      </c>
      <c r="P13" s="223">
        <v>0.5</v>
      </c>
      <c r="Q13" s="55"/>
    </row>
    <row r="14" spans="1:17" ht="15.75" customHeight="1" x14ac:dyDescent="0.2">
      <c r="A14" s="46">
        <f>+[1]Pricing!A12</f>
        <v>43496</v>
      </c>
      <c r="B14" s="47"/>
      <c r="C14" s="52">
        <f>'[1]Commodity Tonnages'!C14*[1]Pricing!C12</f>
        <v>0</v>
      </c>
      <c r="D14" s="56">
        <f>'[1]Commodity Tonnages'!D14*[1]Pricing!D12</f>
        <v>0</v>
      </c>
      <c r="E14" s="56">
        <f>'[1]Commodity Tonnages'!E14*[1]Pricing!E12</f>
        <v>0</v>
      </c>
      <c r="F14" s="56">
        <f>'[1]Commodity Tonnages'!F14*[1]Pricing!F12</f>
        <v>0</v>
      </c>
      <c r="G14" s="56">
        <f>'[1]Commodity Tonnages'!G14*[1]Pricing!G12</f>
        <v>0</v>
      </c>
      <c r="H14" s="56">
        <f>'[1]Commodity Tonnages'!H14*[1]Pricing!H12</f>
        <v>0</v>
      </c>
      <c r="I14" s="56">
        <f>'[1]Commodity Tonnages'!I14*[1]Pricing!I12</f>
        <v>0</v>
      </c>
      <c r="J14" s="56">
        <f>'[1]Commodity Tonnages'!J14*[1]Pricing!J12</f>
        <v>0</v>
      </c>
      <c r="K14" s="56">
        <f>'[1]Commodity Tonnages'!K14*[1]Pricing!K12</f>
        <v>0</v>
      </c>
      <c r="L14" s="56">
        <f>'[1]Commodity Tonnages'!L14*[1]Pricing!L12</f>
        <v>0</v>
      </c>
      <c r="M14" s="242">
        <f t="shared" si="0"/>
        <v>0</v>
      </c>
      <c r="O14" s="58">
        <f t="shared" si="1"/>
        <v>0</v>
      </c>
      <c r="P14" s="223">
        <v>0.5</v>
      </c>
      <c r="Q14" s="55"/>
    </row>
    <row r="15" spans="1:17" ht="15.75" customHeight="1" x14ac:dyDescent="0.2">
      <c r="A15" s="46">
        <f>+[1]Pricing!A13</f>
        <v>43524</v>
      </c>
      <c r="B15" s="47"/>
      <c r="C15" s="52">
        <f>'[1]Commodity Tonnages'!C15*[1]Pricing!C13</f>
        <v>0</v>
      </c>
      <c r="D15" s="56">
        <f>'[1]Commodity Tonnages'!D15*[1]Pricing!D13</f>
        <v>0</v>
      </c>
      <c r="E15" s="56">
        <f>'[1]Commodity Tonnages'!E15*[1]Pricing!E13</f>
        <v>0</v>
      </c>
      <c r="F15" s="56">
        <f>'[1]Commodity Tonnages'!F15*[1]Pricing!F13</f>
        <v>0</v>
      </c>
      <c r="G15" s="56">
        <f>'[1]Commodity Tonnages'!G15*[1]Pricing!G13</f>
        <v>0</v>
      </c>
      <c r="H15" s="56">
        <f>'[1]Commodity Tonnages'!H15*[1]Pricing!H13</f>
        <v>0</v>
      </c>
      <c r="I15" s="56">
        <f>'[1]Commodity Tonnages'!I15*[1]Pricing!I13</f>
        <v>0</v>
      </c>
      <c r="J15" s="56">
        <f>'[1]Commodity Tonnages'!J15*[1]Pricing!J13</f>
        <v>0</v>
      </c>
      <c r="K15" s="56">
        <f>'[1]Commodity Tonnages'!K15*[1]Pricing!K13</f>
        <v>0</v>
      </c>
      <c r="L15" s="56">
        <f>'[1]Commodity Tonnages'!L15*[1]Pricing!L13</f>
        <v>0</v>
      </c>
      <c r="M15" s="242">
        <f t="shared" si="0"/>
        <v>0</v>
      </c>
      <c r="O15" s="58">
        <f t="shared" si="1"/>
        <v>0</v>
      </c>
      <c r="P15" s="223">
        <v>0.5</v>
      </c>
      <c r="Q15" s="55"/>
    </row>
    <row r="16" spans="1:17" ht="15.75" customHeight="1" x14ac:dyDescent="0.2">
      <c r="A16" s="46">
        <f>+[1]Pricing!A14</f>
        <v>43555</v>
      </c>
      <c r="B16" s="47"/>
      <c r="C16" s="52">
        <f>'[1]Commodity Tonnages'!C16*[1]Pricing!C14</f>
        <v>0</v>
      </c>
      <c r="D16" s="56">
        <f>'[1]Commodity Tonnages'!D16*[1]Pricing!D14</f>
        <v>0</v>
      </c>
      <c r="E16" s="56">
        <f>'[1]Commodity Tonnages'!E16*[1]Pricing!E14</f>
        <v>0</v>
      </c>
      <c r="F16" s="56">
        <f>'[1]Commodity Tonnages'!F16*[1]Pricing!F14</f>
        <v>0</v>
      </c>
      <c r="G16" s="56">
        <f>'[1]Commodity Tonnages'!G16*[1]Pricing!G14</f>
        <v>0</v>
      </c>
      <c r="H16" s="56">
        <f>'[1]Commodity Tonnages'!H16*[1]Pricing!H14</f>
        <v>0</v>
      </c>
      <c r="I16" s="56">
        <f>'[1]Commodity Tonnages'!I16*[1]Pricing!I14</f>
        <v>0</v>
      </c>
      <c r="J16" s="56">
        <f>'[1]Commodity Tonnages'!J16*[1]Pricing!J14</f>
        <v>0</v>
      </c>
      <c r="K16" s="56">
        <f>'[1]Commodity Tonnages'!K16*[1]Pricing!K14</f>
        <v>0</v>
      </c>
      <c r="L16" s="56">
        <f>'[1]Commodity Tonnages'!L16*[1]Pricing!L14</f>
        <v>0</v>
      </c>
      <c r="M16" s="242">
        <f t="shared" si="0"/>
        <v>0</v>
      </c>
      <c r="O16" s="58">
        <f t="shared" si="1"/>
        <v>0</v>
      </c>
      <c r="P16" s="223">
        <v>0.5</v>
      </c>
      <c r="Q16" s="55"/>
    </row>
    <row r="17" spans="1:17" ht="15.75" customHeight="1" x14ac:dyDescent="0.2">
      <c r="A17" s="46">
        <f>+[1]Pricing!A15</f>
        <v>43585</v>
      </c>
      <c r="B17" s="47"/>
      <c r="C17" s="52">
        <f>'[1]Commodity Tonnages'!C17*[1]Pricing!C15</f>
        <v>0</v>
      </c>
      <c r="D17" s="56">
        <f>'[1]Commodity Tonnages'!D17*[1]Pricing!D15</f>
        <v>0</v>
      </c>
      <c r="E17" s="56">
        <f>'[1]Commodity Tonnages'!E17*[1]Pricing!E15</f>
        <v>0</v>
      </c>
      <c r="F17" s="56">
        <f>'[1]Commodity Tonnages'!F17*[1]Pricing!F15</f>
        <v>0</v>
      </c>
      <c r="G17" s="56">
        <v>0</v>
      </c>
      <c r="H17" s="56">
        <f>'[1]Commodity Tonnages'!H17*[1]Pricing!H15</f>
        <v>0</v>
      </c>
      <c r="I17" s="56">
        <f>'[1]Commodity Tonnages'!I17*[1]Pricing!I15</f>
        <v>0</v>
      </c>
      <c r="J17" s="56">
        <f>'[1]Commodity Tonnages'!J17*[1]Pricing!J15</f>
        <v>0</v>
      </c>
      <c r="K17" s="56">
        <f>'[1]Commodity Tonnages'!K17*[1]Pricing!K15</f>
        <v>0</v>
      </c>
      <c r="L17" s="56">
        <f>'[1]Commodity Tonnages'!L17*[1]Pricing!L15</f>
        <v>0</v>
      </c>
      <c r="M17" s="242">
        <f t="shared" si="0"/>
        <v>0</v>
      </c>
      <c r="O17" s="58">
        <f t="shared" si="1"/>
        <v>0</v>
      </c>
      <c r="P17" s="223">
        <v>0.5</v>
      </c>
      <c r="Q17" s="55"/>
    </row>
    <row r="18" spans="1:17" ht="15.75" customHeight="1" x14ac:dyDescent="0.2">
      <c r="A18" s="50" t="s">
        <v>30</v>
      </c>
      <c r="B18" s="47"/>
      <c r="C18" s="59">
        <f t="shared" ref="C18:L18" si="2">SUM(C6:C17)</f>
        <v>3923.7969067499998</v>
      </c>
      <c r="D18" s="60">
        <f t="shared" si="2"/>
        <v>-1189.9319442400001</v>
      </c>
      <c r="E18" s="60">
        <f t="shared" si="2"/>
        <v>0</v>
      </c>
      <c r="F18" s="59">
        <f t="shared" si="2"/>
        <v>679.27494030000003</v>
      </c>
      <c r="G18" s="59">
        <f t="shared" si="2"/>
        <v>0</v>
      </c>
      <c r="H18" s="59">
        <f t="shared" si="2"/>
        <v>2959.5427975999996</v>
      </c>
      <c r="I18" s="59">
        <f t="shared" si="2"/>
        <v>1165.8395184600001</v>
      </c>
      <c r="J18" s="59">
        <f t="shared" si="2"/>
        <v>1165.8395184600001</v>
      </c>
      <c r="K18" s="59">
        <f t="shared" si="2"/>
        <v>5755.7576419199995</v>
      </c>
      <c r="L18" s="60">
        <f t="shared" si="2"/>
        <v>-4106.560147110009</v>
      </c>
      <c r="M18" s="107">
        <f>SUM(C18:L18)</f>
        <v>10353.559232139991</v>
      </c>
      <c r="O18" s="222">
        <f>SUM(O6:O17)</f>
        <v>5176.7796160699954</v>
      </c>
      <c r="P18" s="80">
        <f>+O18/M18</f>
        <v>0.5</v>
      </c>
    </row>
    <row r="19" spans="1:17" x14ac:dyDescent="0.2">
      <c r="A19" s="47"/>
      <c r="B19" s="47"/>
      <c r="C19" s="52"/>
      <c r="D19" s="52"/>
      <c r="E19" s="52"/>
      <c r="F19" s="52"/>
      <c r="G19" s="52"/>
      <c r="H19" s="52"/>
      <c r="I19" s="52"/>
      <c r="J19" s="52"/>
      <c r="K19" s="52"/>
      <c r="L19" s="52"/>
      <c r="M19" s="52"/>
      <c r="O19" s="160"/>
    </row>
    <row r="20" spans="1:17" x14ac:dyDescent="0.2">
      <c r="A20" s="47"/>
      <c r="B20" s="47"/>
      <c r="C20" s="47"/>
      <c r="D20" s="47"/>
      <c r="E20" s="47"/>
      <c r="F20" s="47"/>
      <c r="G20" s="47"/>
      <c r="H20" s="47"/>
      <c r="I20" s="47"/>
      <c r="J20" s="47"/>
      <c r="K20" s="47"/>
      <c r="L20" s="47"/>
      <c r="M20" s="48"/>
      <c r="O20" s="241"/>
    </row>
    <row r="21" spans="1:17" x14ac:dyDescent="0.2">
      <c r="A21" s="47"/>
      <c r="B21" s="47"/>
      <c r="C21" s="47"/>
      <c r="D21" s="47"/>
      <c r="E21" s="47"/>
      <c r="F21" s="47"/>
      <c r="G21" s="47"/>
      <c r="H21" s="47"/>
      <c r="I21" s="47"/>
      <c r="J21" s="47"/>
      <c r="K21" s="47"/>
      <c r="L21" s="47"/>
      <c r="M21" s="48"/>
      <c r="O21" s="220"/>
    </row>
    <row r="22" spans="1:17" x14ac:dyDescent="0.2">
      <c r="A22" s="47"/>
      <c r="B22" s="47"/>
      <c r="C22" s="47"/>
      <c r="D22" s="47"/>
      <c r="E22" s="47"/>
      <c r="F22" s="47"/>
      <c r="G22" s="47"/>
      <c r="H22" s="47"/>
      <c r="I22" s="47"/>
      <c r="J22" s="47"/>
      <c r="K22" s="47"/>
      <c r="L22" s="47"/>
      <c r="M22" s="48"/>
    </row>
    <row r="23" spans="1:17" x14ac:dyDescent="0.2">
      <c r="A23" s="47"/>
      <c r="B23" s="47"/>
      <c r="C23" s="47"/>
      <c r="D23" s="47"/>
      <c r="E23" s="47"/>
      <c r="F23" s="47"/>
      <c r="G23" s="47"/>
      <c r="H23" s="47"/>
      <c r="I23" s="47"/>
      <c r="J23" s="47"/>
      <c r="K23" s="47"/>
      <c r="L23" s="47"/>
      <c r="M23" s="48"/>
    </row>
    <row r="24" spans="1:17" x14ac:dyDescent="0.2">
      <c r="A24" s="47"/>
      <c r="B24" s="47"/>
      <c r="C24" s="47"/>
      <c r="D24" s="47"/>
      <c r="E24" s="47"/>
      <c r="F24" s="47"/>
      <c r="G24" s="47"/>
      <c r="H24" s="47"/>
      <c r="I24" s="47"/>
      <c r="J24" s="47"/>
      <c r="K24" s="47"/>
      <c r="L24" s="47"/>
      <c r="M24" s="48"/>
    </row>
    <row r="25" spans="1:17" x14ac:dyDescent="0.2">
      <c r="A25" s="47"/>
      <c r="B25" s="47"/>
      <c r="C25" s="47"/>
      <c r="D25" s="47"/>
      <c r="E25" s="47"/>
      <c r="F25" s="47"/>
      <c r="G25" s="47"/>
      <c r="H25" s="47"/>
      <c r="I25" s="47"/>
      <c r="J25" s="47"/>
      <c r="K25" s="47"/>
      <c r="L25" s="47"/>
      <c r="M25" s="48"/>
    </row>
    <row r="26" spans="1:17" x14ac:dyDescent="0.2">
      <c r="A26" s="47"/>
      <c r="B26" s="47"/>
      <c r="C26" s="47"/>
      <c r="D26" s="47"/>
      <c r="E26" s="47"/>
      <c r="F26" s="47"/>
      <c r="G26" s="47"/>
      <c r="H26" s="47"/>
      <c r="I26" s="47"/>
      <c r="J26" s="47"/>
      <c r="K26" s="47"/>
      <c r="L26" s="47"/>
      <c r="M26" s="48"/>
    </row>
    <row r="27" spans="1:17" x14ac:dyDescent="0.2">
      <c r="A27" s="47"/>
      <c r="B27" s="47"/>
      <c r="C27" s="47"/>
      <c r="D27" s="47"/>
      <c r="E27" s="47"/>
      <c r="F27" s="47"/>
      <c r="G27" s="47"/>
      <c r="H27" s="47"/>
      <c r="I27" s="47"/>
      <c r="J27" s="47"/>
      <c r="K27" s="47"/>
      <c r="L27" s="47"/>
      <c r="M27" s="48"/>
    </row>
    <row r="28" spans="1:17" x14ac:dyDescent="0.2">
      <c r="A28" s="47"/>
      <c r="B28" s="47"/>
      <c r="C28" s="47"/>
      <c r="D28" s="47"/>
      <c r="E28" s="47"/>
      <c r="F28" s="47"/>
      <c r="G28" s="47"/>
      <c r="H28" s="47"/>
      <c r="I28" s="47"/>
      <c r="J28" s="47"/>
      <c r="K28" s="47"/>
      <c r="L28" s="47"/>
      <c r="M28" s="47"/>
    </row>
    <row r="29" spans="1:17" x14ac:dyDescent="0.2">
      <c r="A29" s="47"/>
      <c r="B29" s="47"/>
      <c r="C29" s="47"/>
      <c r="D29" s="47"/>
      <c r="E29" s="47"/>
      <c r="F29" s="47"/>
      <c r="G29" s="47"/>
      <c r="H29" s="47"/>
      <c r="I29" s="47"/>
      <c r="J29" s="47"/>
      <c r="K29" s="47"/>
      <c r="L29" s="47"/>
      <c r="M29" s="47"/>
    </row>
    <row r="30" spans="1:17" x14ac:dyDescent="0.2">
      <c r="A30" s="47"/>
      <c r="B30" s="47"/>
      <c r="C30" s="47"/>
      <c r="D30" s="47"/>
      <c r="E30" s="47"/>
      <c r="F30" s="47"/>
      <c r="G30" s="47"/>
      <c r="H30" s="47"/>
      <c r="I30" s="47"/>
      <c r="J30" s="47"/>
      <c r="K30" s="47"/>
      <c r="L30" s="47"/>
      <c r="M30" s="47"/>
    </row>
    <row r="31" spans="1:17" x14ac:dyDescent="0.2">
      <c r="A31" s="47"/>
      <c r="B31" s="47"/>
      <c r="C31" s="47"/>
      <c r="D31" s="47"/>
      <c r="E31" s="47"/>
      <c r="F31" s="47"/>
      <c r="G31" s="47"/>
      <c r="H31" s="47"/>
      <c r="I31" s="47"/>
      <c r="J31" s="47"/>
      <c r="K31" s="47"/>
      <c r="L31" s="47"/>
      <c r="M31" s="47"/>
    </row>
    <row r="32" spans="1:17" x14ac:dyDescent="0.2">
      <c r="A32" s="47"/>
      <c r="B32" s="47"/>
      <c r="C32" s="47"/>
      <c r="D32" s="47"/>
      <c r="E32" s="47"/>
      <c r="F32" s="47"/>
      <c r="G32" s="47"/>
      <c r="H32" s="47"/>
      <c r="I32" s="47"/>
      <c r="J32" s="47"/>
      <c r="K32" s="47"/>
      <c r="L32" s="47"/>
      <c r="M32" s="47"/>
    </row>
    <row r="33" spans="1:13" x14ac:dyDescent="0.2">
      <c r="A33" s="47"/>
      <c r="B33" s="47"/>
      <c r="C33" s="47"/>
      <c r="D33" s="47"/>
      <c r="E33" s="47"/>
      <c r="F33" s="47"/>
      <c r="G33" s="47"/>
      <c r="H33" s="47"/>
      <c r="I33" s="47"/>
      <c r="J33" s="47"/>
      <c r="K33" s="47"/>
      <c r="L33" s="47"/>
      <c r="M33" s="47"/>
    </row>
    <row r="34" spans="1:13" x14ac:dyDescent="0.2">
      <c r="A34" s="47"/>
      <c r="B34" s="47"/>
      <c r="C34" s="47"/>
      <c r="D34" s="47"/>
      <c r="E34" s="47"/>
      <c r="F34" s="47"/>
      <c r="G34" s="47"/>
      <c r="H34" s="47"/>
      <c r="I34" s="47"/>
      <c r="J34" s="47"/>
      <c r="K34" s="47"/>
      <c r="L34" s="47"/>
      <c r="M34" s="47"/>
    </row>
    <row r="35" spans="1:13" x14ac:dyDescent="0.2">
      <c r="A35" s="47"/>
      <c r="B35" s="47"/>
      <c r="C35" s="47"/>
      <c r="D35" s="47"/>
      <c r="E35" s="47"/>
      <c r="F35" s="47"/>
      <c r="G35" s="47"/>
      <c r="H35" s="47"/>
      <c r="I35" s="47"/>
      <c r="J35" s="47"/>
      <c r="K35" s="47"/>
      <c r="L35" s="47"/>
      <c r="M35" s="47"/>
    </row>
    <row r="36" spans="1:13" x14ac:dyDescent="0.2">
      <c r="A36" s="47"/>
      <c r="B36" s="47"/>
      <c r="C36" s="47"/>
      <c r="D36" s="47"/>
      <c r="E36" s="47"/>
      <c r="F36" s="47"/>
      <c r="G36" s="47"/>
      <c r="H36" s="47"/>
      <c r="I36" s="47"/>
      <c r="J36" s="47"/>
      <c r="K36" s="47"/>
      <c r="L36" s="47"/>
      <c r="M36" s="47"/>
    </row>
    <row r="37" spans="1:13" x14ac:dyDescent="0.2">
      <c r="A37" s="47"/>
      <c r="B37" s="47"/>
      <c r="C37" s="47"/>
      <c r="D37" s="47"/>
      <c r="E37" s="47"/>
      <c r="F37" s="47"/>
      <c r="G37" s="47"/>
      <c r="H37" s="47"/>
      <c r="I37" s="47"/>
      <c r="J37" s="47"/>
      <c r="K37" s="47"/>
      <c r="L37" s="47"/>
      <c r="M37" s="47"/>
    </row>
    <row r="38" spans="1:13" x14ac:dyDescent="0.2">
      <c r="A38" s="47"/>
      <c r="B38" s="47"/>
      <c r="C38" s="47"/>
      <c r="D38" s="47"/>
      <c r="E38" s="47"/>
      <c r="F38" s="47"/>
      <c r="G38" s="47"/>
      <c r="H38" s="47"/>
      <c r="I38" s="47"/>
      <c r="J38" s="47"/>
      <c r="K38" s="47"/>
      <c r="L38" s="47"/>
      <c r="M38" s="47"/>
    </row>
    <row r="39" spans="1:13" x14ac:dyDescent="0.2">
      <c r="A39" s="47"/>
      <c r="B39" s="47"/>
      <c r="C39" s="47"/>
      <c r="D39" s="47"/>
      <c r="E39" s="47"/>
      <c r="F39" s="47"/>
      <c r="G39" s="47"/>
      <c r="H39" s="47"/>
      <c r="I39" s="47"/>
      <c r="J39" s="47"/>
      <c r="K39" s="47"/>
      <c r="L39" s="47"/>
      <c r="M39" s="47"/>
    </row>
    <row r="40" spans="1:13" x14ac:dyDescent="0.2">
      <c r="A40" s="47"/>
      <c r="B40" s="47"/>
      <c r="C40" s="47"/>
      <c r="D40" s="47"/>
      <c r="E40" s="47"/>
      <c r="F40" s="47"/>
      <c r="G40" s="47"/>
      <c r="H40" s="47"/>
      <c r="I40" s="47"/>
      <c r="J40" s="47"/>
      <c r="K40" s="47"/>
      <c r="L40" s="47"/>
      <c r="M40" s="47"/>
    </row>
    <row r="41" spans="1:13" x14ac:dyDescent="0.2">
      <c r="A41" s="47"/>
      <c r="B41" s="47"/>
      <c r="C41" s="47"/>
      <c r="D41" s="47"/>
      <c r="E41" s="47"/>
      <c r="F41" s="47"/>
      <c r="G41" s="47"/>
      <c r="H41" s="47"/>
      <c r="I41" s="47"/>
      <c r="J41" s="47"/>
      <c r="K41" s="47"/>
      <c r="L41" s="47"/>
      <c r="M41" s="47"/>
    </row>
    <row r="42" spans="1:13" x14ac:dyDescent="0.2">
      <c r="A42" s="47"/>
      <c r="B42" s="47"/>
      <c r="C42" s="47"/>
      <c r="D42" s="47"/>
      <c r="E42" s="47"/>
      <c r="F42" s="47"/>
      <c r="G42" s="47"/>
      <c r="H42" s="47"/>
      <c r="I42" s="47"/>
      <c r="J42" s="47"/>
      <c r="K42" s="47"/>
      <c r="L42" s="47"/>
      <c r="M42" s="47"/>
    </row>
    <row r="43" spans="1:13" x14ac:dyDescent="0.2">
      <c r="A43" s="47"/>
      <c r="B43" s="47"/>
      <c r="C43" s="47"/>
      <c r="D43" s="47"/>
      <c r="E43" s="47"/>
      <c r="F43" s="47"/>
      <c r="G43" s="47"/>
      <c r="H43" s="47"/>
      <c r="I43" s="47"/>
      <c r="J43" s="47"/>
      <c r="K43" s="47"/>
      <c r="L43" s="47"/>
      <c r="M43" s="47"/>
    </row>
    <row r="44" spans="1:13" x14ac:dyDescent="0.2">
      <c r="A44" s="47"/>
      <c r="B44" s="47"/>
      <c r="C44" s="47"/>
      <c r="D44" s="47"/>
      <c r="E44" s="47"/>
      <c r="F44" s="47"/>
      <c r="G44" s="47"/>
      <c r="H44" s="47"/>
      <c r="I44" s="47"/>
      <c r="J44" s="47"/>
      <c r="K44" s="47"/>
      <c r="L44" s="47"/>
      <c r="M44" s="47"/>
    </row>
    <row r="45" spans="1:13" x14ac:dyDescent="0.2">
      <c r="A45" s="47"/>
      <c r="B45" s="47"/>
      <c r="C45" s="47"/>
      <c r="D45" s="47"/>
      <c r="E45" s="47"/>
      <c r="F45" s="47"/>
      <c r="G45" s="47"/>
      <c r="H45" s="47"/>
      <c r="I45" s="47"/>
      <c r="J45" s="47"/>
      <c r="K45" s="47"/>
      <c r="L45" s="47"/>
      <c r="M45" s="47"/>
    </row>
    <row r="46" spans="1:13" x14ac:dyDescent="0.2">
      <c r="A46" s="47"/>
      <c r="B46" s="47"/>
      <c r="C46" s="47"/>
      <c r="D46" s="47"/>
      <c r="E46" s="47"/>
      <c r="F46" s="47"/>
      <c r="G46" s="47"/>
      <c r="H46" s="47"/>
      <c r="I46" s="47"/>
      <c r="J46" s="47"/>
      <c r="K46" s="47"/>
      <c r="L46" s="47"/>
      <c r="M46" s="47"/>
    </row>
    <row r="47" spans="1:13" x14ac:dyDescent="0.2">
      <c r="A47" s="47"/>
      <c r="B47" s="47"/>
      <c r="C47" s="47"/>
      <c r="D47" s="47"/>
      <c r="E47" s="47"/>
      <c r="F47" s="47"/>
      <c r="G47" s="47"/>
      <c r="H47" s="47"/>
      <c r="I47" s="47"/>
      <c r="J47" s="47"/>
      <c r="K47" s="47"/>
      <c r="L47" s="47"/>
      <c r="M47" s="47"/>
    </row>
    <row r="48" spans="1:13" x14ac:dyDescent="0.2">
      <c r="A48" s="47"/>
      <c r="B48" s="47"/>
      <c r="C48" s="47"/>
      <c r="D48" s="47"/>
      <c r="E48" s="47"/>
      <c r="F48" s="47"/>
      <c r="G48" s="47"/>
      <c r="H48" s="47"/>
      <c r="I48" s="47"/>
      <c r="J48" s="47"/>
      <c r="K48" s="47"/>
      <c r="L48" s="47"/>
      <c r="M48" s="47"/>
    </row>
    <row r="49" spans="1:13" x14ac:dyDescent="0.2">
      <c r="A49" s="47"/>
      <c r="B49" s="47"/>
      <c r="C49" s="47"/>
      <c r="D49" s="47"/>
      <c r="E49" s="47"/>
      <c r="F49" s="47"/>
      <c r="G49" s="47"/>
      <c r="H49" s="47"/>
      <c r="I49" s="47"/>
      <c r="J49" s="47"/>
      <c r="K49" s="47"/>
      <c r="L49" s="47"/>
      <c r="M49" s="47"/>
    </row>
    <row r="50" spans="1:13" x14ac:dyDescent="0.2">
      <c r="A50" s="47"/>
      <c r="B50" s="47"/>
      <c r="C50" s="47"/>
      <c r="D50" s="47"/>
      <c r="E50" s="47"/>
      <c r="F50" s="47"/>
      <c r="G50" s="47"/>
      <c r="H50" s="47"/>
      <c r="I50" s="47"/>
      <c r="J50" s="47"/>
      <c r="K50" s="47"/>
      <c r="L50" s="47"/>
      <c r="M50" s="47"/>
    </row>
    <row r="51" spans="1:13" x14ac:dyDescent="0.2">
      <c r="A51" s="47"/>
      <c r="B51" s="47"/>
      <c r="C51" s="47"/>
      <c r="D51" s="47"/>
      <c r="E51" s="47"/>
      <c r="F51" s="47"/>
      <c r="G51" s="47"/>
      <c r="H51" s="47"/>
      <c r="I51" s="47"/>
      <c r="J51" s="47"/>
      <c r="K51" s="47"/>
      <c r="L51" s="47"/>
      <c r="M51" s="47"/>
    </row>
    <row r="52" spans="1:13" x14ac:dyDescent="0.2">
      <c r="A52" s="47"/>
      <c r="B52" s="47"/>
      <c r="C52" s="47"/>
      <c r="D52" s="47"/>
      <c r="E52" s="47"/>
      <c r="F52" s="47"/>
      <c r="G52" s="47"/>
      <c r="H52" s="47"/>
      <c r="I52" s="47"/>
      <c r="J52" s="47"/>
      <c r="K52" s="47"/>
      <c r="L52" s="47"/>
      <c r="M52" s="47"/>
    </row>
    <row r="53" spans="1:13" x14ac:dyDescent="0.2">
      <c r="A53" s="47"/>
      <c r="B53" s="47"/>
      <c r="C53" s="47"/>
      <c r="D53" s="47"/>
      <c r="E53" s="47"/>
      <c r="F53" s="47"/>
      <c r="G53" s="47"/>
      <c r="H53" s="47"/>
      <c r="I53" s="47"/>
      <c r="J53" s="47"/>
      <c r="K53" s="47"/>
      <c r="L53" s="47"/>
      <c r="M53" s="47"/>
    </row>
    <row r="54" spans="1:13" x14ac:dyDescent="0.2">
      <c r="A54" s="47"/>
      <c r="B54" s="47"/>
      <c r="C54" s="47"/>
      <c r="D54" s="47"/>
      <c r="E54" s="47"/>
      <c r="F54" s="47"/>
      <c r="G54" s="47"/>
      <c r="H54" s="47"/>
      <c r="I54" s="47"/>
      <c r="J54" s="47"/>
      <c r="K54" s="47"/>
      <c r="L54" s="47"/>
      <c r="M54" s="47"/>
    </row>
    <row r="55" spans="1:13" x14ac:dyDescent="0.2">
      <c r="A55" s="47"/>
      <c r="B55" s="47"/>
      <c r="C55" s="47"/>
      <c r="D55" s="47"/>
      <c r="E55" s="47"/>
      <c r="F55" s="47"/>
      <c r="G55" s="47"/>
      <c r="H55" s="47"/>
      <c r="I55" s="47"/>
      <c r="J55" s="47"/>
      <c r="K55" s="47"/>
      <c r="L55" s="47"/>
      <c r="M55" s="47"/>
    </row>
    <row r="56" spans="1:13" x14ac:dyDescent="0.2">
      <c r="A56" s="47"/>
      <c r="B56" s="47"/>
      <c r="C56" s="47"/>
      <c r="D56" s="47"/>
      <c r="E56" s="47"/>
      <c r="F56" s="47"/>
      <c r="G56" s="47"/>
      <c r="H56" s="47"/>
      <c r="I56" s="47"/>
      <c r="J56" s="47"/>
      <c r="K56" s="47"/>
      <c r="L56" s="47"/>
      <c r="M56" s="47"/>
    </row>
    <row r="57" spans="1:13" x14ac:dyDescent="0.2">
      <c r="A57" s="47"/>
      <c r="B57" s="47"/>
      <c r="C57" s="47"/>
      <c r="D57" s="47"/>
      <c r="E57" s="47"/>
      <c r="F57" s="47"/>
      <c r="G57" s="47"/>
      <c r="H57" s="47"/>
      <c r="I57" s="47"/>
      <c r="J57" s="47"/>
      <c r="K57" s="47"/>
      <c r="L57" s="47"/>
      <c r="M57" s="47"/>
    </row>
    <row r="58" spans="1:13" x14ac:dyDescent="0.2">
      <c r="A58" s="47"/>
      <c r="B58" s="47"/>
      <c r="C58" s="47"/>
      <c r="D58" s="47"/>
      <c r="E58" s="47"/>
      <c r="F58" s="47"/>
      <c r="G58" s="47"/>
      <c r="H58" s="47"/>
      <c r="I58" s="47"/>
      <c r="J58" s="47"/>
      <c r="K58" s="47"/>
      <c r="L58" s="47"/>
      <c r="M58" s="47"/>
    </row>
    <row r="59" spans="1:13" x14ac:dyDescent="0.2">
      <c r="A59" s="47"/>
      <c r="B59" s="47"/>
      <c r="C59" s="47"/>
      <c r="D59" s="47"/>
      <c r="E59" s="47"/>
      <c r="F59" s="47"/>
      <c r="G59" s="47"/>
      <c r="H59" s="47"/>
      <c r="I59" s="47"/>
      <c r="J59" s="47"/>
      <c r="K59" s="47"/>
      <c r="L59" s="47"/>
      <c r="M59" s="47"/>
    </row>
    <row r="60" spans="1:13" x14ac:dyDescent="0.2">
      <c r="A60" s="47"/>
      <c r="B60" s="47"/>
      <c r="C60" s="47"/>
      <c r="D60" s="47"/>
      <c r="E60" s="47"/>
      <c r="F60" s="47"/>
      <c r="G60" s="47"/>
      <c r="H60" s="47"/>
      <c r="I60" s="47"/>
      <c r="J60" s="47"/>
      <c r="K60" s="47"/>
      <c r="L60" s="47"/>
      <c r="M60" s="47"/>
    </row>
    <row r="61" spans="1:13" x14ac:dyDescent="0.2">
      <c r="A61" s="47"/>
      <c r="B61" s="47"/>
      <c r="C61" s="47"/>
      <c r="D61" s="47"/>
      <c r="E61" s="47"/>
      <c r="F61" s="47"/>
      <c r="G61" s="47"/>
      <c r="H61" s="47"/>
      <c r="I61" s="47"/>
      <c r="J61" s="47"/>
      <c r="K61" s="47"/>
      <c r="L61" s="47"/>
      <c r="M61" s="47"/>
    </row>
    <row r="62" spans="1:13" x14ac:dyDescent="0.2">
      <c r="A62" s="47"/>
      <c r="B62" s="47"/>
      <c r="C62" s="47"/>
      <c r="D62" s="47"/>
      <c r="E62" s="47"/>
      <c r="F62" s="47"/>
      <c r="G62" s="47"/>
      <c r="H62" s="47"/>
      <c r="I62" s="47"/>
      <c r="J62" s="47"/>
      <c r="K62" s="47"/>
      <c r="L62" s="47"/>
      <c r="M62" s="47"/>
    </row>
    <row r="63" spans="1:13" x14ac:dyDescent="0.2">
      <c r="A63" s="47"/>
      <c r="B63" s="47"/>
      <c r="C63" s="47"/>
      <c r="D63" s="47"/>
      <c r="E63" s="47"/>
      <c r="F63" s="47"/>
      <c r="G63" s="47"/>
      <c r="H63" s="47"/>
      <c r="I63" s="47"/>
      <c r="J63" s="47"/>
      <c r="K63" s="47"/>
      <c r="L63" s="47"/>
      <c r="M63" s="47"/>
    </row>
    <row r="64" spans="1:13" x14ac:dyDescent="0.2">
      <c r="A64" s="47"/>
      <c r="B64" s="47"/>
      <c r="C64" s="47"/>
      <c r="D64" s="47"/>
      <c r="E64" s="47"/>
      <c r="F64" s="47"/>
      <c r="G64" s="47"/>
      <c r="H64" s="47"/>
      <c r="I64" s="47"/>
      <c r="J64" s="47"/>
      <c r="K64" s="47"/>
      <c r="L64" s="47"/>
      <c r="M64" s="47"/>
    </row>
    <row r="65" spans="1:13" x14ac:dyDescent="0.2">
      <c r="A65" s="47"/>
      <c r="B65" s="47"/>
      <c r="C65" s="47"/>
      <c r="D65" s="47"/>
      <c r="E65" s="47"/>
      <c r="F65" s="47"/>
      <c r="G65" s="47"/>
      <c r="H65" s="47"/>
      <c r="I65" s="47"/>
      <c r="J65" s="47"/>
      <c r="K65" s="47"/>
      <c r="L65" s="47"/>
      <c r="M65" s="47"/>
    </row>
    <row r="66" spans="1:13" x14ac:dyDescent="0.2">
      <c r="A66" s="47"/>
      <c r="B66" s="47"/>
      <c r="C66" s="47"/>
      <c r="D66" s="47"/>
      <c r="E66" s="47"/>
      <c r="F66" s="47"/>
      <c r="G66" s="47"/>
      <c r="H66" s="47"/>
      <c r="I66" s="47"/>
      <c r="J66" s="47"/>
      <c r="K66" s="47"/>
      <c r="L66" s="47"/>
      <c r="M66" s="47"/>
    </row>
    <row r="67" spans="1:13" x14ac:dyDescent="0.2">
      <c r="A67" s="47"/>
      <c r="B67" s="47"/>
      <c r="C67" s="47"/>
      <c r="D67" s="47"/>
      <c r="E67" s="47"/>
      <c r="F67" s="47"/>
      <c r="G67" s="47"/>
      <c r="H67" s="47"/>
      <c r="I67" s="47"/>
      <c r="J67" s="47"/>
      <c r="K67" s="47"/>
      <c r="L67" s="47"/>
      <c r="M67" s="47"/>
    </row>
    <row r="68" spans="1:13" x14ac:dyDescent="0.2">
      <c r="A68" s="47"/>
      <c r="B68" s="47"/>
      <c r="C68" s="47"/>
      <c r="D68" s="47"/>
      <c r="E68" s="47"/>
      <c r="F68" s="47"/>
      <c r="G68" s="47"/>
      <c r="H68" s="47"/>
      <c r="I68" s="47"/>
      <c r="J68" s="47"/>
      <c r="K68" s="47"/>
      <c r="L68" s="47"/>
      <c r="M68" s="47"/>
    </row>
    <row r="69" spans="1:13" x14ac:dyDescent="0.2">
      <c r="A69" s="47"/>
      <c r="B69" s="47"/>
      <c r="C69" s="47"/>
      <c r="D69" s="47"/>
      <c r="E69" s="47"/>
      <c r="F69" s="47"/>
      <c r="G69" s="47"/>
      <c r="H69" s="47"/>
      <c r="I69" s="47"/>
      <c r="J69" s="47"/>
      <c r="K69" s="47"/>
      <c r="L69" s="47"/>
      <c r="M69" s="47"/>
    </row>
    <row r="70" spans="1:13" x14ac:dyDescent="0.2">
      <c r="A70" s="47"/>
      <c r="B70" s="47"/>
      <c r="C70" s="47"/>
      <c r="D70" s="47"/>
      <c r="E70" s="47"/>
      <c r="F70" s="47"/>
      <c r="G70" s="47"/>
      <c r="H70" s="47"/>
      <c r="I70" s="47"/>
      <c r="J70" s="47"/>
      <c r="K70" s="47"/>
      <c r="L70" s="47"/>
      <c r="M70" s="47"/>
    </row>
    <row r="71" spans="1:13" x14ac:dyDescent="0.2">
      <c r="A71" s="47"/>
      <c r="B71" s="47"/>
      <c r="C71" s="47"/>
      <c r="D71" s="47"/>
      <c r="E71" s="47"/>
      <c r="F71" s="47"/>
      <c r="G71" s="47"/>
      <c r="H71" s="47"/>
      <c r="I71" s="47"/>
      <c r="J71" s="47"/>
      <c r="K71" s="47"/>
      <c r="L71" s="47"/>
      <c r="M71" s="47"/>
    </row>
    <row r="72" spans="1:13" x14ac:dyDescent="0.2">
      <c r="A72" s="47"/>
      <c r="B72" s="47"/>
      <c r="C72" s="47"/>
      <c r="D72" s="47"/>
      <c r="E72" s="47"/>
      <c r="F72" s="47"/>
      <c r="G72" s="47"/>
      <c r="H72" s="47"/>
      <c r="I72" s="47"/>
      <c r="J72" s="47"/>
      <c r="K72" s="47"/>
      <c r="L72" s="47"/>
      <c r="M72" s="47"/>
    </row>
    <row r="73" spans="1:13" x14ac:dyDescent="0.2">
      <c r="A73" s="47"/>
      <c r="B73" s="47"/>
      <c r="C73" s="47"/>
      <c r="D73" s="47"/>
      <c r="E73" s="47"/>
      <c r="F73" s="47"/>
      <c r="G73" s="47"/>
      <c r="H73" s="47"/>
      <c r="I73" s="47"/>
      <c r="J73" s="47"/>
      <c r="K73" s="47"/>
      <c r="L73" s="47"/>
      <c r="M73" s="47"/>
    </row>
    <row r="74" spans="1:13" x14ac:dyDescent="0.2">
      <c r="A74" s="47"/>
      <c r="B74" s="47"/>
      <c r="C74" s="47"/>
      <c r="D74" s="47"/>
      <c r="E74" s="47"/>
      <c r="F74" s="47"/>
      <c r="G74" s="47"/>
      <c r="H74" s="47"/>
      <c r="I74" s="47"/>
      <c r="J74" s="47"/>
      <c r="K74" s="47"/>
      <c r="L74" s="47"/>
      <c r="M74" s="47"/>
    </row>
    <row r="75" spans="1:13" x14ac:dyDescent="0.2">
      <c r="A75" s="47"/>
      <c r="B75" s="47"/>
      <c r="C75" s="47"/>
      <c r="D75" s="47"/>
      <c r="E75" s="47"/>
      <c r="F75" s="47"/>
      <c r="G75" s="47"/>
      <c r="H75" s="47"/>
      <c r="I75" s="47"/>
      <c r="J75" s="47"/>
      <c r="K75" s="47"/>
      <c r="L75" s="47"/>
      <c r="M75" s="47"/>
    </row>
    <row r="76" spans="1:13" x14ac:dyDescent="0.2">
      <c r="A76" s="47"/>
      <c r="B76" s="47"/>
      <c r="C76" s="47"/>
      <c r="D76" s="47"/>
      <c r="E76" s="47"/>
      <c r="F76" s="47"/>
      <c r="G76" s="47"/>
      <c r="H76" s="47"/>
      <c r="I76" s="47"/>
      <c r="J76" s="47"/>
      <c r="K76" s="47"/>
      <c r="L76" s="47"/>
      <c r="M76" s="47"/>
    </row>
    <row r="77" spans="1:13" x14ac:dyDescent="0.2">
      <c r="A77" s="47"/>
      <c r="B77" s="47"/>
      <c r="C77" s="47"/>
      <c r="D77" s="47"/>
      <c r="E77" s="47"/>
      <c r="F77" s="47"/>
      <c r="G77" s="47"/>
      <c r="H77" s="47"/>
      <c r="I77" s="47"/>
      <c r="J77" s="47"/>
      <c r="K77" s="47"/>
      <c r="L77" s="47"/>
      <c r="M77" s="47"/>
    </row>
    <row r="78" spans="1:13" x14ac:dyDescent="0.2">
      <c r="A78" s="47"/>
      <c r="B78" s="47"/>
      <c r="C78" s="47"/>
      <c r="D78" s="47"/>
      <c r="E78" s="47"/>
      <c r="F78" s="47"/>
      <c r="G78" s="47"/>
      <c r="H78" s="47"/>
      <c r="I78" s="47"/>
      <c r="J78" s="47"/>
      <c r="K78" s="47"/>
      <c r="L78" s="47"/>
      <c r="M78" s="47"/>
    </row>
    <row r="79" spans="1:13" x14ac:dyDescent="0.2">
      <c r="A79" s="47"/>
      <c r="B79" s="47"/>
      <c r="C79" s="47"/>
      <c r="D79" s="47"/>
      <c r="E79" s="47"/>
      <c r="F79" s="47"/>
      <c r="G79" s="47"/>
      <c r="H79" s="47"/>
      <c r="I79" s="47"/>
      <c r="J79" s="47"/>
      <c r="K79" s="47"/>
      <c r="L79" s="47"/>
      <c r="M79" s="47"/>
    </row>
    <row r="80" spans="1:13" x14ac:dyDescent="0.2">
      <c r="A80" s="47"/>
      <c r="B80" s="47"/>
      <c r="C80" s="47"/>
      <c r="D80" s="47"/>
      <c r="E80" s="47"/>
      <c r="F80" s="47"/>
      <c r="G80" s="47"/>
      <c r="H80" s="47"/>
      <c r="I80" s="47"/>
      <c r="J80" s="47"/>
      <c r="K80" s="47"/>
      <c r="L80" s="47"/>
      <c r="M80" s="47"/>
    </row>
    <row r="81" spans="1:13" x14ac:dyDescent="0.2">
      <c r="A81" s="47"/>
      <c r="B81" s="47"/>
      <c r="C81" s="47"/>
      <c r="D81" s="47"/>
      <c r="E81" s="47"/>
      <c r="F81" s="47"/>
      <c r="G81" s="47"/>
      <c r="H81" s="47"/>
      <c r="I81" s="47"/>
      <c r="J81" s="47"/>
      <c r="K81" s="47"/>
      <c r="L81" s="47"/>
      <c r="M81" s="47"/>
    </row>
    <row r="82" spans="1:13" x14ac:dyDescent="0.2">
      <c r="A82" s="47"/>
      <c r="B82" s="47"/>
      <c r="C82" s="47"/>
      <c r="D82" s="47"/>
      <c r="E82" s="47"/>
      <c r="F82" s="47"/>
      <c r="G82" s="47"/>
      <c r="H82" s="47"/>
      <c r="I82" s="47"/>
      <c r="J82" s="47"/>
      <c r="K82" s="47"/>
      <c r="L82" s="47"/>
      <c r="M82" s="47"/>
    </row>
    <row r="83" spans="1:13" x14ac:dyDescent="0.2">
      <c r="A83" s="47"/>
      <c r="B83" s="47"/>
      <c r="C83" s="47"/>
      <c r="D83" s="47"/>
      <c r="E83" s="47"/>
      <c r="F83" s="47"/>
      <c r="G83" s="47"/>
      <c r="H83" s="47"/>
      <c r="I83" s="47"/>
      <c r="J83" s="47"/>
      <c r="K83" s="47"/>
      <c r="L83" s="47"/>
      <c r="M83" s="47"/>
    </row>
    <row r="84" spans="1:13" x14ac:dyDescent="0.2">
      <c r="A84" s="47"/>
      <c r="B84" s="47"/>
      <c r="C84" s="47"/>
      <c r="D84" s="47"/>
      <c r="E84" s="47"/>
      <c r="F84" s="47"/>
      <c r="G84" s="47"/>
      <c r="H84" s="47"/>
      <c r="I84" s="47"/>
      <c r="J84" s="47"/>
      <c r="K84" s="47"/>
      <c r="L84" s="47"/>
      <c r="M84" s="47"/>
    </row>
    <row r="85" spans="1:13" x14ac:dyDescent="0.2">
      <c r="A85" s="47"/>
      <c r="B85" s="47"/>
      <c r="C85" s="47"/>
      <c r="D85" s="47"/>
      <c r="E85" s="47"/>
      <c r="F85" s="47"/>
      <c r="G85" s="47"/>
      <c r="H85" s="47"/>
      <c r="I85" s="47"/>
      <c r="J85" s="47"/>
      <c r="K85" s="47"/>
      <c r="L85" s="47"/>
      <c r="M85" s="47"/>
    </row>
    <row r="86" spans="1:13" x14ac:dyDescent="0.2">
      <c r="A86" s="47"/>
      <c r="B86" s="47"/>
      <c r="C86" s="47"/>
      <c r="D86" s="47"/>
      <c r="E86" s="47"/>
      <c r="F86" s="47"/>
      <c r="G86" s="47"/>
      <c r="H86" s="47"/>
      <c r="I86" s="47"/>
      <c r="J86" s="47"/>
      <c r="K86" s="47"/>
      <c r="L86" s="47"/>
      <c r="M86" s="47"/>
    </row>
    <row r="87" spans="1:13" x14ac:dyDescent="0.2">
      <c r="A87" s="47"/>
      <c r="B87" s="47"/>
      <c r="C87" s="47"/>
      <c r="D87" s="47"/>
      <c r="E87" s="47"/>
      <c r="F87" s="47"/>
      <c r="G87" s="47"/>
      <c r="H87" s="47"/>
      <c r="I87" s="47"/>
      <c r="J87" s="47"/>
      <c r="K87" s="47"/>
      <c r="L87" s="47"/>
      <c r="M87" s="47"/>
    </row>
    <row r="88" spans="1:13" x14ac:dyDescent="0.2">
      <c r="A88" s="47"/>
      <c r="B88" s="47"/>
      <c r="C88" s="47"/>
      <c r="D88" s="47"/>
      <c r="E88" s="47"/>
      <c r="F88" s="47"/>
      <c r="G88" s="47"/>
      <c r="H88" s="47"/>
      <c r="I88" s="47"/>
      <c r="J88" s="47"/>
      <c r="K88" s="47"/>
      <c r="L88" s="47"/>
      <c r="M88" s="47"/>
    </row>
    <row r="89" spans="1:13" x14ac:dyDescent="0.2">
      <c r="A89" s="47"/>
      <c r="B89" s="47"/>
      <c r="C89" s="47"/>
      <c r="D89" s="47"/>
      <c r="E89" s="47"/>
      <c r="F89" s="47"/>
      <c r="G89" s="47"/>
      <c r="H89" s="47"/>
      <c r="I89" s="47"/>
      <c r="J89" s="47"/>
      <c r="K89" s="47"/>
      <c r="L89" s="47"/>
      <c r="M89" s="47"/>
    </row>
    <row r="90" spans="1:13" x14ac:dyDescent="0.2">
      <c r="A90" s="47"/>
      <c r="B90" s="47"/>
      <c r="C90" s="47"/>
      <c r="D90" s="47"/>
      <c r="E90" s="47"/>
      <c r="F90" s="47"/>
      <c r="G90" s="47"/>
      <c r="H90" s="47"/>
      <c r="I90" s="47"/>
      <c r="J90" s="47"/>
      <c r="K90" s="47"/>
      <c r="L90" s="47"/>
      <c r="M90" s="47"/>
    </row>
    <row r="91" spans="1:13" x14ac:dyDescent="0.2">
      <c r="A91" s="47"/>
      <c r="B91" s="47"/>
      <c r="C91" s="47"/>
      <c r="D91" s="47"/>
      <c r="E91" s="47"/>
      <c r="F91" s="47"/>
      <c r="G91" s="47"/>
      <c r="H91" s="47"/>
      <c r="I91" s="47"/>
      <c r="J91" s="47"/>
      <c r="K91" s="47"/>
      <c r="L91" s="47"/>
      <c r="M91" s="47"/>
    </row>
    <row r="92" spans="1:13" x14ac:dyDescent="0.2">
      <c r="A92" s="47"/>
      <c r="B92" s="47"/>
      <c r="C92" s="47"/>
      <c r="D92" s="47"/>
      <c r="E92" s="47"/>
      <c r="F92" s="47"/>
      <c r="G92" s="47"/>
      <c r="H92" s="47"/>
      <c r="I92" s="47"/>
      <c r="J92" s="47"/>
      <c r="K92" s="47"/>
      <c r="L92" s="47"/>
      <c r="M92" s="47"/>
    </row>
    <row r="93" spans="1:13" x14ac:dyDescent="0.2">
      <c r="A93" s="47"/>
      <c r="B93" s="47"/>
      <c r="C93" s="47"/>
      <c r="D93" s="47"/>
      <c r="E93" s="47"/>
      <c r="F93" s="47"/>
      <c r="G93" s="47"/>
      <c r="H93" s="47"/>
      <c r="I93" s="47"/>
      <c r="J93" s="47"/>
      <c r="K93" s="47"/>
      <c r="L93" s="47"/>
      <c r="M93" s="47"/>
    </row>
    <row r="94" spans="1:13" x14ac:dyDescent="0.2">
      <c r="A94" s="47"/>
      <c r="B94" s="47"/>
      <c r="C94" s="47"/>
      <c r="D94" s="47"/>
      <c r="E94" s="47"/>
      <c r="F94" s="47"/>
      <c r="G94" s="47"/>
      <c r="H94" s="47"/>
      <c r="I94" s="47"/>
      <c r="J94" s="47"/>
      <c r="K94" s="47"/>
      <c r="L94" s="47"/>
      <c r="M94" s="47"/>
    </row>
    <row r="95" spans="1:13" x14ac:dyDescent="0.2">
      <c r="A95" s="47"/>
      <c r="B95" s="47"/>
      <c r="C95" s="47"/>
      <c r="D95" s="47"/>
      <c r="E95" s="47"/>
      <c r="F95" s="47"/>
      <c r="G95" s="47"/>
      <c r="H95" s="47"/>
      <c r="I95" s="47"/>
      <c r="J95" s="47"/>
      <c r="K95" s="47"/>
      <c r="L95" s="47"/>
      <c r="M95" s="47"/>
    </row>
    <row r="96" spans="1:13" x14ac:dyDescent="0.2">
      <c r="A96" s="47"/>
      <c r="B96" s="47"/>
      <c r="C96" s="47"/>
      <c r="D96" s="47"/>
      <c r="E96" s="47"/>
      <c r="F96" s="47"/>
      <c r="G96" s="47"/>
      <c r="H96" s="47"/>
      <c r="I96" s="47"/>
      <c r="J96" s="47"/>
      <c r="K96" s="47"/>
      <c r="L96" s="47"/>
      <c r="M96" s="47"/>
    </row>
    <row r="97" spans="1:13" x14ac:dyDescent="0.2">
      <c r="A97" s="47"/>
      <c r="B97" s="47"/>
      <c r="C97" s="47"/>
      <c r="D97" s="47"/>
      <c r="E97" s="47"/>
      <c r="F97" s="47"/>
      <c r="G97" s="47"/>
      <c r="H97" s="47"/>
      <c r="I97" s="47"/>
      <c r="J97" s="47"/>
      <c r="K97" s="47"/>
      <c r="L97" s="47"/>
      <c r="M97" s="47"/>
    </row>
    <row r="98" spans="1:13" x14ac:dyDescent="0.2">
      <c r="A98" s="47"/>
      <c r="B98" s="47"/>
      <c r="C98" s="47"/>
      <c r="D98" s="47"/>
      <c r="E98" s="47"/>
      <c r="F98" s="47"/>
      <c r="G98" s="47"/>
      <c r="H98" s="47"/>
      <c r="I98" s="47"/>
      <c r="J98" s="47"/>
      <c r="K98" s="47"/>
      <c r="L98" s="47"/>
      <c r="M98" s="47"/>
    </row>
    <row r="99" spans="1:13" x14ac:dyDescent="0.2">
      <c r="A99" s="47"/>
      <c r="B99" s="47"/>
      <c r="C99" s="47"/>
      <c r="D99" s="47"/>
      <c r="E99" s="47"/>
      <c r="F99" s="47"/>
      <c r="G99" s="47"/>
      <c r="H99" s="47"/>
      <c r="I99" s="47"/>
      <c r="J99" s="47"/>
      <c r="K99" s="47"/>
      <c r="L99" s="47"/>
      <c r="M99" s="47"/>
    </row>
    <row r="100" spans="1:13" x14ac:dyDescent="0.2">
      <c r="A100" s="47"/>
      <c r="B100" s="47"/>
      <c r="C100" s="47"/>
      <c r="D100" s="47"/>
      <c r="E100" s="47"/>
      <c r="F100" s="47"/>
      <c r="G100" s="47"/>
      <c r="H100" s="47"/>
      <c r="I100" s="47"/>
      <c r="J100" s="47"/>
      <c r="K100" s="47"/>
      <c r="L100" s="47"/>
      <c r="M100" s="47"/>
    </row>
    <row r="101" spans="1:13" x14ac:dyDescent="0.2">
      <c r="A101" s="47"/>
      <c r="B101" s="47"/>
      <c r="C101" s="47"/>
      <c r="D101" s="47"/>
      <c r="E101" s="47"/>
      <c r="F101" s="47"/>
      <c r="G101" s="47"/>
      <c r="H101" s="47"/>
      <c r="I101" s="47"/>
      <c r="J101" s="47"/>
      <c r="K101" s="47"/>
      <c r="L101" s="47"/>
      <c r="M101" s="47"/>
    </row>
    <row r="102" spans="1:13" x14ac:dyDescent="0.2">
      <c r="A102" s="47"/>
      <c r="B102" s="47"/>
      <c r="C102" s="47"/>
      <c r="D102" s="47"/>
      <c r="E102" s="47"/>
      <c r="F102" s="47"/>
      <c r="G102" s="47"/>
      <c r="H102" s="47"/>
      <c r="I102" s="47"/>
      <c r="J102" s="47"/>
      <c r="K102" s="47"/>
      <c r="L102" s="47"/>
      <c r="M102" s="47"/>
    </row>
    <row r="103" spans="1:13" x14ac:dyDescent="0.2">
      <c r="A103" s="47"/>
      <c r="B103" s="47"/>
      <c r="C103" s="47"/>
      <c r="D103" s="47"/>
      <c r="E103" s="47"/>
      <c r="F103" s="47"/>
      <c r="G103" s="47"/>
      <c r="H103" s="47"/>
      <c r="I103" s="47"/>
      <c r="J103" s="47"/>
      <c r="K103" s="47"/>
      <c r="L103" s="47"/>
      <c r="M103" s="47"/>
    </row>
    <row r="104" spans="1:13" x14ac:dyDescent="0.2">
      <c r="A104" s="47"/>
      <c r="B104" s="47"/>
      <c r="C104" s="47"/>
      <c r="D104" s="47"/>
      <c r="E104" s="47"/>
      <c r="F104" s="47"/>
      <c r="G104" s="47"/>
      <c r="H104" s="47"/>
      <c r="I104" s="47"/>
      <c r="J104" s="47"/>
      <c r="K104" s="47"/>
      <c r="L104" s="47"/>
      <c r="M104" s="47"/>
    </row>
    <row r="105" spans="1:13" x14ac:dyDescent="0.2">
      <c r="A105" s="47"/>
      <c r="B105" s="47"/>
      <c r="C105" s="47"/>
      <c r="D105" s="47"/>
      <c r="E105" s="47"/>
      <c r="F105" s="47"/>
      <c r="G105" s="47"/>
      <c r="H105" s="47"/>
      <c r="I105" s="47"/>
      <c r="J105" s="47"/>
      <c r="K105" s="47"/>
      <c r="L105" s="47"/>
      <c r="M105" s="47"/>
    </row>
    <row r="106" spans="1:13" x14ac:dyDescent="0.2">
      <c r="A106" s="47"/>
      <c r="B106" s="47"/>
      <c r="C106" s="47"/>
      <c r="D106" s="47"/>
      <c r="E106" s="47"/>
      <c r="F106" s="47"/>
      <c r="G106" s="47"/>
      <c r="H106" s="47"/>
      <c r="I106" s="47"/>
      <c r="J106" s="47"/>
      <c r="K106" s="47"/>
      <c r="L106" s="47"/>
      <c r="M106" s="47"/>
    </row>
    <row r="107" spans="1:13" x14ac:dyDescent="0.2">
      <c r="A107" s="47"/>
      <c r="B107" s="47"/>
      <c r="C107" s="47"/>
      <c r="D107" s="47"/>
      <c r="E107" s="47"/>
      <c r="F107" s="47"/>
      <c r="G107" s="47"/>
      <c r="H107" s="47"/>
      <c r="I107" s="47"/>
      <c r="J107" s="47"/>
      <c r="K107" s="47"/>
      <c r="L107" s="47"/>
      <c r="M107" s="47"/>
    </row>
    <row r="108" spans="1:13" x14ac:dyDescent="0.2">
      <c r="A108" s="47"/>
      <c r="B108" s="47"/>
      <c r="C108" s="47"/>
      <c r="D108" s="47"/>
      <c r="E108" s="47"/>
      <c r="F108" s="47"/>
      <c r="G108" s="47"/>
      <c r="H108" s="47"/>
      <c r="I108" s="47"/>
      <c r="J108" s="47"/>
      <c r="K108" s="47"/>
      <c r="L108" s="47"/>
      <c r="M108" s="47"/>
    </row>
    <row r="109" spans="1:13" x14ac:dyDescent="0.2">
      <c r="A109" s="47"/>
      <c r="B109" s="47"/>
      <c r="C109" s="47"/>
      <c r="D109" s="47"/>
      <c r="E109" s="47"/>
      <c r="F109" s="47"/>
      <c r="G109" s="47"/>
      <c r="H109" s="47"/>
      <c r="I109" s="47"/>
      <c r="J109" s="47"/>
      <c r="K109" s="47"/>
      <c r="L109" s="47"/>
      <c r="M109" s="47"/>
    </row>
    <row r="110" spans="1:13" x14ac:dyDescent="0.2">
      <c r="A110" s="47"/>
      <c r="B110" s="47"/>
      <c r="C110" s="47"/>
      <c r="D110" s="47"/>
      <c r="E110" s="47"/>
      <c r="F110" s="47"/>
      <c r="G110" s="47"/>
      <c r="H110" s="47"/>
      <c r="I110" s="47"/>
      <c r="J110" s="47"/>
      <c r="K110" s="47"/>
      <c r="L110" s="47"/>
      <c r="M110" s="47"/>
    </row>
    <row r="111" spans="1:13" x14ac:dyDescent="0.2">
      <c r="A111" s="47"/>
      <c r="B111" s="47"/>
      <c r="C111" s="47"/>
      <c r="D111" s="47"/>
      <c r="E111" s="47"/>
      <c r="F111" s="47"/>
      <c r="G111" s="47"/>
      <c r="H111" s="47"/>
      <c r="I111" s="47"/>
      <c r="J111" s="47"/>
      <c r="K111" s="47"/>
      <c r="L111" s="47"/>
      <c r="M111" s="47"/>
    </row>
    <row r="112" spans="1:13" x14ac:dyDescent="0.2">
      <c r="A112" s="47"/>
      <c r="B112" s="47"/>
      <c r="C112" s="47"/>
      <c r="D112" s="47"/>
      <c r="E112" s="47"/>
      <c r="F112" s="47"/>
      <c r="G112" s="47"/>
      <c r="H112" s="47"/>
      <c r="I112" s="47"/>
      <c r="J112" s="47"/>
      <c r="K112" s="47"/>
      <c r="L112" s="47"/>
      <c r="M112" s="47"/>
    </row>
    <row r="113" spans="1:13" x14ac:dyDescent="0.2">
      <c r="A113" s="47"/>
      <c r="B113" s="47"/>
      <c r="C113" s="47"/>
      <c r="D113" s="47"/>
      <c r="E113" s="47"/>
      <c r="F113" s="47"/>
      <c r="G113" s="47"/>
      <c r="H113" s="47"/>
      <c r="I113" s="47"/>
      <c r="J113" s="47"/>
      <c r="K113" s="47"/>
      <c r="L113" s="47"/>
      <c r="M113" s="47"/>
    </row>
    <row r="114" spans="1:13" x14ac:dyDescent="0.2">
      <c r="A114" s="47"/>
      <c r="B114" s="47"/>
      <c r="C114" s="47"/>
      <c r="D114" s="47"/>
      <c r="E114" s="47"/>
      <c r="F114" s="47"/>
      <c r="G114" s="47"/>
      <c r="H114" s="47"/>
      <c r="I114" s="47"/>
      <c r="J114" s="47"/>
      <c r="K114" s="47"/>
      <c r="L114" s="47"/>
      <c r="M114" s="47"/>
    </row>
    <row r="115" spans="1:13" x14ac:dyDescent="0.2">
      <c r="A115" s="47"/>
      <c r="B115" s="47"/>
      <c r="C115" s="47"/>
      <c r="D115" s="47"/>
      <c r="E115" s="47"/>
      <c r="F115" s="47"/>
      <c r="G115" s="47"/>
      <c r="H115" s="47"/>
      <c r="I115" s="47"/>
      <c r="J115" s="47"/>
      <c r="K115" s="47"/>
      <c r="L115" s="47"/>
      <c r="M115" s="47"/>
    </row>
    <row r="116" spans="1:13" x14ac:dyDescent="0.2">
      <c r="A116" s="47"/>
      <c r="B116" s="47"/>
      <c r="C116" s="47"/>
      <c r="D116" s="47"/>
      <c r="E116" s="47"/>
      <c r="F116" s="47"/>
      <c r="G116" s="47"/>
      <c r="H116" s="47"/>
      <c r="I116" s="47"/>
      <c r="J116" s="47"/>
      <c r="K116" s="47"/>
      <c r="L116" s="47"/>
      <c r="M116" s="47"/>
    </row>
    <row r="117" spans="1:13" x14ac:dyDescent="0.2">
      <c r="A117" s="47"/>
      <c r="B117" s="47"/>
      <c r="C117" s="47"/>
      <c r="D117" s="47"/>
      <c r="E117" s="47"/>
      <c r="F117" s="47"/>
      <c r="G117" s="47"/>
      <c r="H117" s="47"/>
      <c r="I117" s="47"/>
      <c r="J117" s="47"/>
      <c r="K117" s="47"/>
      <c r="L117" s="47"/>
      <c r="M117" s="47"/>
    </row>
    <row r="118" spans="1:13" x14ac:dyDescent="0.2">
      <c r="A118" s="47"/>
      <c r="B118" s="47"/>
      <c r="C118" s="47"/>
      <c r="D118" s="47"/>
      <c r="E118" s="47"/>
      <c r="F118" s="47"/>
      <c r="G118" s="47"/>
      <c r="H118" s="47"/>
      <c r="I118" s="47"/>
      <c r="J118" s="47"/>
      <c r="K118" s="47"/>
      <c r="L118" s="47"/>
      <c r="M118" s="4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09"/>
  <sheetViews>
    <sheetView topLeftCell="A13" workbookViewId="0">
      <selection activeCell="F40" sqref="F40"/>
    </sheetView>
  </sheetViews>
  <sheetFormatPr defaultRowHeight="12.75" x14ac:dyDescent="0.2"/>
  <cols>
    <col min="1" max="1" width="24.5703125" style="5" customWidth="1"/>
    <col min="2" max="2" width="10.140625" style="5" customWidth="1"/>
    <col min="3" max="3" width="4.42578125" style="5" customWidth="1"/>
    <col min="4" max="4" width="11.28515625" style="5" customWidth="1"/>
    <col min="5" max="5" width="7" style="5" customWidth="1"/>
    <col min="6" max="6" width="13" style="5" customWidth="1"/>
    <col min="7" max="7" width="8.7109375" style="5" customWidth="1"/>
    <col min="8" max="8" width="7.42578125" style="5" customWidth="1"/>
    <col min="9" max="9" width="8.7109375" style="5" bestFit="1" customWidth="1"/>
    <col min="10" max="10" width="9.42578125" style="5" customWidth="1"/>
    <col min="11" max="11" width="4.7109375" style="5" bestFit="1" customWidth="1"/>
    <col min="12" max="13" width="9.5703125" style="5" customWidth="1"/>
    <col min="14" max="14" width="9.5703125" style="5" hidden="1" customWidth="1"/>
    <col min="15" max="15" width="15.28515625" style="5" hidden="1" customWidth="1"/>
    <col min="16" max="16" width="36.7109375" style="5" hidden="1" customWidth="1"/>
    <col min="17" max="22" width="9.5703125" style="5" customWidth="1"/>
    <col min="23" max="24" width="10.42578125" style="5" customWidth="1"/>
    <col min="25" max="25" width="9.85546875" style="5" customWidth="1"/>
    <col min="26" max="26" width="9.140625" style="5"/>
    <col min="27" max="27" width="10.42578125" style="5" customWidth="1"/>
    <col min="28" max="256" width="9.140625" style="5"/>
    <col min="257" max="257" width="24.5703125" style="5" customWidth="1"/>
    <col min="258" max="258" width="10.140625" style="5" customWidth="1"/>
    <col min="259" max="259" width="4.42578125" style="5" customWidth="1"/>
    <col min="260" max="260" width="11.28515625" style="5" customWidth="1"/>
    <col min="261" max="261" width="7" style="5" customWidth="1"/>
    <col min="262" max="262" width="13" style="5" customWidth="1"/>
    <col min="263" max="263" width="8.7109375" style="5" customWidth="1"/>
    <col min="264" max="264" width="7.42578125" style="5" customWidth="1"/>
    <col min="265" max="265" width="8.7109375" style="5" bestFit="1" customWidth="1"/>
    <col min="266" max="266" width="9.42578125" style="5" customWidth="1"/>
    <col min="267" max="267" width="4.7109375" style="5" bestFit="1" customWidth="1"/>
    <col min="268" max="269" width="9.5703125" style="5" customWidth="1"/>
    <col min="270" max="272" width="0" style="5" hidden="1" customWidth="1"/>
    <col min="273" max="278" width="9.5703125" style="5" customWidth="1"/>
    <col min="279" max="280" width="10.42578125" style="5" customWidth="1"/>
    <col min="281" max="281" width="9.85546875" style="5" customWidth="1"/>
    <col min="282" max="282" width="9.140625" style="5"/>
    <col min="283" max="283" width="10.42578125" style="5" customWidth="1"/>
    <col min="284" max="512" width="9.140625" style="5"/>
    <col min="513" max="513" width="24.5703125" style="5" customWidth="1"/>
    <col min="514" max="514" width="10.140625" style="5" customWidth="1"/>
    <col min="515" max="515" width="4.42578125" style="5" customWidth="1"/>
    <col min="516" max="516" width="11.28515625" style="5" customWidth="1"/>
    <col min="517" max="517" width="7" style="5" customWidth="1"/>
    <col min="518" max="518" width="13" style="5" customWidth="1"/>
    <col min="519" max="519" width="8.7109375" style="5" customWidth="1"/>
    <col min="520" max="520" width="7.42578125" style="5" customWidth="1"/>
    <col min="521" max="521" width="8.7109375" style="5" bestFit="1" customWidth="1"/>
    <col min="522" max="522" width="9.42578125" style="5" customWidth="1"/>
    <col min="523" max="523" width="4.7109375" style="5" bestFit="1" customWidth="1"/>
    <col min="524" max="525" width="9.5703125" style="5" customWidth="1"/>
    <col min="526" max="528" width="0" style="5" hidden="1" customWidth="1"/>
    <col min="529" max="534" width="9.5703125" style="5" customWidth="1"/>
    <col min="535" max="536" width="10.42578125" style="5" customWidth="1"/>
    <col min="537" max="537" width="9.85546875" style="5" customWidth="1"/>
    <col min="538" max="538" width="9.140625" style="5"/>
    <col min="539" max="539" width="10.42578125" style="5" customWidth="1"/>
    <col min="540" max="768" width="9.140625" style="5"/>
    <col min="769" max="769" width="24.5703125" style="5" customWidth="1"/>
    <col min="770" max="770" width="10.140625" style="5" customWidth="1"/>
    <col min="771" max="771" width="4.42578125" style="5" customWidth="1"/>
    <col min="772" max="772" width="11.28515625" style="5" customWidth="1"/>
    <col min="773" max="773" width="7" style="5" customWidth="1"/>
    <col min="774" max="774" width="13" style="5" customWidth="1"/>
    <col min="775" max="775" width="8.7109375" style="5" customWidth="1"/>
    <col min="776" max="776" width="7.42578125" style="5" customWidth="1"/>
    <col min="777" max="777" width="8.7109375" style="5" bestFit="1" customWidth="1"/>
    <col min="778" max="778" width="9.42578125" style="5" customWidth="1"/>
    <col min="779" max="779" width="4.7109375" style="5" bestFit="1" customWidth="1"/>
    <col min="780" max="781" width="9.5703125" style="5" customWidth="1"/>
    <col min="782" max="784" width="0" style="5" hidden="1" customWidth="1"/>
    <col min="785" max="790" width="9.5703125" style="5" customWidth="1"/>
    <col min="791" max="792" width="10.42578125" style="5" customWidth="1"/>
    <col min="793" max="793" width="9.85546875" style="5" customWidth="1"/>
    <col min="794" max="794" width="9.140625" style="5"/>
    <col min="795" max="795" width="10.42578125" style="5" customWidth="1"/>
    <col min="796" max="1024" width="9.140625" style="5"/>
    <col min="1025" max="1025" width="24.5703125" style="5" customWidth="1"/>
    <col min="1026" max="1026" width="10.140625" style="5" customWidth="1"/>
    <col min="1027" max="1027" width="4.42578125" style="5" customWidth="1"/>
    <col min="1028" max="1028" width="11.28515625" style="5" customWidth="1"/>
    <col min="1029" max="1029" width="7" style="5" customWidth="1"/>
    <col min="1030" max="1030" width="13" style="5" customWidth="1"/>
    <col min="1031" max="1031" width="8.7109375" style="5" customWidth="1"/>
    <col min="1032" max="1032" width="7.42578125" style="5" customWidth="1"/>
    <col min="1033" max="1033" width="8.7109375" style="5" bestFit="1" customWidth="1"/>
    <col min="1034" max="1034" width="9.42578125" style="5" customWidth="1"/>
    <col min="1035" max="1035" width="4.7109375" style="5" bestFit="1" customWidth="1"/>
    <col min="1036" max="1037" width="9.5703125" style="5" customWidth="1"/>
    <col min="1038" max="1040" width="0" style="5" hidden="1" customWidth="1"/>
    <col min="1041" max="1046" width="9.5703125" style="5" customWidth="1"/>
    <col min="1047" max="1048" width="10.42578125" style="5" customWidth="1"/>
    <col min="1049" max="1049" width="9.85546875" style="5" customWidth="1"/>
    <col min="1050" max="1050" width="9.140625" style="5"/>
    <col min="1051" max="1051" width="10.42578125" style="5" customWidth="1"/>
    <col min="1052" max="1280" width="9.140625" style="5"/>
    <col min="1281" max="1281" width="24.5703125" style="5" customWidth="1"/>
    <col min="1282" max="1282" width="10.140625" style="5" customWidth="1"/>
    <col min="1283" max="1283" width="4.42578125" style="5" customWidth="1"/>
    <col min="1284" max="1284" width="11.28515625" style="5" customWidth="1"/>
    <col min="1285" max="1285" width="7" style="5" customWidth="1"/>
    <col min="1286" max="1286" width="13" style="5" customWidth="1"/>
    <col min="1287" max="1287" width="8.7109375" style="5" customWidth="1"/>
    <col min="1288" max="1288" width="7.42578125" style="5" customWidth="1"/>
    <col min="1289" max="1289" width="8.7109375" style="5" bestFit="1" customWidth="1"/>
    <col min="1290" max="1290" width="9.42578125" style="5" customWidth="1"/>
    <col min="1291" max="1291" width="4.7109375" style="5" bestFit="1" customWidth="1"/>
    <col min="1292" max="1293" width="9.5703125" style="5" customWidth="1"/>
    <col min="1294" max="1296" width="0" style="5" hidden="1" customWidth="1"/>
    <col min="1297" max="1302" width="9.5703125" style="5" customWidth="1"/>
    <col min="1303" max="1304" width="10.42578125" style="5" customWidth="1"/>
    <col min="1305" max="1305" width="9.85546875" style="5" customWidth="1"/>
    <col min="1306" max="1306" width="9.140625" style="5"/>
    <col min="1307" max="1307" width="10.42578125" style="5" customWidth="1"/>
    <col min="1308" max="1536" width="9.140625" style="5"/>
    <col min="1537" max="1537" width="24.5703125" style="5" customWidth="1"/>
    <col min="1538" max="1538" width="10.140625" style="5" customWidth="1"/>
    <col min="1539" max="1539" width="4.42578125" style="5" customWidth="1"/>
    <col min="1540" max="1540" width="11.28515625" style="5" customWidth="1"/>
    <col min="1541" max="1541" width="7" style="5" customWidth="1"/>
    <col min="1542" max="1542" width="13" style="5" customWidth="1"/>
    <col min="1543" max="1543" width="8.7109375" style="5" customWidth="1"/>
    <col min="1544" max="1544" width="7.42578125" style="5" customWidth="1"/>
    <col min="1545" max="1545" width="8.7109375" style="5" bestFit="1" customWidth="1"/>
    <col min="1546" max="1546" width="9.42578125" style="5" customWidth="1"/>
    <col min="1547" max="1547" width="4.7109375" style="5" bestFit="1" customWidth="1"/>
    <col min="1548" max="1549" width="9.5703125" style="5" customWidth="1"/>
    <col min="1550" max="1552" width="0" style="5" hidden="1" customWidth="1"/>
    <col min="1553" max="1558" width="9.5703125" style="5" customWidth="1"/>
    <col min="1559" max="1560" width="10.42578125" style="5" customWidth="1"/>
    <col min="1561" max="1561" width="9.85546875" style="5" customWidth="1"/>
    <col min="1562" max="1562" width="9.140625" style="5"/>
    <col min="1563" max="1563" width="10.42578125" style="5" customWidth="1"/>
    <col min="1564" max="1792" width="9.140625" style="5"/>
    <col min="1793" max="1793" width="24.5703125" style="5" customWidth="1"/>
    <col min="1794" max="1794" width="10.140625" style="5" customWidth="1"/>
    <col min="1795" max="1795" width="4.42578125" style="5" customWidth="1"/>
    <col min="1796" max="1796" width="11.28515625" style="5" customWidth="1"/>
    <col min="1797" max="1797" width="7" style="5" customWidth="1"/>
    <col min="1798" max="1798" width="13" style="5" customWidth="1"/>
    <col min="1799" max="1799" width="8.7109375" style="5" customWidth="1"/>
    <col min="1800" max="1800" width="7.42578125" style="5" customWidth="1"/>
    <col min="1801" max="1801" width="8.7109375" style="5" bestFit="1" customWidth="1"/>
    <col min="1802" max="1802" width="9.42578125" style="5" customWidth="1"/>
    <col min="1803" max="1803" width="4.7109375" style="5" bestFit="1" customWidth="1"/>
    <col min="1804" max="1805" width="9.5703125" style="5" customWidth="1"/>
    <col min="1806" max="1808" width="0" style="5" hidden="1" customWidth="1"/>
    <col min="1809" max="1814" width="9.5703125" style="5" customWidth="1"/>
    <col min="1815" max="1816" width="10.42578125" style="5" customWidth="1"/>
    <col min="1817" max="1817" width="9.85546875" style="5" customWidth="1"/>
    <col min="1818" max="1818" width="9.140625" style="5"/>
    <col min="1819" max="1819" width="10.42578125" style="5" customWidth="1"/>
    <col min="1820" max="2048" width="9.140625" style="5"/>
    <col min="2049" max="2049" width="24.5703125" style="5" customWidth="1"/>
    <col min="2050" max="2050" width="10.140625" style="5" customWidth="1"/>
    <col min="2051" max="2051" width="4.42578125" style="5" customWidth="1"/>
    <col min="2052" max="2052" width="11.28515625" style="5" customWidth="1"/>
    <col min="2053" max="2053" width="7" style="5" customWidth="1"/>
    <col min="2054" max="2054" width="13" style="5" customWidth="1"/>
    <col min="2055" max="2055" width="8.7109375" style="5" customWidth="1"/>
    <col min="2056" max="2056" width="7.42578125" style="5" customWidth="1"/>
    <col min="2057" max="2057" width="8.7109375" style="5" bestFit="1" customWidth="1"/>
    <col min="2058" max="2058" width="9.42578125" style="5" customWidth="1"/>
    <col min="2059" max="2059" width="4.7109375" style="5" bestFit="1" customWidth="1"/>
    <col min="2060" max="2061" width="9.5703125" style="5" customWidth="1"/>
    <col min="2062" max="2064" width="0" style="5" hidden="1" customWidth="1"/>
    <col min="2065" max="2070" width="9.5703125" style="5" customWidth="1"/>
    <col min="2071" max="2072" width="10.42578125" style="5" customWidth="1"/>
    <col min="2073" max="2073" width="9.85546875" style="5" customWidth="1"/>
    <col min="2074" max="2074" width="9.140625" style="5"/>
    <col min="2075" max="2075" width="10.42578125" style="5" customWidth="1"/>
    <col min="2076" max="2304" width="9.140625" style="5"/>
    <col min="2305" max="2305" width="24.5703125" style="5" customWidth="1"/>
    <col min="2306" max="2306" width="10.140625" style="5" customWidth="1"/>
    <col min="2307" max="2307" width="4.42578125" style="5" customWidth="1"/>
    <col min="2308" max="2308" width="11.28515625" style="5" customWidth="1"/>
    <col min="2309" max="2309" width="7" style="5" customWidth="1"/>
    <col min="2310" max="2310" width="13" style="5" customWidth="1"/>
    <col min="2311" max="2311" width="8.7109375" style="5" customWidth="1"/>
    <col min="2312" max="2312" width="7.42578125" style="5" customWidth="1"/>
    <col min="2313" max="2313" width="8.7109375" style="5" bestFit="1" customWidth="1"/>
    <col min="2314" max="2314" width="9.42578125" style="5" customWidth="1"/>
    <col min="2315" max="2315" width="4.7109375" style="5" bestFit="1" customWidth="1"/>
    <col min="2316" max="2317" width="9.5703125" style="5" customWidth="1"/>
    <col min="2318" max="2320" width="0" style="5" hidden="1" customWidth="1"/>
    <col min="2321" max="2326" width="9.5703125" style="5" customWidth="1"/>
    <col min="2327" max="2328" width="10.42578125" style="5" customWidth="1"/>
    <col min="2329" max="2329" width="9.85546875" style="5" customWidth="1"/>
    <col min="2330" max="2330" width="9.140625" style="5"/>
    <col min="2331" max="2331" width="10.42578125" style="5" customWidth="1"/>
    <col min="2332" max="2560" width="9.140625" style="5"/>
    <col min="2561" max="2561" width="24.5703125" style="5" customWidth="1"/>
    <col min="2562" max="2562" width="10.140625" style="5" customWidth="1"/>
    <col min="2563" max="2563" width="4.42578125" style="5" customWidth="1"/>
    <col min="2564" max="2564" width="11.28515625" style="5" customWidth="1"/>
    <col min="2565" max="2565" width="7" style="5" customWidth="1"/>
    <col min="2566" max="2566" width="13" style="5" customWidth="1"/>
    <col min="2567" max="2567" width="8.7109375" style="5" customWidth="1"/>
    <col min="2568" max="2568" width="7.42578125" style="5" customWidth="1"/>
    <col min="2569" max="2569" width="8.7109375" style="5" bestFit="1" customWidth="1"/>
    <col min="2570" max="2570" width="9.42578125" style="5" customWidth="1"/>
    <col min="2571" max="2571" width="4.7109375" style="5" bestFit="1" customWidth="1"/>
    <col min="2572" max="2573" width="9.5703125" style="5" customWidth="1"/>
    <col min="2574" max="2576" width="0" style="5" hidden="1" customWidth="1"/>
    <col min="2577" max="2582" width="9.5703125" style="5" customWidth="1"/>
    <col min="2583" max="2584" width="10.42578125" style="5" customWidth="1"/>
    <col min="2585" max="2585" width="9.85546875" style="5" customWidth="1"/>
    <col min="2586" max="2586" width="9.140625" style="5"/>
    <col min="2587" max="2587" width="10.42578125" style="5" customWidth="1"/>
    <col min="2588" max="2816" width="9.140625" style="5"/>
    <col min="2817" max="2817" width="24.5703125" style="5" customWidth="1"/>
    <col min="2818" max="2818" width="10.140625" style="5" customWidth="1"/>
    <col min="2819" max="2819" width="4.42578125" style="5" customWidth="1"/>
    <col min="2820" max="2820" width="11.28515625" style="5" customWidth="1"/>
    <col min="2821" max="2821" width="7" style="5" customWidth="1"/>
    <col min="2822" max="2822" width="13" style="5" customWidth="1"/>
    <col min="2823" max="2823" width="8.7109375" style="5" customWidth="1"/>
    <col min="2824" max="2824" width="7.42578125" style="5" customWidth="1"/>
    <col min="2825" max="2825" width="8.7109375" style="5" bestFit="1" customWidth="1"/>
    <col min="2826" max="2826" width="9.42578125" style="5" customWidth="1"/>
    <col min="2827" max="2827" width="4.7109375" style="5" bestFit="1" customWidth="1"/>
    <col min="2828" max="2829" width="9.5703125" style="5" customWidth="1"/>
    <col min="2830" max="2832" width="0" style="5" hidden="1" customWidth="1"/>
    <col min="2833" max="2838" width="9.5703125" style="5" customWidth="1"/>
    <col min="2839" max="2840" width="10.42578125" style="5" customWidth="1"/>
    <col min="2841" max="2841" width="9.85546875" style="5" customWidth="1"/>
    <col min="2842" max="2842" width="9.140625" style="5"/>
    <col min="2843" max="2843" width="10.42578125" style="5" customWidth="1"/>
    <col min="2844" max="3072" width="9.140625" style="5"/>
    <col min="3073" max="3073" width="24.5703125" style="5" customWidth="1"/>
    <col min="3074" max="3074" width="10.140625" style="5" customWidth="1"/>
    <col min="3075" max="3075" width="4.42578125" style="5" customWidth="1"/>
    <col min="3076" max="3076" width="11.28515625" style="5" customWidth="1"/>
    <col min="3077" max="3077" width="7" style="5" customWidth="1"/>
    <col min="3078" max="3078" width="13" style="5" customWidth="1"/>
    <col min="3079" max="3079" width="8.7109375" style="5" customWidth="1"/>
    <col min="3080" max="3080" width="7.42578125" style="5" customWidth="1"/>
    <col min="3081" max="3081" width="8.7109375" style="5" bestFit="1" customWidth="1"/>
    <col min="3082" max="3082" width="9.42578125" style="5" customWidth="1"/>
    <col min="3083" max="3083" width="4.7109375" style="5" bestFit="1" customWidth="1"/>
    <col min="3084" max="3085" width="9.5703125" style="5" customWidth="1"/>
    <col min="3086" max="3088" width="0" style="5" hidden="1" customWidth="1"/>
    <col min="3089" max="3094" width="9.5703125" style="5" customWidth="1"/>
    <col min="3095" max="3096" width="10.42578125" style="5" customWidth="1"/>
    <col min="3097" max="3097" width="9.85546875" style="5" customWidth="1"/>
    <col min="3098" max="3098" width="9.140625" style="5"/>
    <col min="3099" max="3099" width="10.42578125" style="5" customWidth="1"/>
    <col min="3100" max="3328" width="9.140625" style="5"/>
    <col min="3329" max="3329" width="24.5703125" style="5" customWidth="1"/>
    <col min="3330" max="3330" width="10.140625" style="5" customWidth="1"/>
    <col min="3331" max="3331" width="4.42578125" style="5" customWidth="1"/>
    <col min="3332" max="3332" width="11.28515625" style="5" customWidth="1"/>
    <col min="3333" max="3333" width="7" style="5" customWidth="1"/>
    <col min="3334" max="3334" width="13" style="5" customWidth="1"/>
    <col min="3335" max="3335" width="8.7109375" style="5" customWidth="1"/>
    <col min="3336" max="3336" width="7.42578125" style="5" customWidth="1"/>
    <col min="3337" max="3337" width="8.7109375" style="5" bestFit="1" customWidth="1"/>
    <col min="3338" max="3338" width="9.42578125" style="5" customWidth="1"/>
    <col min="3339" max="3339" width="4.7109375" style="5" bestFit="1" customWidth="1"/>
    <col min="3340" max="3341" width="9.5703125" style="5" customWidth="1"/>
    <col min="3342" max="3344" width="0" style="5" hidden="1" customWidth="1"/>
    <col min="3345" max="3350" width="9.5703125" style="5" customWidth="1"/>
    <col min="3351" max="3352" width="10.42578125" style="5" customWidth="1"/>
    <col min="3353" max="3353" width="9.85546875" style="5" customWidth="1"/>
    <col min="3354" max="3354" width="9.140625" style="5"/>
    <col min="3355" max="3355" width="10.42578125" style="5" customWidth="1"/>
    <col min="3356" max="3584" width="9.140625" style="5"/>
    <col min="3585" max="3585" width="24.5703125" style="5" customWidth="1"/>
    <col min="3586" max="3586" width="10.140625" style="5" customWidth="1"/>
    <col min="3587" max="3587" width="4.42578125" style="5" customWidth="1"/>
    <col min="3588" max="3588" width="11.28515625" style="5" customWidth="1"/>
    <col min="3589" max="3589" width="7" style="5" customWidth="1"/>
    <col min="3590" max="3590" width="13" style="5" customWidth="1"/>
    <col min="3591" max="3591" width="8.7109375" style="5" customWidth="1"/>
    <col min="3592" max="3592" width="7.42578125" style="5" customWidth="1"/>
    <col min="3593" max="3593" width="8.7109375" style="5" bestFit="1" customWidth="1"/>
    <col min="3594" max="3594" width="9.42578125" style="5" customWidth="1"/>
    <col min="3595" max="3595" width="4.7109375" style="5" bestFit="1" customWidth="1"/>
    <col min="3596" max="3597" width="9.5703125" style="5" customWidth="1"/>
    <col min="3598" max="3600" width="0" style="5" hidden="1" customWidth="1"/>
    <col min="3601" max="3606" width="9.5703125" style="5" customWidth="1"/>
    <col min="3607" max="3608" width="10.42578125" style="5" customWidth="1"/>
    <col min="3609" max="3609" width="9.85546875" style="5" customWidth="1"/>
    <col min="3610" max="3610" width="9.140625" style="5"/>
    <col min="3611" max="3611" width="10.42578125" style="5" customWidth="1"/>
    <col min="3612" max="3840" width="9.140625" style="5"/>
    <col min="3841" max="3841" width="24.5703125" style="5" customWidth="1"/>
    <col min="3842" max="3842" width="10.140625" style="5" customWidth="1"/>
    <col min="3843" max="3843" width="4.42578125" style="5" customWidth="1"/>
    <col min="3844" max="3844" width="11.28515625" style="5" customWidth="1"/>
    <col min="3845" max="3845" width="7" style="5" customWidth="1"/>
    <col min="3846" max="3846" width="13" style="5" customWidth="1"/>
    <col min="3847" max="3847" width="8.7109375" style="5" customWidth="1"/>
    <col min="3848" max="3848" width="7.42578125" style="5" customWidth="1"/>
    <col min="3849" max="3849" width="8.7109375" style="5" bestFit="1" customWidth="1"/>
    <col min="3850" max="3850" width="9.42578125" style="5" customWidth="1"/>
    <col min="3851" max="3851" width="4.7109375" style="5" bestFit="1" customWidth="1"/>
    <col min="3852" max="3853" width="9.5703125" style="5" customWidth="1"/>
    <col min="3854" max="3856" width="0" style="5" hidden="1" customWidth="1"/>
    <col min="3857" max="3862" width="9.5703125" style="5" customWidth="1"/>
    <col min="3863" max="3864" width="10.42578125" style="5" customWidth="1"/>
    <col min="3865" max="3865" width="9.85546875" style="5" customWidth="1"/>
    <col min="3866" max="3866" width="9.140625" style="5"/>
    <col min="3867" max="3867" width="10.42578125" style="5" customWidth="1"/>
    <col min="3868" max="4096" width="9.140625" style="5"/>
    <col min="4097" max="4097" width="24.5703125" style="5" customWidth="1"/>
    <col min="4098" max="4098" width="10.140625" style="5" customWidth="1"/>
    <col min="4099" max="4099" width="4.42578125" style="5" customWidth="1"/>
    <col min="4100" max="4100" width="11.28515625" style="5" customWidth="1"/>
    <col min="4101" max="4101" width="7" style="5" customWidth="1"/>
    <col min="4102" max="4102" width="13" style="5" customWidth="1"/>
    <col min="4103" max="4103" width="8.7109375" style="5" customWidth="1"/>
    <col min="4104" max="4104" width="7.42578125" style="5" customWidth="1"/>
    <col min="4105" max="4105" width="8.7109375" style="5" bestFit="1" customWidth="1"/>
    <col min="4106" max="4106" width="9.42578125" style="5" customWidth="1"/>
    <col min="4107" max="4107" width="4.7109375" style="5" bestFit="1" customWidth="1"/>
    <col min="4108" max="4109" width="9.5703125" style="5" customWidth="1"/>
    <col min="4110" max="4112" width="0" style="5" hidden="1" customWidth="1"/>
    <col min="4113" max="4118" width="9.5703125" style="5" customWidth="1"/>
    <col min="4119" max="4120" width="10.42578125" style="5" customWidth="1"/>
    <col min="4121" max="4121" width="9.85546875" style="5" customWidth="1"/>
    <col min="4122" max="4122" width="9.140625" style="5"/>
    <col min="4123" max="4123" width="10.42578125" style="5" customWidth="1"/>
    <col min="4124" max="4352" width="9.140625" style="5"/>
    <col min="4353" max="4353" width="24.5703125" style="5" customWidth="1"/>
    <col min="4354" max="4354" width="10.140625" style="5" customWidth="1"/>
    <col min="4355" max="4355" width="4.42578125" style="5" customWidth="1"/>
    <col min="4356" max="4356" width="11.28515625" style="5" customWidth="1"/>
    <col min="4357" max="4357" width="7" style="5" customWidth="1"/>
    <col min="4358" max="4358" width="13" style="5" customWidth="1"/>
    <col min="4359" max="4359" width="8.7109375" style="5" customWidth="1"/>
    <col min="4360" max="4360" width="7.42578125" style="5" customWidth="1"/>
    <col min="4361" max="4361" width="8.7109375" style="5" bestFit="1" customWidth="1"/>
    <col min="4362" max="4362" width="9.42578125" style="5" customWidth="1"/>
    <col min="4363" max="4363" width="4.7109375" style="5" bestFit="1" customWidth="1"/>
    <col min="4364" max="4365" width="9.5703125" style="5" customWidth="1"/>
    <col min="4366" max="4368" width="0" style="5" hidden="1" customWidth="1"/>
    <col min="4369" max="4374" width="9.5703125" style="5" customWidth="1"/>
    <col min="4375" max="4376" width="10.42578125" style="5" customWidth="1"/>
    <col min="4377" max="4377" width="9.85546875" style="5" customWidth="1"/>
    <col min="4378" max="4378" width="9.140625" style="5"/>
    <col min="4379" max="4379" width="10.42578125" style="5" customWidth="1"/>
    <col min="4380" max="4608" width="9.140625" style="5"/>
    <col min="4609" max="4609" width="24.5703125" style="5" customWidth="1"/>
    <col min="4610" max="4610" width="10.140625" style="5" customWidth="1"/>
    <col min="4611" max="4611" width="4.42578125" style="5" customWidth="1"/>
    <col min="4612" max="4612" width="11.28515625" style="5" customWidth="1"/>
    <col min="4613" max="4613" width="7" style="5" customWidth="1"/>
    <col min="4614" max="4614" width="13" style="5" customWidth="1"/>
    <col min="4615" max="4615" width="8.7109375" style="5" customWidth="1"/>
    <col min="4616" max="4616" width="7.42578125" style="5" customWidth="1"/>
    <col min="4617" max="4617" width="8.7109375" style="5" bestFit="1" customWidth="1"/>
    <col min="4618" max="4618" width="9.42578125" style="5" customWidth="1"/>
    <col min="4619" max="4619" width="4.7109375" style="5" bestFit="1" customWidth="1"/>
    <col min="4620" max="4621" width="9.5703125" style="5" customWidth="1"/>
    <col min="4622" max="4624" width="0" style="5" hidden="1" customWidth="1"/>
    <col min="4625" max="4630" width="9.5703125" style="5" customWidth="1"/>
    <col min="4631" max="4632" width="10.42578125" style="5" customWidth="1"/>
    <col min="4633" max="4633" width="9.85546875" style="5" customWidth="1"/>
    <col min="4634" max="4634" width="9.140625" style="5"/>
    <col min="4635" max="4635" width="10.42578125" style="5" customWidth="1"/>
    <col min="4636" max="4864" width="9.140625" style="5"/>
    <col min="4865" max="4865" width="24.5703125" style="5" customWidth="1"/>
    <col min="4866" max="4866" width="10.140625" style="5" customWidth="1"/>
    <col min="4867" max="4867" width="4.42578125" style="5" customWidth="1"/>
    <col min="4868" max="4868" width="11.28515625" style="5" customWidth="1"/>
    <col min="4869" max="4869" width="7" style="5" customWidth="1"/>
    <col min="4870" max="4870" width="13" style="5" customWidth="1"/>
    <col min="4871" max="4871" width="8.7109375" style="5" customWidth="1"/>
    <col min="4872" max="4872" width="7.42578125" style="5" customWidth="1"/>
    <col min="4873" max="4873" width="8.7109375" style="5" bestFit="1" customWidth="1"/>
    <col min="4874" max="4874" width="9.42578125" style="5" customWidth="1"/>
    <col min="4875" max="4875" width="4.7109375" style="5" bestFit="1" customWidth="1"/>
    <col min="4876" max="4877" width="9.5703125" style="5" customWidth="1"/>
    <col min="4878" max="4880" width="0" style="5" hidden="1" customWidth="1"/>
    <col min="4881" max="4886" width="9.5703125" style="5" customWidth="1"/>
    <col min="4887" max="4888" width="10.42578125" style="5" customWidth="1"/>
    <col min="4889" max="4889" width="9.85546875" style="5" customWidth="1"/>
    <col min="4890" max="4890" width="9.140625" style="5"/>
    <col min="4891" max="4891" width="10.42578125" style="5" customWidth="1"/>
    <col min="4892" max="5120" width="9.140625" style="5"/>
    <col min="5121" max="5121" width="24.5703125" style="5" customWidth="1"/>
    <col min="5122" max="5122" width="10.140625" style="5" customWidth="1"/>
    <col min="5123" max="5123" width="4.42578125" style="5" customWidth="1"/>
    <col min="5124" max="5124" width="11.28515625" style="5" customWidth="1"/>
    <col min="5125" max="5125" width="7" style="5" customWidth="1"/>
    <col min="5126" max="5126" width="13" style="5" customWidth="1"/>
    <col min="5127" max="5127" width="8.7109375" style="5" customWidth="1"/>
    <col min="5128" max="5128" width="7.42578125" style="5" customWidth="1"/>
    <col min="5129" max="5129" width="8.7109375" style="5" bestFit="1" customWidth="1"/>
    <col min="5130" max="5130" width="9.42578125" style="5" customWidth="1"/>
    <col min="5131" max="5131" width="4.7109375" style="5" bestFit="1" customWidth="1"/>
    <col min="5132" max="5133" width="9.5703125" style="5" customWidth="1"/>
    <col min="5134" max="5136" width="0" style="5" hidden="1" customWidth="1"/>
    <col min="5137" max="5142" width="9.5703125" style="5" customWidth="1"/>
    <col min="5143" max="5144" width="10.42578125" style="5" customWidth="1"/>
    <col min="5145" max="5145" width="9.85546875" style="5" customWidth="1"/>
    <col min="5146" max="5146" width="9.140625" style="5"/>
    <col min="5147" max="5147" width="10.42578125" style="5" customWidth="1"/>
    <col min="5148" max="5376" width="9.140625" style="5"/>
    <col min="5377" max="5377" width="24.5703125" style="5" customWidth="1"/>
    <col min="5378" max="5378" width="10.140625" style="5" customWidth="1"/>
    <col min="5379" max="5379" width="4.42578125" style="5" customWidth="1"/>
    <col min="5380" max="5380" width="11.28515625" style="5" customWidth="1"/>
    <col min="5381" max="5381" width="7" style="5" customWidth="1"/>
    <col min="5382" max="5382" width="13" style="5" customWidth="1"/>
    <col min="5383" max="5383" width="8.7109375" style="5" customWidth="1"/>
    <col min="5384" max="5384" width="7.42578125" style="5" customWidth="1"/>
    <col min="5385" max="5385" width="8.7109375" style="5" bestFit="1" customWidth="1"/>
    <col min="5386" max="5386" width="9.42578125" style="5" customWidth="1"/>
    <col min="5387" max="5387" width="4.7109375" style="5" bestFit="1" customWidth="1"/>
    <col min="5388" max="5389" width="9.5703125" style="5" customWidth="1"/>
    <col min="5390" max="5392" width="0" style="5" hidden="1" customWidth="1"/>
    <col min="5393" max="5398" width="9.5703125" style="5" customWidth="1"/>
    <col min="5399" max="5400" width="10.42578125" style="5" customWidth="1"/>
    <col min="5401" max="5401" width="9.85546875" style="5" customWidth="1"/>
    <col min="5402" max="5402" width="9.140625" style="5"/>
    <col min="5403" max="5403" width="10.42578125" style="5" customWidth="1"/>
    <col min="5404" max="5632" width="9.140625" style="5"/>
    <col min="5633" max="5633" width="24.5703125" style="5" customWidth="1"/>
    <col min="5634" max="5634" width="10.140625" style="5" customWidth="1"/>
    <col min="5635" max="5635" width="4.42578125" style="5" customWidth="1"/>
    <col min="5636" max="5636" width="11.28515625" style="5" customWidth="1"/>
    <col min="5637" max="5637" width="7" style="5" customWidth="1"/>
    <col min="5638" max="5638" width="13" style="5" customWidth="1"/>
    <col min="5639" max="5639" width="8.7109375" style="5" customWidth="1"/>
    <col min="5640" max="5640" width="7.42578125" style="5" customWidth="1"/>
    <col min="5641" max="5641" width="8.7109375" style="5" bestFit="1" customWidth="1"/>
    <col min="5642" max="5642" width="9.42578125" style="5" customWidth="1"/>
    <col min="5643" max="5643" width="4.7109375" style="5" bestFit="1" customWidth="1"/>
    <col min="5644" max="5645" width="9.5703125" style="5" customWidth="1"/>
    <col min="5646" max="5648" width="0" style="5" hidden="1" customWidth="1"/>
    <col min="5649" max="5654" width="9.5703125" style="5" customWidth="1"/>
    <col min="5655" max="5656" width="10.42578125" style="5" customWidth="1"/>
    <col min="5657" max="5657" width="9.85546875" style="5" customWidth="1"/>
    <col min="5658" max="5658" width="9.140625" style="5"/>
    <col min="5659" max="5659" width="10.42578125" style="5" customWidth="1"/>
    <col min="5660" max="5888" width="9.140625" style="5"/>
    <col min="5889" max="5889" width="24.5703125" style="5" customWidth="1"/>
    <col min="5890" max="5890" width="10.140625" style="5" customWidth="1"/>
    <col min="5891" max="5891" width="4.42578125" style="5" customWidth="1"/>
    <col min="5892" max="5892" width="11.28515625" style="5" customWidth="1"/>
    <col min="5893" max="5893" width="7" style="5" customWidth="1"/>
    <col min="5894" max="5894" width="13" style="5" customWidth="1"/>
    <col min="5895" max="5895" width="8.7109375" style="5" customWidth="1"/>
    <col min="5896" max="5896" width="7.42578125" style="5" customWidth="1"/>
    <col min="5897" max="5897" width="8.7109375" style="5" bestFit="1" customWidth="1"/>
    <col min="5898" max="5898" width="9.42578125" style="5" customWidth="1"/>
    <col min="5899" max="5899" width="4.7109375" style="5" bestFit="1" customWidth="1"/>
    <col min="5900" max="5901" width="9.5703125" style="5" customWidth="1"/>
    <col min="5902" max="5904" width="0" style="5" hidden="1" customWidth="1"/>
    <col min="5905" max="5910" width="9.5703125" style="5" customWidth="1"/>
    <col min="5911" max="5912" width="10.42578125" style="5" customWidth="1"/>
    <col min="5913" max="5913" width="9.85546875" style="5" customWidth="1"/>
    <col min="5914" max="5914" width="9.140625" style="5"/>
    <col min="5915" max="5915" width="10.42578125" style="5" customWidth="1"/>
    <col min="5916" max="6144" width="9.140625" style="5"/>
    <col min="6145" max="6145" width="24.5703125" style="5" customWidth="1"/>
    <col min="6146" max="6146" width="10.140625" style="5" customWidth="1"/>
    <col min="6147" max="6147" width="4.42578125" style="5" customWidth="1"/>
    <col min="6148" max="6148" width="11.28515625" style="5" customWidth="1"/>
    <col min="6149" max="6149" width="7" style="5" customWidth="1"/>
    <col min="6150" max="6150" width="13" style="5" customWidth="1"/>
    <col min="6151" max="6151" width="8.7109375" style="5" customWidth="1"/>
    <col min="6152" max="6152" width="7.42578125" style="5" customWidth="1"/>
    <col min="6153" max="6153" width="8.7109375" style="5" bestFit="1" customWidth="1"/>
    <col min="6154" max="6154" width="9.42578125" style="5" customWidth="1"/>
    <col min="6155" max="6155" width="4.7109375" style="5" bestFit="1" customWidth="1"/>
    <col min="6156" max="6157" width="9.5703125" style="5" customWidth="1"/>
    <col min="6158" max="6160" width="0" style="5" hidden="1" customWidth="1"/>
    <col min="6161" max="6166" width="9.5703125" style="5" customWidth="1"/>
    <col min="6167" max="6168" width="10.42578125" style="5" customWidth="1"/>
    <col min="6169" max="6169" width="9.85546875" style="5" customWidth="1"/>
    <col min="6170" max="6170" width="9.140625" style="5"/>
    <col min="6171" max="6171" width="10.42578125" style="5" customWidth="1"/>
    <col min="6172" max="6400" width="9.140625" style="5"/>
    <col min="6401" max="6401" width="24.5703125" style="5" customWidth="1"/>
    <col min="6402" max="6402" width="10.140625" style="5" customWidth="1"/>
    <col min="6403" max="6403" width="4.42578125" style="5" customWidth="1"/>
    <col min="6404" max="6404" width="11.28515625" style="5" customWidth="1"/>
    <col min="6405" max="6405" width="7" style="5" customWidth="1"/>
    <col min="6406" max="6406" width="13" style="5" customWidth="1"/>
    <col min="6407" max="6407" width="8.7109375" style="5" customWidth="1"/>
    <col min="6408" max="6408" width="7.42578125" style="5" customWidth="1"/>
    <col min="6409" max="6409" width="8.7109375" style="5" bestFit="1" customWidth="1"/>
    <col min="6410" max="6410" width="9.42578125" style="5" customWidth="1"/>
    <col min="6411" max="6411" width="4.7109375" style="5" bestFit="1" customWidth="1"/>
    <col min="6412" max="6413" width="9.5703125" style="5" customWidth="1"/>
    <col min="6414" max="6416" width="0" style="5" hidden="1" customWidth="1"/>
    <col min="6417" max="6422" width="9.5703125" style="5" customWidth="1"/>
    <col min="6423" max="6424" width="10.42578125" style="5" customWidth="1"/>
    <col min="6425" max="6425" width="9.85546875" style="5" customWidth="1"/>
    <col min="6426" max="6426" width="9.140625" style="5"/>
    <col min="6427" max="6427" width="10.42578125" style="5" customWidth="1"/>
    <col min="6428" max="6656" width="9.140625" style="5"/>
    <col min="6657" max="6657" width="24.5703125" style="5" customWidth="1"/>
    <col min="6658" max="6658" width="10.140625" style="5" customWidth="1"/>
    <col min="6659" max="6659" width="4.42578125" style="5" customWidth="1"/>
    <col min="6660" max="6660" width="11.28515625" style="5" customWidth="1"/>
    <col min="6661" max="6661" width="7" style="5" customWidth="1"/>
    <col min="6662" max="6662" width="13" style="5" customWidth="1"/>
    <col min="6663" max="6663" width="8.7109375" style="5" customWidth="1"/>
    <col min="6664" max="6664" width="7.42578125" style="5" customWidth="1"/>
    <col min="6665" max="6665" width="8.7109375" style="5" bestFit="1" customWidth="1"/>
    <col min="6666" max="6666" width="9.42578125" style="5" customWidth="1"/>
    <col min="6667" max="6667" width="4.7109375" style="5" bestFit="1" customWidth="1"/>
    <col min="6668" max="6669" width="9.5703125" style="5" customWidth="1"/>
    <col min="6670" max="6672" width="0" style="5" hidden="1" customWidth="1"/>
    <col min="6673" max="6678" width="9.5703125" style="5" customWidth="1"/>
    <col min="6679" max="6680" width="10.42578125" style="5" customWidth="1"/>
    <col min="6681" max="6681" width="9.85546875" style="5" customWidth="1"/>
    <col min="6682" max="6682" width="9.140625" style="5"/>
    <col min="6683" max="6683" width="10.42578125" style="5" customWidth="1"/>
    <col min="6684" max="6912" width="9.140625" style="5"/>
    <col min="6913" max="6913" width="24.5703125" style="5" customWidth="1"/>
    <col min="6914" max="6914" width="10.140625" style="5" customWidth="1"/>
    <col min="6915" max="6915" width="4.42578125" style="5" customWidth="1"/>
    <col min="6916" max="6916" width="11.28515625" style="5" customWidth="1"/>
    <col min="6917" max="6917" width="7" style="5" customWidth="1"/>
    <col min="6918" max="6918" width="13" style="5" customWidth="1"/>
    <col min="6919" max="6919" width="8.7109375" style="5" customWidth="1"/>
    <col min="6920" max="6920" width="7.42578125" style="5" customWidth="1"/>
    <col min="6921" max="6921" width="8.7109375" style="5" bestFit="1" customWidth="1"/>
    <col min="6922" max="6922" width="9.42578125" style="5" customWidth="1"/>
    <col min="6923" max="6923" width="4.7109375" style="5" bestFit="1" customWidth="1"/>
    <col min="6924" max="6925" width="9.5703125" style="5" customWidth="1"/>
    <col min="6926" max="6928" width="0" style="5" hidden="1" customWidth="1"/>
    <col min="6929" max="6934" width="9.5703125" style="5" customWidth="1"/>
    <col min="6935" max="6936" width="10.42578125" style="5" customWidth="1"/>
    <col min="6937" max="6937" width="9.85546875" style="5" customWidth="1"/>
    <col min="6938" max="6938" width="9.140625" style="5"/>
    <col min="6939" max="6939" width="10.42578125" style="5" customWidth="1"/>
    <col min="6940" max="7168" width="9.140625" style="5"/>
    <col min="7169" max="7169" width="24.5703125" style="5" customWidth="1"/>
    <col min="7170" max="7170" width="10.140625" style="5" customWidth="1"/>
    <col min="7171" max="7171" width="4.42578125" style="5" customWidth="1"/>
    <col min="7172" max="7172" width="11.28515625" style="5" customWidth="1"/>
    <col min="7173" max="7173" width="7" style="5" customWidth="1"/>
    <col min="7174" max="7174" width="13" style="5" customWidth="1"/>
    <col min="7175" max="7175" width="8.7109375" style="5" customWidth="1"/>
    <col min="7176" max="7176" width="7.42578125" style="5" customWidth="1"/>
    <col min="7177" max="7177" width="8.7109375" style="5" bestFit="1" customWidth="1"/>
    <col min="7178" max="7178" width="9.42578125" style="5" customWidth="1"/>
    <col min="7179" max="7179" width="4.7109375" style="5" bestFit="1" customWidth="1"/>
    <col min="7180" max="7181" width="9.5703125" style="5" customWidth="1"/>
    <col min="7182" max="7184" width="0" style="5" hidden="1" customWidth="1"/>
    <col min="7185" max="7190" width="9.5703125" style="5" customWidth="1"/>
    <col min="7191" max="7192" width="10.42578125" style="5" customWidth="1"/>
    <col min="7193" max="7193" width="9.85546875" style="5" customWidth="1"/>
    <col min="7194" max="7194" width="9.140625" style="5"/>
    <col min="7195" max="7195" width="10.42578125" style="5" customWidth="1"/>
    <col min="7196" max="7424" width="9.140625" style="5"/>
    <col min="7425" max="7425" width="24.5703125" style="5" customWidth="1"/>
    <col min="7426" max="7426" width="10.140625" style="5" customWidth="1"/>
    <col min="7427" max="7427" width="4.42578125" style="5" customWidth="1"/>
    <col min="7428" max="7428" width="11.28515625" style="5" customWidth="1"/>
    <col min="7429" max="7429" width="7" style="5" customWidth="1"/>
    <col min="7430" max="7430" width="13" style="5" customWidth="1"/>
    <col min="7431" max="7431" width="8.7109375" style="5" customWidth="1"/>
    <col min="7432" max="7432" width="7.42578125" style="5" customWidth="1"/>
    <col min="7433" max="7433" width="8.7109375" style="5" bestFit="1" customWidth="1"/>
    <col min="7434" max="7434" width="9.42578125" style="5" customWidth="1"/>
    <col min="7435" max="7435" width="4.7109375" style="5" bestFit="1" customWidth="1"/>
    <col min="7436" max="7437" width="9.5703125" style="5" customWidth="1"/>
    <col min="7438" max="7440" width="0" style="5" hidden="1" customWidth="1"/>
    <col min="7441" max="7446" width="9.5703125" style="5" customWidth="1"/>
    <col min="7447" max="7448" width="10.42578125" style="5" customWidth="1"/>
    <col min="7449" max="7449" width="9.85546875" style="5" customWidth="1"/>
    <col min="7450" max="7450" width="9.140625" style="5"/>
    <col min="7451" max="7451" width="10.42578125" style="5" customWidth="1"/>
    <col min="7452" max="7680" width="9.140625" style="5"/>
    <col min="7681" max="7681" width="24.5703125" style="5" customWidth="1"/>
    <col min="7682" max="7682" width="10.140625" style="5" customWidth="1"/>
    <col min="7683" max="7683" width="4.42578125" style="5" customWidth="1"/>
    <col min="7684" max="7684" width="11.28515625" style="5" customWidth="1"/>
    <col min="7685" max="7685" width="7" style="5" customWidth="1"/>
    <col min="7686" max="7686" width="13" style="5" customWidth="1"/>
    <col min="7687" max="7687" width="8.7109375" style="5" customWidth="1"/>
    <col min="7688" max="7688" width="7.42578125" style="5" customWidth="1"/>
    <col min="7689" max="7689" width="8.7109375" style="5" bestFit="1" customWidth="1"/>
    <col min="7690" max="7690" width="9.42578125" style="5" customWidth="1"/>
    <col min="7691" max="7691" width="4.7109375" style="5" bestFit="1" customWidth="1"/>
    <col min="7692" max="7693" width="9.5703125" style="5" customWidth="1"/>
    <col min="7694" max="7696" width="0" style="5" hidden="1" customWidth="1"/>
    <col min="7697" max="7702" width="9.5703125" style="5" customWidth="1"/>
    <col min="7703" max="7704" width="10.42578125" style="5" customWidth="1"/>
    <col min="7705" max="7705" width="9.85546875" style="5" customWidth="1"/>
    <col min="7706" max="7706" width="9.140625" style="5"/>
    <col min="7707" max="7707" width="10.42578125" style="5" customWidth="1"/>
    <col min="7708" max="7936" width="9.140625" style="5"/>
    <col min="7937" max="7937" width="24.5703125" style="5" customWidth="1"/>
    <col min="7938" max="7938" width="10.140625" style="5" customWidth="1"/>
    <col min="7939" max="7939" width="4.42578125" style="5" customWidth="1"/>
    <col min="7940" max="7940" width="11.28515625" style="5" customWidth="1"/>
    <col min="7941" max="7941" width="7" style="5" customWidth="1"/>
    <col min="7942" max="7942" width="13" style="5" customWidth="1"/>
    <col min="7943" max="7943" width="8.7109375" style="5" customWidth="1"/>
    <col min="7944" max="7944" width="7.42578125" style="5" customWidth="1"/>
    <col min="7945" max="7945" width="8.7109375" style="5" bestFit="1" customWidth="1"/>
    <col min="7946" max="7946" width="9.42578125" style="5" customWidth="1"/>
    <col min="7947" max="7947" width="4.7109375" style="5" bestFit="1" customWidth="1"/>
    <col min="7948" max="7949" width="9.5703125" style="5" customWidth="1"/>
    <col min="7950" max="7952" width="0" style="5" hidden="1" customWidth="1"/>
    <col min="7953" max="7958" width="9.5703125" style="5" customWidth="1"/>
    <col min="7959" max="7960" width="10.42578125" style="5" customWidth="1"/>
    <col min="7961" max="7961" width="9.85546875" style="5" customWidth="1"/>
    <col min="7962" max="7962" width="9.140625" style="5"/>
    <col min="7963" max="7963" width="10.42578125" style="5" customWidth="1"/>
    <col min="7964" max="8192" width="9.140625" style="5"/>
    <col min="8193" max="8193" width="24.5703125" style="5" customWidth="1"/>
    <col min="8194" max="8194" width="10.140625" style="5" customWidth="1"/>
    <col min="8195" max="8195" width="4.42578125" style="5" customWidth="1"/>
    <col min="8196" max="8196" width="11.28515625" style="5" customWidth="1"/>
    <col min="8197" max="8197" width="7" style="5" customWidth="1"/>
    <col min="8198" max="8198" width="13" style="5" customWidth="1"/>
    <col min="8199" max="8199" width="8.7109375" style="5" customWidth="1"/>
    <col min="8200" max="8200" width="7.42578125" style="5" customWidth="1"/>
    <col min="8201" max="8201" width="8.7109375" style="5" bestFit="1" customWidth="1"/>
    <col min="8202" max="8202" width="9.42578125" style="5" customWidth="1"/>
    <col min="8203" max="8203" width="4.7109375" style="5" bestFit="1" customWidth="1"/>
    <col min="8204" max="8205" width="9.5703125" style="5" customWidth="1"/>
    <col min="8206" max="8208" width="0" style="5" hidden="1" customWidth="1"/>
    <col min="8209" max="8214" width="9.5703125" style="5" customWidth="1"/>
    <col min="8215" max="8216" width="10.42578125" style="5" customWidth="1"/>
    <col min="8217" max="8217" width="9.85546875" style="5" customWidth="1"/>
    <col min="8218" max="8218" width="9.140625" style="5"/>
    <col min="8219" max="8219" width="10.42578125" style="5" customWidth="1"/>
    <col min="8220" max="8448" width="9.140625" style="5"/>
    <col min="8449" max="8449" width="24.5703125" style="5" customWidth="1"/>
    <col min="8450" max="8450" width="10.140625" style="5" customWidth="1"/>
    <col min="8451" max="8451" width="4.42578125" style="5" customWidth="1"/>
    <col min="8452" max="8452" width="11.28515625" style="5" customWidth="1"/>
    <col min="8453" max="8453" width="7" style="5" customWidth="1"/>
    <col min="8454" max="8454" width="13" style="5" customWidth="1"/>
    <col min="8455" max="8455" width="8.7109375" style="5" customWidth="1"/>
    <col min="8456" max="8456" width="7.42578125" style="5" customWidth="1"/>
    <col min="8457" max="8457" width="8.7109375" style="5" bestFit="1" customWidth="1"/>
    <col min="8458" max="8458" width="9.42578125" style="5" customWidth="1"/>
    <col min="8459" max="8459" width="4.7109375" style="5" bestFit="1" customWidth="1"/>
    <col min="8460" max="8461" width="9.5703125" style="5" customWidth="1"/>
    <col min="8462" max="8464" width="0" style="5" hidden="1" customWidth="1"/>
    <col min="8465" max="8470" width="9.5703125" style="5" customWidth="1"/>
    <col min="8471" max="8472" width="10.42578125" style="5" customWidth="1"/>
    <col min="8473" max="8473" width="9.85546875" style="5" customWidth="1"/>
    <col min="8474" max="8474" width="9.140625" style="5"/>
    <col min="8475" max="8475" width="10.42578125" style="5" customWidth="1"/>
    <col min="8476" max="8704" width="9.140625" style="5"/>
    <col min="8705" max="8705" width="24.5703125" style="5" customWidth="1"/>
    <col min="8706" max="8706" width="10.140625" style="5" customWidth="1"/>
    <col min="8707" max="8707" width="4.42578125" style="5" customWidth="1"/>
    <col min="8708" max="8708" width="11.28515625" style="5" customWidth="1"/>
    <col min="8709" max="8709" width="7" style="5" customWidth="1"/>
    <col min="8710" max="8710" width="13" style="5" customWidth="1"/>
    <col min="8711" max="8711" width="8.7109375" style="5" customWidth="1"/>
    <col min="8712" max="8712" width="7.42578125" style="5" customWidth="1"/>
    <col min="8713" max="8713" width="8.7109375" style="5" bestFit="1" customWidth="1"/>
    <col min="8714" max="8714" width="9.42578125" style="5" customWidth="1"/>
    <col min="8715" max="8715" width="4.7109375" style="5" bestFit="1" customWidth="1"/>
    <col min="8716" max="8717" width="9.5703125" style="5" customWidth="1"/>
    <col min="8718" max="8720" width="0" style="5" hidden="1" customWidth="1"/>
    <col min="8721" max="8726" width="9.5703125" style="5" customWidth="1"/>
    <col min="8727" max="8728" width="10.42578125" style="5" customWidth="1"/>
    <col min="8729" max="8729" width="9.85546875" style="5" customWidth="1"/>
    <col min="8730" max="8730" width="9.140625" style="5"/>
    <col min="8731" max="8731" width="10.42578125" style="5" customWidth="1"/>
    <col min="8732" max="8960" width="9.140625" style="5"/>
    <col min="8961" max="8961" width="24.5703125" style="5" customWidth="1"/>
    <col min="8962" max="8962" width="10.140625" style="5" customWidth="1"/>
    <col min="8963" max="8963" width="4.42578125" style="5" customWidth="1"/>
    <col min="8964" max="8964" width="11.28515625" style="5" customWidth="1"/>
    <col min="8965" max="8965" width="7" style="5" customWidth="1"/>
    <col min="8966" max="8966" width="13" style="5" customWidth="1"/>
    <col min="8967" max="8967" width="8.7109375" style="5" customWidth="1"/>
    <col min="8968" max="8968" width="7.42578125" style="5" customWidth="1"/>
    <col min="8969" max="8969" width="8.7109375" style="5" bestFit="1" customWidth="1"/>
    <col min="8970" max="8970" width="9.42578125" style="5" customWidth="1"/>
    <col min="8971" max="8971" width="4.7109375" style="5" bestFit="1" customWidth="1"/>
    <col min="8972" max="8973" width="9.5703125" style="5" customWidth="1"/>
    <col min="8974" max="8976" width="0" style="5" hidden="1" customWidth="1"/>
    <col min="8977" max="8982" width="9.5703125" style="5" customWidth="1"/>
    <col min="8983" max="8984" width="10.42578125" style="5" customWidth="1"/>
    <col min="8985" max="8985" width="9.85546875" style="5" customWidth="1"/>
    <col min="8986" max="8986" width="9.140625" style="5"/>
    <col min="8987" max="8987" width="10.42578125" style="5" customWidth="1"/>
    <col min="8988" max="9216" width="9.140625" style="5"/>
    <col min="9217" max="9217" width="24.5703125" style="5" customWidth="1"/>
    <col min="9218" max="9218" width="10.140625" style="5" customWidth="1"/>
    <col min="9219" max="9219" width="4.42578125" style="5" customWidth="1"/>
    <col min="9220" max="9220" width="11.28515625" style="5" customWidth="1"/>
    <col min="9221" max="9221" width="7" style="5" customWidth="1"/>
    <col min="9222" max="9222" width="13" style="5" customWidth="1"/>
    <col min="9223" max="9223" width="8.7109375" style="5" customWidth="1"/>
    <col min="9224" max="9224" width="7.42578125" style="5" customWidth="1"/>
    <col min="9225" max="9225" width="8.7109375" style="5" bestFit="1" customWidth="1"/>
    <col min="9226" max="9226" width="9.42578125" style="5" customWidth="1"/>
    <col min="9227" max="9227" width="4.7109375" style="5" bestFit="1" customWidth="1"/>
    <col min="9228" max="9229" width="9.5703125" style="5" customWidth="1"/>
    <col min="9230" max="9232" width="0" style="5" hidden="1" customWidth="1"/>
    <col min="9233" max="9238" width="9.5703125" style="5" customWidth="1"/>
    <col min="9239" max="9240" width="10.42578125" style="5" customWidth="1"/>
    <col min="9241" max="9241" width="9.85546875" style="5" customWidth="1"/>
    <col min="9242" max="9242" width="9.140625" style="5"/>
    <col min="9243" max="9243" width="10.42578125" style="5" customWidth="1"/>
    <col min="9244" max="9472" width="9.140625" style="5"/>
    <col min="9473" max="9473" width="24.5703125" style="5" customWidth="1"/>
    <col min="9474" max="9474" width="10.140625" style="5" customWidth="1"/>
    <col min="9475" max="9475" width="4.42578125" style="5" customWidth="1"/>
    <col min="9476" max="9476" width="11.28515625" style="5" customWidth="1"/>
    <col min="9477" max="9477" width="7" style="5" customWidth="1"/>
    <col min="9478" max="9478" width="13" style="5" customWidth="1"/>
    <col min="9479" max="9479" width="8.7109375" style="5" customWidth="1"/>
    <col min="9480" max="9480" width="7.42578125" style="5" customWidth="1"/>
    <col min="9481" max="9481" width="8.7109375" style="5" bestFit="1" customWidth="1"/>
    <col min="9482" max="9482" width="9.42578125" style="5" customWidth="1"/>
    <col min="9483" max="9483" width="4.7109375" style="5" bestFit="1" customWidth="1"/>
    <col min="9484" max="9485" width="9.5703125" style="5" customWidth="1"/>
    <col min="9486" max="9488" width="0" style="5" hidden="1" customWidth="1"/>
    <col min="9489" max="9494" width="9.5703125" style="5" customWidth="1"/>
    <col min="9495" max="9496" width="10.42578125" style="5" customWidth="1"/>
    <col min="9497" max="9497" width="9.85546875" style="5" customWidth="1"/>
    <col min="9498" max="9498" width="9.140625" style="5"/>
    <col min="9499" max="9499" width="10.42578125" style="5" customWidth="1"/>
    <col min="9500" max="9728" width="9.140625" style="5"/>
    <col min="9729" max="9729" width="24.5703125" style="5" customWidth="1"/>
    <col min="9730" max="9730" width="10.140625" style="5" customWidth="1"/>
    <col min="9731" max="9731" width="4.42578125" style="5" customWidth="1"/>
    <col min="9732" max="9732" width="11.28515625" style="5" customWidth="1"/>
    <col min="9733" max="9733" width="7" style="5" customWidth="1"/>
    <col min="9734" max="9734" width="13" style="5" customWidth="1"/>
    <col min="9735" max="9735" width="8.7109375" style="5" customWidth="1"/>
    <col min="9736" max="9736" width="7.42578125" style="5" customWidth="1"/>
    <col min="9737" max="9737" width="8.7109375" style="5" bestFit="1" customWidth="1"/>
    <col min="9738" max="9738" width="9.42578125" style="5" customWidth="1"/>
    <col min="9739" max="9739" width="4.7109375" style="5" bestFit="1" customWidth="1"/>
    <col min="9740" max="9741" width="9.5703125" style="5" customWidth="1"/>
    <col min="9742" max="9744" width="0" style="5" hidden="1" customWidth="1"/>
    <col min="9745" max="9750" width="9.5703125" style="5" customWidth="1"/>
    <col min="9751" max="9752" width="10.42578125" style="5" customWidth="1"/>
    <col min="9753" max="9753" width="9.85546875" style="5" customWidth="1"/>
    <col min="9754" max="9754" width="9.140625" style="5"/>
    <col min="9755" max="9755" width="10.42578125" style="5" customWidth="1"/>
    <col min="9756" max="9984" width="9.140625" style="5"/>
    <col min="9985" max="9985" width="24.5703125" style="5" customWidth="1"/>
    <col min="9986" max="9986" width="10.140625" style="5" customWidth="1"/>
    <col min="9987" max="9987" width="4.42578125" style="5" customWidth="1"/>
    <col min="9988" max="9988" width="11.28515625" style="5" customWidth="1"/>
    <col min="9989" max="9989" width="7" style="5" customWidth="1"/>
    <col min="9990" max="9990" width="13" style="5" customWidth="1"/>
    <col min="9991" max="9991" width="8.7109375" style="5" customWidth="1"/>
    <col min="9992" max="9992" width="7.42578125" style="5" customWidth="1"/>
    <col min="9993" max="9993" width="8.7109375" style="5" bestFit="1" customWidth="1"/>
    <col min="9994" max="9994" width="9.42578125" style="5" customWidth="1"/>
    <col min="9995" max="9995" width="4.7109375" style="5" bestFit="1" customWidth="1"/>
    <col min="9996" max="9997" width="9.5703125" style="5" customWidth="1"/>
    <col min="9998" max="10000" width="0" style="5" hidden="1" customWidth="1"/>
    <col min="10001" max="10006" width="9.5703125" style="5" customWidth="1"/>
    <col min="10007" max="10008" width="10.42578125" style="5" customWidth="1"/>
    <col min="10009" max="10009" width="9.85546875" style="5" customWidth="1"/>
    <col min="10010" max="10010" width="9.140625" style="5"/>
    <col min="10011" max="10011" width="10.42578125" style="5" customWidth="1"/>
    <col min="10012" max="10240" width="9.140625" style="5"/>
    <col min="10241" max="10241" width="24.5703125" style="5" customWidth="1"/>
    <col min="10242" max="10242" width="10.140625" style="5" customWidth="1"/>
    <col min="10243" max="10243" width="4.42578125" style="5" customWidth="1"/>
    <col min="10244" max="10244" width="11.28515625" style="5" customWidth="1"/>
    <col min="10245" max="10245" width="7" style="5" customWidth="1"/>
    <col min="10246" max="10246" width="13" style="5" customWidth="1"/>
    <col min="10247" max="10247" width="8.7109375" style="5" customWidth="1"/>
    <col min="10248" max="10248" width="7.42578125" style="5" customWidth="1"/>
    <col min="10249" max="10249" width="8.7109375" style="5" bestFit="1" customWidth="1"/>
    <col min="10250" max="10250" width="9.42578125" style="5" customWidth="1"/>
    <col min="10251" max="10251" width="4.7109375" style="5" bestFit="1" customWidth="1"/>
    <col min="10252" max="10253" width="9.5703125" style="5" customWidth="1"/>
    <col min="10254" max="10256" width="0" style="5" hidden="1" customWidth="1"/>
    <col min="10257" max="10262" width="9.5703125" style="5" customWidth="1"/>
    <col min="10263" max="10264" width="10.42578125" style="5" customWidth="1"/>
    <col min="10265" max="10265" width="9.85546875" style="5" customWidth="1"/>
    <col min="10266" max="10266" width="9.140625" style="5"/>
    <col min="10267" max="10267" width="10.42578125" style="5" customWidth="1"/>
    <col min="10268" max="10496" width="9.140625" style="5"/>
    <col min="10497" max="10497" width="24.5703125" style="5" customWidth="1"/>
    <col min="10498" max="10498" width="10.140625" style="5" customWidth="1"/>
    <col min="10499" max="10499" width="4.42578125" style="5" customWidth="1"/>
    <col min="10500" max="10500" width="11.28515625" style="5" customWidth="1"/>
    <col min="10501" max="10501" width="7" style="5" customWidth="1"/>
    <col min="10502" max="10502" width="13" style="5" customWidth="1"/>
    <col min="10503" max="10503" width="8.7109375" style="5" customWidth="1"/>
    <col min="10504" max="10504" width="7.42578125" style="5" customWidth="1"/>
    <col min="10505" max="10505" width="8.7109375" style="5" bestFit="1" customWidth="1"/>
    <col min="10506" max="10506" width="9.42578125" style="5" customWidth="1"/>
    <col min="10507" max="10507" width="4.7109375" style="5" bestFit="1" customWidth="1"/>
    <col min="10508" max="10509" width="9.5703125" style="5" customWidth="1"/>
    <col min="10510" max="10512" width="0" style="5" hidden="1" customWidth="1"/>
    <col min="10513" max="10518" width="9.5703125" style="5" customWidth="1"/>
    <col min="10519" max="10520" width="10.42578125" style="5" customWidth="1"/>
    <col min="10521" max="10521" width="9.85546875" style="5" customWidth="1"/>
    <col min="10522" max="10522" width="9.140625" style="5"/>
    <col min="10523" max="10523" width="10.42578125" style="5" customWidth="1"/>
    <col min="10524" max="10752" width="9.140625" style="5"/>
    <col min="10753" max="10753" width="24.5703125" style="5" customWidth="1"/>
    <col min="10754" max="10754" width="10.140625" style="5" customWidth="1"/>
    <col min="10755" max="10755" width="4.42578125" style="5" customWidth="1"/>
    <col min="10756" max="10756" width="11.28515625" style="5" customWidth="1"/>
    <col min="10757" max="10757" width="7" style="5" customWidth="1"/>
    <col min="10758" max="10758" width="13" style="5" customWidth="1"/>
    <col min="10759" max="10759" width="8.7109375" style="5" customWidth="1"/>
    <col min="10760" max="10760" width="7.42578125" style="5" customWidth="1"/>
    <col min="10761" max="10761" width="8.7109375" style="5" bestFit="1" customWidth="1"/>
    <col min="10762" max="10762" width="9.42578125" style="5" customWidth="1"/>
    <col min="10763" max="10763" width="4.7109375" style="5" bestFit="1" customWidth="1"/>
    <col min="10764" max="10765" width="9.5703125" style="5" customWidth="1"/>
    <col min="10766" max="10768" width="0" style="5" hidden="1" customWidth="1"/>
    <col min="10769" max="10774" width="9.5703125" style="5" customWidth="1"/>
    <col min="10775" max="10776" width="10.42578125" style="5" customWidth="1"/>
    <col min="10777" max="10777" width="9.85546875" style="5" customWidth="1"/>
    <col min="10778" max="10778" width="9.140625" style="5"/>
    <col min="10779" max="10779" width="10.42578125" style="5" customWidth="1"/>
    <col min="10780" max="11008" width="9.140625" style="5"/>
    <col min="11009" max="11009" width="24.5703125" style="5" customWidth="1"/>
    <col min="11010" max="11010" width="10.140625" style="5" customWidth="1"/>
    <col min="11011" max="11011" width="4.42578125" style="5" customWidth="1"/>
    <col min="11012" max="11012" width="11.28515625" style="5" customWidth="1"/>
    <col min="11013" max="11013" width="7" style="5" customWidth="1"/>
    <col min="11014" max="11014" width="13" style="5" customWidth="1"/>
    <col min="11015" max="11015" width="8.7109375" style="5" customWidth="1"/>
    <col min="11016" max="11016" width="7.42578125" style="5" customWidth="1"/>
    <col min="11017" max="11017" width="8.7109375" style="5" bestFit="1" customWidth="1"/>
    <col min="11018" max="11018" width="9.42578125" style="5" customWidth="1"/>
    <col min="11019" max="11019" width="4.7109375" style="5" bestFit="1" customWidth="1"/>
    <col min="11020" max="11021" width="9.5703125" style="5" customWidth="1"/>
    <col min="11022" max="11024" width="0" style="5" hidden="1" customWidth="1"/>
    <col min="11025" max="11030" width="9.5703125" style="5" customWidth="1"/>
    <col min="11031" max="11032" width="10.42578125" style="5" customWidth="1"/>
    <col min="11033" max="11033" width="9.85546875" style="5" customWidth="1"/>
    <col min="11034" max="11034" width="9.140625" style="5"/>
    <col min="11035" max="11035" width="10.42578125" style="5" customWidth="1"/>
    <col min="11036" max="11264" width="9.140625" style="5"/>
    <col min="11265" max="11265" width="24.5703125" style="5" customWidth="1"/>
    <col min="11266" max="11266" width="10.140625" style="5" customWidth="1"/>
    <col min="11267" max="11267" width="4.42578125" style="5" customWidth="1"/>
    <col min="11268" max="11268" width="11.28515625" style="5" customWidth="1"/>
    <col min="11269" max="11269" width="7" style="5" customWidth="1"/>
    <col min="11270" max="11270" width="13" style="5" customWidth="1"/>
    <col min="11271" max="11271" width="8.7109375" style="5" customWidth="1"/>
    <col min="11272" max="11272" width="7.42578125" style="5" customWidth="1"/>
    <col min="11273" max="11273" width="8.7109375" style="5" bestFit="1" customWidth="1"/>
    <col min="11274" max="11274" width="9.42578125" style="5" customWidth="1"/>
    <col min="11275" max="11275" width="4.7109375" style="5" bestFit="1" customWidth="1"/>
    <col min="11276" max="11277" width="9.5703125" style="5" customWidth="1"/>
    <col min="11278" max="11280" width="0" style="5" hidden="1" customWidth="1"/>
    <col min="11281" max="11286" width="9.5703125" style="5" customWidth="1"/>
    <col min="11287" max="11288" width="10.42578125" style="5" customWidth="1"/>
    <col min="11289" max="11289" width="9.85546875" style="5" customWidth="1"/>
    <col min="11290" max="11290" width="9.140625" style="5"/>
    <col min="11291" max="11291" width="10.42578125" style="5" customWidth="1"/>
    <col min="11292" max="11520" width="9.140625" style="5"/>
    <col min="11521" max="11521" width="24.5703125" style="5" customWidth="1"/>
    <col min="11522" max="11522" width="10.140625" style="5" customWidth="1"/>
    <col min="11523" max="11523" width="4.42578125" style="5" customWidth="1"/>
    <col min="11524" max="11524" width="11.28515625" style="5" customWidth="1"/>
    <col min="11525" max="11525" width="7" style="5" customWidth="1"/>
    <col min="11526" max="11526" width="13" style="5" customWidth="1"/>
    <col min="11527" max="11527" width="8.7109375" style="5" customWidth="1"/>
    <col min="11528" max="11528" width="7.42578125" style="5" customWidth="1"/>
    <col min="11529" max="11529" width="8.7109375" style="5" bestFit="1" customWidth="1"/>
    <col min="11530" max="11530" width="9.42578125" style="5" customWidth="1"/>
    <col min="11531" max="11531" width="4.7109375" style="5" bestFit="1" customWidth="1"/>
    <col min="11532" max="11533" width="9.5703125" style="5" customWidth="1"/>
    <col min="11534" max="11536" width="0" style="5" hidden="1" customWidth="1"/>
    <col min="11537" max="11542" width="9.5703125" style="5" customWidth="1"/>
    <col min="11543" max="11544" width="10.42578125" style="5" customWidth="1"/>
    <col min="11545" max="11545" width="9.85546875" style="5" customWidth="1"/>
    <col min="11546" max="11546" width="9.140625" style="5"/>
    <col min="11547" max="11547" width="10.42578125" style="5" customWidth="1"/>
    <col min="11548" max="11776" width="9.140625" style="5"/>
    <col min="11777" max="11777" width="24.5703125" style="5" customWidth="1"/>
    <col min="11778" max="11778" width="10.140625" style="5" customWidth="1"/>
    <col min="11779" max="11779" width="4.42578125" style="5" customWidth="1"/>
    <col min="11780" max="11780" width="11.28515625" style="5" customWidth="1"/>
    <col min="11781" max="11781" width="7" style="5" customWidth="1"/>
    <col min="11782" max="11782" width="13" style="5" customWidth="1"/>
    <col min="11783" max="11783" width="8.7109375" style="5" customWidth="1"/>
    <col min="11784" max="11784" width="7.42578125" style="5" customWidth="1"/>
    <col min="11785" max="11785" width="8.7109375" style="5" bestFit="1" customWidth="1"/>
    <col min="11786" max="11786" width="9.42578125" style="5" customWidth="1"/>
    <col min="11787" max="11787" width="4.7109375" style="5" bestFit="1" customWidth="1"/>
    <col min="11788" max="11789" width="9.5703125" style="5" customWidth="1"/>
    <col min="11790" max="11792" width="0" style="5" hidden="1" customWidth="1"/>
    <col min="11793" max="11798" width="9.5703125" style="5" customWidth="1"/>
    <col min="11799" max="11800" width="10.42578125" style="5" customWidth="1"/>
    <col min="11801" max="11801" width="9.85546875" style="5" customWidth="1"/>
    <col min="11802" max="11802" width="9.140625" style="5"/>
    <col min="11803" max="11803" width="10.42578125" style="5" customWidth="1"/>
    <col min="11804" max="12032" width="9.140625" style="5"/>
    <col min="12033" max="12033" width="24.5703125" style="5" customWidth="1"/>
    <col min="12034" max="12034" width="10.140625" style="5" customWidth="1"/>
    <col min="12035" max="12035" width="4.42578125" style="5" customWidth="1"/>
    <col min="12036" max="12036" width="11.28515625" style="5" customWidth="1"/>
    <col min="12037" max="12037" width="7" style="5" customWidth="1"/>
    <col min="12038" max="12038" width="13" style="5" customWidth="1"/>
    <col min="12039" max="12039" width="8.7109375" style="5" customWidth="1"/>
    <col min="12040" max="12040" width="7.42578125" style="5" customWidth="1"/>
    <col min="12041" max="12041" width="8.7109375" style="5" bestFit="1" customWidth="1"/>
    <col min="12042" max="12042" width="9.42578125" style="5" customWidth="1"/>
    <col min="12043" max="12043" width="4.7109375" style="5" bestFit="1" customWidth="1"/>
    <col min="12044" max="12045" width="9.5703125" style="5" customWidth="1"/>
    <col min="12046" max="12048" width="0" style="5" hidden="1" customWidth="1"/>
    <col min="12049" max="12054" width="9.5703125" style="5" customWidth="1"/>
    <col min="12055" max="12056" width="10.42578125" style="5" customWidth="1"/>
    <col min="12057" max="12057" width="9.85546875" style="5" customWidth="1"/>
    <col min="12058" max="12058" width="9.140625" style="5"/>
    <col min="12059" max="12059" width="10.42578125" style="5" customWidth="1"/>
    <col min="12060" max="12288" width="9.140625" style="5"/>
    <col min="12289" max="12289" width="24.5703125" style="5" customWidth="1"/>
    <col min="12290" max="12290" width="10.140625" style="5" customWidth="1"/>
    <col min="12291" max="12291" width="4.42578125" style="5" customWidth="1"/>
    <col min="12292" max="12292" width="11.28515625" style="5" customWidth="1"/>
    <col min="12293" max="12293" width="7" style="5" customWidth="1"/>
    <col min="12294" max="12294" width="13" style="5" customWidth="1"/>
    <col min="12295" max="12295" width="8.7109375" style="5" customWidth="1"/>
    <col min="12296" max="12296" width="7.42578125" style="5" customWidth="1"/>
    <col min="12297" max="12297" width="8.7109375" style="5" bestFit="1" customWidth="1"/>
    <col min="12298" max="12298" width="9.42578125" style="5" customWidth="1"/>
    <col min="12299" max="12299" width="4.7109375" style="5" bestFit="1" customWidth="1"/>
    <col min="12300" max="12301" width="9.5703125" style="5" customWidth="1"/>
    <col min="12302" max="12304" width="0" style="5" hidden="1" customWidth="1"/>
    <col min="12305" max="12310" width="9.5703125" style="5" customWidth="1"/>
    <col min="12311" max="12312" width="10.42578125" style="5" customWidth="1"/>
    <col min="12313" max="12313" width="9.85546875" style="5" customWidth="1"/>
    <col min="12314" max="12314" width="9.140625" style="5"/>
    <col min="12315" max="12315" width="10.42578125" style="5" customWidth="1"/>
    <col min="12316" max="12544" width="9.140625" style="5"/>
    <col min="12545" max="12545" width="24.5703125" style="5" customWidth="1"/>
    <col min="12546" max="12546" width="10.140625" style="5" customWidth="1"/>
    <col min="12547" max="12547" width="4.42578125" style="5" customWidth="1"/>
    <col min="12548" max="12548" width="11.28515625" style="5" customWidth="1"/>
    <col min="12549" max="12549" width="7" style="5" customWidth="1"/>
    <col min="12550" max="12550" width="13" style="5" customWidth="1"/>
    <col min="12551" max="12551" width="8.7109375" style="5" customWidth="1"/>
    <col min="12552" max="12552" width="7.42578125" style="5" customWidth="1"/>
    <col min="12553" max="12553" width="8.7109375" style="5" bestFit="1" customWidth="1"/>
    <col min="12554" max="12554" width="9.42578125" style="5" customWidth="1"/>
    <col min="12555" max="12555" width="4.7109375" style="5" bestFit="1" customWidth="1"/>
    <col min="12556" max="12557" width="9.5703125" style="5" customWidth="1"/>
    <col min="12558" max="12560" width="0" style="5" hidden="1" customWidth="1"/>
    <col min="12561" max="12566" width="9.5703125" style="5" customWidth="1"/>
    <col min="12567" max="12568" width="10.42578125" style="5" customWidth="1"/>
    <col min="12569" max="12569" width="9.85546875" style="5" customWidth="1"/>
    <col min="12570" max="12570" width="9.140625" style="5"/>
    <col min="12571" max="12571" width="10.42578125" style="5" customWidth="1"/>
    <col min="12572" max="12800" width="9.140625" style="5"/>
    <col min="12801" max="12801" width="24.5703125" style="5" customWidth="1"/>
    <col min="12802" max="12802" width="10.140625" style="5" customWidth="1"/>
    <col min="12803" max="12803" width="4.42578125" style="5" customWidth="1"/>
    <col min="12804" max="12804" width="11.28515625" style="5" customWidth="1"/>
    <col min="12805" max="12805" width="7" style="5" customWidth="1"/>
    <col min="12806" max="12806" width="13" style="5" customWidth="1"/>
    <col min="12807" max="12807" width="8.7109375" style="5" customWidth="1"/>
    <col min="12808" max="12808" width="7.42578125" style="5" customWidth="1"/>
    <col min="12809" max="12809" width="8.7109375" style="5" bestFit="1" customWidth="1"/>
    <col min="12810" max="12810" width="9.42578125" style="5" customWidth="1"/>
    <col min="12811" max="12811" width="4.7109375" style="5" bestFit="1" customWidth="1"/>
    <col min="12812" max="12813" width="9.5703125" style="5" customWidth="1"/>
    <col min="12814" max="12816" width="0" style="5" hidden="1" customWidth="1"/>
    <col min="12817" max="12822" width="9.5703125" style="5" customWidth="1"/>
    <col min="12823" max="12824" width="10.42578125" style="5" customWidth="1"/>
    <col min="12825" max="12825" width="9.85546875" style="5" customWidth="1"/>
    <col min="12826" max="12826" width="9.140625" style="5"/>
    <col min="12827" max="12827" width="10.42578125" style="5" customWidth="1"/>
    <col min="12828" max="13056" width="9.140625" style="5"/>
    <col min="13057" max="13057" width="24.5703125" style="5" customWidth="1"/>
    <col min="13058" max="13058" width="10.140625" style="5" customWidth="1"/>
    <col min="13059" max="13059" width="4.42578125" style="5" customWidth="1"/>
    <col min="13060" max="13060" width="11.28515625" style="5" customWidth="1"/>
    <col min="13061" max="13061" width="7" style="5" customWidth="1"/>
    <col min="13062" max="13062" width="13" style="5" customWidth="1"/>
    <col min="13063" max="13063" width="8.7109375" style="5" customWidth="1"/>
    <col min="13064" max="13064" width="7.42578125" style="5" customWidth="1"/>
    <col min="13065" max="13065" width="8.7109375" style="5" bestFit="1" customWidth="1"/>
    <col min="13066" max="13066" width="9.42578125" style="5" customWidth="1"/>
    <col min="13067" max="13067" width="4.7109375" style="5" bestFit="1" customWidth="1"/>
    <col min="13068" max="13069" width="9.5703125" style="5" customWidth="1"/>
    <col min="13070" max="13072" width="0" style="5" hidden="1" customWidth="1"/>
    <col min="13073" max="13078" width="9.5703125" style="5" customWidth="1"/>
    <col min="13079" max="13080" width="10.42578125" style="5" customWidth="1"/>
    <col min="13081" max="13081" width="9.85546875" style="5" customWidth="1"/>
    <col min="13082" max="13082" width="9.140625" style="5"/>
    <col min="13083" max="13083" width="10.42578125" style="5" customWidth="1"/>
    <col min="13084" max="13312" width="9.140625" style="5"/>
    <col min="13313" max="13313" width="24.5703125" style="5" customWidth="1"/>
    <col min="13314" max="13314" width="10.140625" style="5" customWidth="1"/>
    <col min="13315" max="13315" width="4.42578125" style="5" customWidth="1"/>
    <col min="13316" max="13316" width="11.28515625" style="5" customWidth="1"/>
    <col min="13317" max="13317" width="7" style="5" customWidth="1"/>
    <col min="13318" max="13318" width="13" style="5" customWidth="1"/>
    <col min="13319" max="13319" width="8.7109375" style="5" customWidth="1"/>
    <col min="13320" max="13320" width="7.42578125" style="5" customWidth="1"/>
    <col min="13321" max="13321" width="8.7109375" style="5" bestFit="1" customWidth="1"/>
    <col min="13322" max="13322" width="9.42578125" style="5" customWidth="1"/>
    <col min="13323" max="13323" width="4.7109375" style="5" bestFit="1" customWidth="1"/>
    <col min="13324" max="13325" width="9.5703125" style="5" customWidth="1"/>
    <col min="13326" max="13328" width="0" style="5" hidden="1" customWidth="1"/>
    <col min="13329" max="13334" width="9.5703125" style="5" customWidth="1"/>
    <col min="13335" max="13336" width="10.42578125" style="5" customWidth="1"/>
    <col min="13337" max="13337" width="9.85546875" style="5" customWidth="1"/>
    <col min="13338" max="13338" width="9.140625" style="5"/>
    <col min="13339" max="13339" width="10.42578125" style="5" customWidth="1"/>
    <col min="13340" max="13568" width="9.140625" style="5"/>
    <col min="13569" max="13569" width="24.5703125" style="5" customWidth="1"/>
    <col min="13570" max="13570" width="10.140625" style="5" customWidth="1"/>
    <col min="13571" max="13571" width="4.42578125" style="5" customWidth="1"/>
    <col min="13572" max="13572" width="11.28515625" style="5" customWidth="1"/>
    <col min="13573" max="13573" width="7" style="5" customWidth="1"/>
    <col min="13574" max="13574" width="13" style="5" customWidth="1"/>
    <col min="13575" max="13575" width="8.7109375" style="5" customWidth="1"/>
    <col min="13576" max="13576" width="7.42578125" style="5" customWidth="1"/>
    <col min="13577" max="13577" width="8.7109375" style="5" bestFit="1" customWidth="1"/>
    <col min="13578" max="13578" width="9.42578125" style="5" customWidth="1"/>
    <col min="13579" max="13579" width="4.7109375" style="5" bestFit="1" customWidth="1"/>
    <col min="13580" max="13581" width="9.5703125" style="5" customWidth="1"/>
    <col min="13582" max="13584" width="0" style="5" hidden="1" customWidth="1"/>
    <col min="13585" max="13590" width="9.5703125" style="5" customWidth="1"/>
    <col min="13591" max="13592" width="10.42578125" style="5" customWidth="1"/>
    <col min="13593" max="13593" width="9.85546875" style="5" customWidth="1"/>
    <col min="13594" max="13594" width="9.140625" style="5"/>
    <col min="13595" max="13595" width="10.42578125" style="5" customWidth="1"/>
    <col min="13596" max="13824" width="9.140625" style="5"/>
    <col min="13825" max="13825" width="24.5703125" style="5" customWidth="1"/>
    <col min="13826" max="13826" width="10.140625" style="5" customWidth="1"/>
    <col min="13827" max="13827" width="4.42578125" style="5" customWidth="1"/>
    <col min="13828" max="13828" width="11.28515625" style="5" customWidth="1"/>
    <col min="13829" max="13829" width="7" style="5" customWidth="1"/>
    <col min="13830" max="13830" width="13" style="5" customWidth="1"/>
    <col min="13831" max="13831" width="8.7109375" style="5" customWidth="1"/>
    <col min="13832" max="13832" width="7.42578125" style="5" customWidth="1"/>
    <col min="13833" max="13833" width="8.7109375" style="5" bestFit="1" customWidth="1"/>
    <col min="13834" max="13834" width="9.42578125" style="5" customWidth="1"/>
    <col min="13835" max="13835" width="4.7109375" style="5" bestFit="1" customWidth="1"/>
    <col min="13836" max="13837" width="9.5703125" style="5" customWidth="1"/>
    <col min="13838" max="13840" width="0" style="5" hidden="1" customWidth="1"/>
    <col min="13841" max="13846" width="9.5703125" style="5" customWidth="1"/>
    <col min="13847" max="13848" width="10.42578125" style="5" customWidth="1"/>
    <col min="13849" max="13849" width="9.85546875" style="5" customWidth="1"/>
    <col min="13850" max="13850" width="9.140625" style="5"/>
    <col min="13851" max="13851" width="10.42578125" style="5" customWidth="1"/>
    <col min="13852" max="14080" width="9.140625" style="5"/>
    <col min="14081" max="14081" width="24.5703125" style="5" customWidth="1"/>
    <col min="14082" max="14082" width="10.140625" style="5" customWidth="1"/>
    <col min="14083" max="14083" width="4.42578125" style="5" customWidth="1"/>
    <col min="14084" max="14084" width="11.28515625" style="5" customWidth="1"/>
    <col min="14085" max="14085" width="7" style="5" customWidth="1"/>
    <col min="14086" max="14086" width="13" style="5" customWidth="1"/>
    <col min="14087" max="14087" width="8.7109375" style="5" customWidth="1"/>
    <col min="14088" max="14088" width="7.42578125" style="5" customWidth="1"/>
    <col min="14089" max="14089" width="8.7109375" style="5" bestFit="1" customWidth="1"/>
    <col min="14090" max="14090" width="9.42578125" style="5" customWidth="1"/>
    <col min="14091" max="14091" width="4.7109375" style="5" bestFit="1" customWidth="1"/>
    <col min="14092" max="14093" width="9.5703125" style="5" customWidth="1"/>
    <col min="14094" max="14096" width="0" style="5" hidden="1" customWidth="1"/>
    <col min="14097" max="14102" width="9.5703125" style="5" customWidth="1"/>
    <col min="14103" max="14104" width="10.42578125" style="5" customWidth="1"/>
    <col min="14105" max="14105" width="9.85546875" style="5" customWidth="1"/>
    <col min="14106" max="14106" width="9.140625" style="5"/>
    <col min="14107" max="14107" width="10.42578125" style="5" customWidth="1"/>
    <col min="14108" max="14336" width="9.140625" style="5"/>
    <col min="14337" max="14337" width="24.5703125" style="5" customWidth="1"/>
    <col min="14338" max="14338" width="10.140625" style="5" customWidth="1"/>
    <col min="14339" max="14339" width="4.42578125" style="5" customWidth="1"/>
    <col min="14340" max="14340" width="11.28515625" style="5" customWidth="1"/>
    <col min="14341" max="14341" width="7" style="5" customWidth="1"/>
    <col min="14342" max="14342" width="13" style="5" customWidth="1"/>
    <col min="14343" max="14343" width="8.7109375" style="5" customWidth="1"/>
    <col min="14344" max="14344" width="7.42578125" style="5" customWidth="1"/>
    <col min="14345" max="14345" width="8.7109375" style="5" bestFit="1" customWidth="1"/>
    <col min="14346" max="14346" width="9.42578125" style="5" customWidth="1"/>
    <col min="14347" max="14347" width="4.7109375" style="5" bestFit="1" customWidth="1"/>
    <col min="14348" max="14349" width="9.5703125" style="5" customWidth="1"/>
    <col min="14350" max="14352" width="0" style="5" hidden="1" customWidth="1"/>
    <col min="14353" max="14358" width="9.5703125" style="5" customWidth="1"/>
    <col min="14359" max="14360" width="10.42578125" style="5" customWidth="1"/>
    <col min="14361" max="14361" width="9.85546875" style="5" customWidth="1"/>
    <col min="14362" max="14362" width="9.140625" style="5"/>
    <col min="14363" max="14363" width="10.42578125" style="5" customWidth="1"/>
    <col min="14364" max="14592" width="9.140625" style="5"/>
    <col min="14593" max="14593" width="24.5703125" style="5" customWidth="1"/>
    <col min="14594" max="14594" width="10.140625" style="5" customWidth="1"/>
    <col min="14595" max="14595" width="4.42578125" style="5" customWidth="1"/>
    <col min="14596" max="14596" width="11.28515625" style="5" customWidth="1"/>
    <col min="14597" max="14597" width="7" style="5" customWidth="1"/>
    <col min="14598" max="14598" width="13" style="5" customWidth="1"/>
    <col min="14599" max="14599" width="8.7109375" style="5" customWidth="1"/>
    <col min="14600" max="14600" width="7.42578125" style="5" customWidth="1"/>
    <col min="14601" max="14601" width="8.7109375" style="5" bestFit="1" customWidth="1"/>
    <col min="14602" max="14602" width="9.42578125" style="5" customWidth="1"/>
    <col min="14603" max="14603" width="4.7109375" style="5" bestFit="1" customWidth="1"/>
    <col min="14604" max="14605" width="9.5703125" style="5" customWidth="1"/>
    <col min="14606" max="14608" width="0" style="5" hidden="1" customWidth="1"/>
    <col min="14609" max="14614" width="9.5703125" style="5" customWidth="1"/>
    <col min="14615" max="14616" width="10.42578125" style="5" customWidth="1"/>
    <col min="14617" max="14617" width="9.85546875" style="5" customWidth="1"/>
    <col min="14618" max="14618" width="9.140625" style="5"/>
    <col min="14619" max="14619" width="10.42578125" style="5" customWidth="1"/>
    <col min="14620" max="14848" width="9.140625" style="5"/>
    <col min="14849" max="14849" width="24.5703125" style="5" customWidth="1"/>
    <col min="14850" max="14850" width="10.140625" style="5" customWidth="1"/>
    <col min="14851" max="14851" width="4.42578125" style="5" customWidth="1"/>
    <col min="14852" max="14852" width="11.28515625" style="5" customWidth="1"/>
    <col min="14853" max="14853" width="7" style="5" customWidth="1"/>
    <col min="14854" max="14854" width="13" style="5" customWidth="1"/>
    <col min="14855" max="14855" width="8.7109375" style="5" customWidth="1"/>
    <col min="14856" max="14856" width="7.42578125" style="5" customWidth="1"/>
    <col min="14857" max="14857" width="8.7109375" style="5" bestFit="1" customWidth="1"/>
    <col min="14858" max="14858" width="9.42578125" style="5" customWidth="1"/>
    <col min="14859" max="14859" width="4.7109375" style="5" bestFit="1" customWidth="1"/>
    <col min="14860" max="14861" width="9.5703125" style="5" customWidth="1"/>
    <col min="14862" max="14864" width="0" style="5" hidden="1" customWidth="1"/>
    <col min="14865" max="14870" width="9.5703125" style="5" customWidth="1"/>
    <col min="14871" max="14872" width="10.42578125" style="5" customWidth="1"/>
    <col min="14873" max="14873" width="9.85546875" style="5" customWidth="1"/>
    <col min="14874" max="14874" width="9.140625" style="5"/>
    <col min="14875" max="14875" width="10.42578125" style="5" customWidth="1"/>
    <col min="14876" max="15104" width="9.140625" style="5"/>
    <col min="15105" max="15105" width="24.5703125" style="5" customWidth="1"/>
    <col min="15106" max="15106" width="10.140625" style="5" customWidth="1"/>
    <col min="15107" max="15107" width="4.42578125" style="5" customWidth="1"/>
    <col min="15108" max="15108" width="11.28515625" style="5" customWidth="1"/>
    <col min="15109" max="15109" width="7" style="5" customWidth="1"/>
    <col min="15110" max="15110" width="13" style="5" customWidth="1"/>
    <col min="15111" max="15111" width="8.7109375" style="5" customWidth="1"/>
    <col min="15112" max="15112" width="7.42578125" style="5" customWidth="1"/>
    <col min="15113" max="15113" width="8.7109375" style="5" bestFit="1" customWidth="1"/>
    <col min="15114" max="15114" width="9.42578125" style="5" customWidth="1"/>
    <col min="15115" max="15115" width="4.7109375" style="5" bestFit="1" customWidth="1"/>
    <col min="15116" max="15117" width="9.5703125" style="5" customWidth="1"/>
    <col min="15118" max="15120" width="0" style="5" hidden="1" customWidth="1"/>
    <col min="15121" max="15126" width="9.5703125" style="5" customWidth="1"/>
    <col min="15127" max="15128" width="10.42578125" style="5" customWidth="1"/>
    <col min="15129" max="15129" width="9.85546875" style="5" customWidth="1"/>
    <col min="15130" max="15130" width="9.140625" style="5"/>
    <col min="15131" max="15131" width="10.42578125" style="5" customWidth="1"/>
    <col min="15132" max="15360" width="9.140625" style="5"/>
    <col min="15361" max="15361" width="24.5703125" style="5" customWidth="1"/>
    <col min="15362" max="15362" width="10.140625" style="5" customWidth="1"/>
    <col min="15363" max="15363" width="4.42578125" style="5" customWidth="1"/>
    <col min="15364" max="15364" width="11.28515625" style="5" customWidth="1"/>
    <col min="15365" max="15365" width="7" style="5" customWidth="1"/>
    <col min="15366" max="15366" width="13" style="5" customWidth="1"/>
    <col min="15367" max="15367" width="8.7109375" style="5" customWidth="1"/>
    <col min="15368" max="15368" width="7.42578125" style="5" customWidth="1"/>
    <col min="15369" max="15369" width="8.7109375" style="5" bestFit="1" customWidth="1"/>
    <col min="15370" max="15370" width="9.42578125" style="5" customWidth="1"/>
    <col min="15371" max="15371" width="4.7109375" style="5" bestFit="1" customWidth="1"/>
    <col min="15372" max="15373" width="9.5703125" style="5" customWidth="1"/>
    <col min="15374" max="15376" width="0" style="5" hidden="1" customWidth="1"/>
    <col min="15377" max="15382" width="9.5703125" style="5" customWidth="1"/>
    <col min="15383" max="15384" width="10.42578125" style="5" customWidth="1"/>
    <col min="15385" max="15385" width="9.85546875" style="5" customWidth="1"/>
    <col min="15386" max="15386" width="9.140625" style="5"/>
    <col min="15387" max="15387" width="10.42578125" style="5" customWidth="1"/>
    <col min="15388" max="15616" width="9.140625" style="5"/>
    <col min="15617" max="15617" width="24.5703125" style="5" customWidth="1"/>
    <col min="15618" max="15618" width="10.140625" style="5" customWidth="1"/>
    <col min="15619" max="15619" width="4.42578125" style="5" customWidth="1"/>
    <col min="15620" max="15620" width="11.28515625" style="5" customWidth="1"/>
    <col min="15621" max="15621" width="7" style="5" customWidth="1"/>
    <col min="15622" max="15622" width="13" style="5" customWidth="1"/>
    <col min="15623" max="15623" width="8.7109375" style="5" customWidth="1"/>
    <col min="15624" max="15624" width="7.42578125" style="5" customWidth="1"/>
    <col min="15625" max="15625" width="8.7109375" style="5" bestFit="1" customWidth="1"/>
    <col min="15626" max="15626" width="9.42578125" style="5" customWidth="1"/>
    <col min="15627" max="15627" width="4.7109375" style="5" bestFit="1" customWidth="1"/>
    <col min="15628" max="15629" width="9.5703125" style="5" customWidth="1"/>
    <col min="15630" max="15632" width="0" style="5" hidden="1" customWidth="1"/>
    <col min="15633" max="15638" width="9.5703125" style="5" customWidth="1"/>
    <col min="15639" max="15640" width="10.42578125" style="5" customWidth="1"/>
    <col min="15641" max="15641" width="9.85546875" style="5" customWidth="1"/>
    <col min="15642" max="15642" width="9.140625" style="5"/>
    <col min="15643" max="15643" width="10.42578125" style="5" customWidth="1"/>
    <col min="15644" max="15872" width="9.140625" style="5"/>
    <col min="15873" max="15873" width="24.5703125" style="5" customWidth="1"/>
    <col min="15874" max="15874" width="10.140625" style="5" customWidth="1"/>
    <col min="15875" max="15875" width="4.42578125" style="5" customWidth="1"/>
    <col min="15876" max="15876" width="11.28515625" style="5" customWidth="1"/>
    <col min="15877" max="15877" width="7" style="5" customWidth="1"/>
    <col min="15878" max="15878" width="13" style="5" customWidth="1"/>
    <col min="15879" max="15879" width="8.7109375" style="5" customWidth="1"/>
    <col min="15880" max="15880" width="7.42578125" style="5" customWidth="1"/>
    <col min="15881" max="15881" width="8.7109375" style="5" bestFit="1" customWidth="1"/>
    <col min="15882" max="15882" width="9.42578125" style="5" customWidth="1"/>
    <col min="15883" max="15883" width="4.7109375" style="5" bestFit="1" customWidth="1"/>
    <col min="15884" max="15885" width="9.5703125" style="5" customWidth="1"/>
    <col min="15886" max="15888" width="0" style="5" hidden="1" customWidth="1"/>
    <col min="15889" max="15894" width="9.5703125" style="5" customWidth="1"/>
    <col min="15895" max="15896" width="10.42578125" style="5" customWidth="1"/>
    <col min="15897" max="15897" width="9.85546875" style="5" customWidth="1"/>
    <col min="15898" max="15898" width="9.140625" style="5"/>
    <col min="15899" max="15899" width="10.42578125" style="5" customWidth="1"/>
    <col min="15900" max="16128" width="9.140625" style="5"/>
    <col min="16129" max="16129" width="24.5703125" style="5" customWidth="1"/>
    <col min="16130" max="16130" width="10.140625" style="5" customWidth="1"/>
    <col min="16131" max="16131" width="4.42578125" style="5" customWidth="1"/>
    <col min="16132" max="16132" width="11.28515625" style="5" customWidth="1"/>
    <col min="16133" max="16133" width="7" style="5" customWidth="1"/>
    <col min="16134" max="16134" width="13" style="5" customWidth="1"/>
    <col min="16135" max="16135" width="8.7109375" style="5" customWidth="1"/>
    <col min="16136" max="16136" width="7.42578125" style="5" customWidth="1"/>
    <col min="16137" max="16137" width="8.7109375" style="5" bestFit="1" customWidth="1"/>
    <col min="16138" max="16138" width="9.42578125" style="5" customWidth="1"/>
    <col min="16139" max="16139" width="4.7109375" style="5" bestFit="1" customWidth="1"/>
    <col min="16140" max="16141" width="9.5703125" style="5" customWidth="1"/>
    <col min="16142" max="16144" width="0" style="5" hidden="1" customWidth="1"/>
    <col min="16145" max="16150" width="9.5703125" style="5" customWidth="1"/>
    <col min="16151" max="16152" width="10.42578125" style="5" customWidth="1"/>
    <col min="16153" max="16153" width="9.85546875" style="5" customWidth="1"/>
    <col min="16154" max="16154" width="9.140625" style="5"/>
    <col min="16155" max="16155" width="10.42578125" style="5" customWidth="1"/>
    <col min="16156" max="16384" width="9.140625" style="5"/>
  </cols>
  <sheetData>
    <row r="1" spans="1:27" x14ac:dyDescent="0.2">
      <c r="A1" s="1" t="s">
        <v>110</v>
      </c>
      <c r="B1" s="2"/>
      <c r="C1" s="2"/>
      <c r="D1" s="2"/>
      <c r="E1" s="2"/>
      <c r="F1" s="2"/>
      <c r="G1" s="3"/>
      <c r="H1" s="2"/>
      <c r="I1" s="2"/>
      <c r="J1" s="1" t="s">
        <v>54</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"&amp;YEAR(A22)</f>
        <v>For the Year Ended April 2019</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2"/>
      <c r="L5" s="88"/>
      <c r="M5" s="88"/>
      <c r="N5" s="82"/>
      <c r="O5" s="81" t="str">
        <f>"Total "&amp;F5</f>
        <v>Total Commodity</v>
      </c>
      <c r="P5" s="82"/>
      <c r="Q5" s="82"/>
      <c r="R5" s="82"/>
      <c r="S5" s="2"/>
      <c r="T5" s="2"/>
      <c r="U5" s="2"/>
      <c r="V5" s="13"/>
      <c r="W5" s="14"/>
      <c r="X5" s="14"/>
      <c r="Y5" s="14"/>
      <c r="AA5" s="14"/>
    </row>
    <row r="6" spans="1:27" s="16" customFormat="1" ht="11.25" x14ac:dyDescent="0.2">
      <c r="A6" s="15"/>
      <c r="B6" s="12"/>
      <c r="C6" s="12"/>
      <c r="D6" s="12" t="s">
        <v>2</v>
      </c>
      <c r="E6" s="12"/>
      <c r="F6" s="12" t="s">
        <v>3</v>
      </c>
      <c r="G6" s="12"/>
      <c r="H6" s="12"/>
      <c r="I6" s="12"/>
      <c r="J6" s="12" t="s">
        <v>4</v>
      </c>
      <c r="K6" s="12"/>
      <c r="L6" s="84"/>
      <c r="M6" s="84"/>
      <c r="N6" s="84"/>
      <c r="O6" s="83" t="str">
        <f>+F6</f>
        <v>Revenue</v>
      </c>
      <c r="P6" s="84"/>
      <c r="Q6" s="84"/>
      <c r="R6" s="84"/>
    </row>
    <row r="7" spans="1:27" s="16" customFormat="1" ht="11.25" x14ac:dyDescent="0.2">
      <c r="A7" s="15" t="s">
        <v>5</v>
      </c>
      <c r="B7" s="219" t="s">
        <v>6</v>
      </c>
      <c r="C7" s="12"/>
      <c r="D7" s="12" t="s">
        <v>3</v>
      </c>
      <c r="E7" s="12"/>
      <c r="F7" s="12" t="s">
        <v>7</v>
      </c>
      <c r="G7" s="12"/>
      <c r="H7" s="12"/>
      <c r="I7" s="12"/>
      <c r="J7" s="12" t="s">
        <v>6</v>
      </c>
      <c r="K7" s="12"/>
      <c r="L7" s="84"/>
      <c r="M7" s="84"/>
      <c r="N7" s="84"/>
      <c r="O7" s="83" t="str">
        <f>+F7</f>
        <v>per Customer</v>
      </c>
      <c r="P7" s="84"/>
      <c r="Q7" s="84"/>
      <c r="R7" s="84"/>
    </row>
    <row r="8" spans="1:27" s="16" customFormat="1" ht="11.25" x14ac:dyDescent="0.2">
      <c r="A8" s="203">
        <f>'[3]Single Family'!$C$6</f>
        <v>43221</v>
      </c>
      <c r="B8" s="218">
        <v>18459</v>
      </c>
      <c r="C8" s="18"/>
      <c r="D8" s="216">
        <f>[3]Value!O6</f>
        <v>559.74409661499431</v>
      </c>
      <c r="E8" s="18"/>
      <c r="F8" s="16">
        <f>ROUND(D8/B8,2)</f>
        <v>0.03</v>
      </c>
      <c r="G8" s="18"/>
      <c r="H8" s="18"/>
      <c r="I8" s="18"/>
      <c r="J8" s="14">
        <f>+B8</f>
        <v>18459</v>
      </c>
      <c r="K8" s="13">
        <f>YEAR(A8)</f>
        <v>2018</v>
      </c>
      <c r="L8" s="84"/>
      <c r="M8" s="84"/>
      <c r="N8" s="84"/>
      <c r="O8" s="85">
        <f>VLOOKUP(A8,[3]Value!$A$6:$O$17,13,FALSE)</f>
        <v>1119.4881932299886</v>
      </c>
      <c r="P8" s="84"/>
      <c r="Q8" s="84"/>
      <c r="R8" s="84"/>
    </row>
    <row r="9" spans="1:27" s="16" customFormat="1" ht="11.25" x14ac:dyDescent="0.2">
      <c r="A9" s="17">
        <f>EOMONTH(A8,1)</f>
        <v>43281</v>
      </c>
      <c r="B9" s="217">
        <v>18468</v>
      </c>
      <c r="C9" s="19"/>
      <c r="D9" s="216">
        <f>[3]Value!O7</f>
        <v>3580.3094069999961</v>
      </c>
      <c r="E9" s="14"/>
      <c r="F9" s="16">
        <f>ROUND(D9/B9,2)</f>
        <v>0.19</v>
      </c>
      <c r="G9" s="14"/>
      <c r="H9" s="14"/>
      <c r="I9" s="14"/>
      <c r="J9" s="14">
        <f>+B9</f>
        <v>18468</v>
      </c>
      <c r="K9" s="13">
        <f>YEAR(A9)</f>
        <v>2018</v>
      </c>
      <c r="L9" s="84"/>
      <c r="M9" s="84"/>
      <c r="N9" s="84"/>
      <c r="O9" s="85">
        <f>VLOOKUP(A9,[3]Value!$A$6:$O$17,13,FALSE)</f>
        <v>7160.6188139999922</v>
      </c>
      <c r="P9" s="84"/>
      <c r="Q9" s="84"/>
      <c r="R9" s="84"/>
    </row>
    <row r="10" spans="1:27" s="16" customFormat="1" ht="11.25" x14ac:dyDescent="0.2">
      <c r="A10" s="17">
        <f>EOMONTH(A9,1)</f>
        <v>43312</v>
      </c>
      <c r="B10" s="217">
        <v>18505</v>
      </c>
      <c r="C10" s="14"/>
      <c r="D10" s="216">
        <f>[3]Value!O8</f>
        <v>5290.8440775449963</v>
      </c>
      <c r="E10" s="14"/>
      <c r="F10" s="16">
        <f>ROUND(D10/B10,2)</f>
        <v>0.28999999999999998</v>
      </c>
      <c r="G10" s="14"/>
      <c r="H10" s="14"/>
      <c r="I10" s="14"/>
      <c r="J10" s="14">
        <f>+B10</f>
        <v>18505</v>
      </c>
      <c r="K10" s="13">
        <f>YEAR(A10)</f>
        <v>2018</v>
      </c>
      <c r="L10" s="84"/>
      <c r="M10" s="84"/>
      <c r="N10" s="84"/>
      <c r="O10" s="85">
        <f>VLOOKUP(A10,[3]Value!$A$6:$O$17,13,FALSE)</f>
        <v>10581.688155089993</v>
      </c>
      <c r="P10" s="84"/>
      <c r="Q10" s="84"/>
      <c r="R10" s="84"/>
    </row>
    <row r="11" spans="1:27" s="16" customFormat="1" ht="11.25" x14ac:dyDescent="0.2">
      <c r="A11" s="17"/>
      <c r="B11" s="14"/>
      <c r="C11" s="14"/>
      <c r="E11" s="14"/>
      <c r="G11" s="14"/>
      <c r="H11" s="14"/>
      <c r="I11" s="14"/>
      <c r="J11" s="14"/>
      <c r="K11" s="13"/>
      <c r="L11" s="84"/>
      <c r="M11" s="84"/>
      <c r="N11" s="84"/>
      <c r="O11" s="85"/>
      <c r="P11" s="84"/>
      <c r="Q11" s="84"/>
      <c r="R11" s="84"/>
    </row>
    <row r="12" spans="1:27" s="16" customFormat="1" ht="11.25" x14ac:dyDescent="0.2">
      <c r="A12" s="17" t="s">
        <v>67</v>
      </c>
      <c r="B12" s="20">
        <f>SUM(B8:B11)</f>
        <v>55432</v>
      </c>
      <c r="C12" s="19" t="s">
        <v>8</v>
      </c>
      <c r="D12" s="79">
        <f>SUM(D8:D11)</f>
        <v>9430.8975811599867</v>
      </c>
      <c r="E12" s="14"/>
      <c r="G12" s="14"/>
      <c r="H12" s="14"/>
      <c r="I12" s="14"/>
      <c r="J12" s="14"/>
      <c r="K12" s="13"/>
      <c r="L12" s="84"/>
      <c r="M12" s="84"/>
      <c r="N12" s="84"/>
      <c r="O12" s="85"/>
      <c r="P12" s="84"/>
      <c r="Q12" s="84"/>
      <c r="R12" s="84"/>
    </row>
    <row r="13" spans="1:27" s="16" customFormat="1" ht="11.25" x14ac:dyDescent="0.2">
      <c r="A13" s="17"/>
      <c r="B13" s="14"/>
      <c r="C13" s="14"/>
      <c r="E13" s="14"/>
      <c r="G13" s="14"/>
      <c r="H13" s="14"/>
      <c r="I13" s="14"/>
      <c r="J13" s="14"/>
      <c r="K13" s="13"/>
      <c r="L13" s="84"/>
      <c r="M13" s="84"/>
      <c r="N13" s="84"/>
      <c r="O13" s="85"/>
      <c r="P13" s="84"/>
      <c r="Q13" s="84"/>
      <c r="R13" s="84"/>
    </row>
    <row r="14" spans="1:27" s="16" customFormat="1" ht="11.25" x14ac:dyDescent="0.2">
      <c r="A14" s="17">
        <f>EOMONTH(A10,1)</f>
        <v>43343</v>
      </c>
      <c r="B14" s="217">
        <v>18546</v>
      </c>
      <c r="C14" s="14"/>
      <c r="D14" s="216">
        <f>[3]Value!O9</f>
        <v>5238.592019644997</v>
      </c>
      <c r="E14" s="14"/>
      <c r="F14" s="16">
        <f>ROUND(D14/B14,2)</f>
        <v>0.28000000000000003</v>
      </c>
      <c r="G14" s="21"/>
      <c r="H14" s="21"/>
      <c r="I14" s="14"/>
      <c r="J14" s="14">
        <f t="shared" ref="J14:J22" si="0">+B14</f>
        <v>18546</v>
      </c>
      <c r="K14" s="13">
        <f t="shared" ref="K14:K22" si="1">YEAR(A14)</f>
        <v>2018</v>
      </c>
      <c r="L14" s="84"/>
      <c r="M14" s="84"/>
      <c r="N14" s="84"/>
      <c r="O14" s="85">
        <f>VLOOKUP(A14,[3]Value!$A$6:$O$17,13,FALSE)</f>
        <v>10477.184039289994</v>
      </c>
      <c r="P14" s="84"/>
      <c r="Q14" s="84"/>
      <c r="R14" s="84"/>
    </row>
    <row r="15" spans="1:27" s="16" customFormat="1" ht="11.25" x14ac:dyDescent="0.2">
      <c r="A15" s="17">
        <f t="shared" ref="A15:A22" si="2">EOMONTH(A14,1)</f>
        <v>43373</v>
      </c>
      <c r="B15" s="217">
        <v>18444</v>
      </c>
      <c r="C15" s="14"/>
      <c r="D15" s="216">
        <f>[3]Value!O10</f>
        <v>6053.7573746299968</v>
      </c>
      <c r="E15" s="14"/>
      <c r="F15" s="16">
        <f>ROUND(D15/B15,2)</f>
        <v>0.33</v>
      </c>
      <c r="G15" s="21"/>
      <c r="H15" s="21"/>
      <c r="I15" s="14"/>
      <c r="J15" s="14">
        <f t="shared" si="0"/>
        <v>18444</v>
      </c>
      <c r="K15" s="13">
        <f t="shared" si="1"/>
        <v>2018</v>
      </c>
      <c r="L15" s="84"/>
      <c r="M15" s="84"/>
      <c r="N15" s="84"/>
      <c r="O15" s="85">
        <f>VLOOKUP(A15,[3]Value!$A$6:$O$17,13,FALSE)</f>
        <v>12107.514749259994</v>
      </c>
      <c r="P15" s="84"/>
      <c r="Q15" s="84"/>
      <c r="R15" s="84"/>
    </row>
    <row r="16" spans="1:27" s="16" customFormat="1" ht="11.25" x14ac:dyDescent="0.2">
      <c r="A16" s="17">
        <f t="shared" si="2"/>
        <v>43404</v>
      </c>
      <c r="B16" s="217">
        <v>18459</v>
      </c>
      <c r="C16" s="14"/>
      <c r="D16" s="216">
        <f>[3]Value!O11</f>
        <v>7517.7177173699965</v>
      </c>
      <c r="E16" s="14"/>
      <c r="F16" s="16">
        <f>ROUND(D16/B16,2)</f>
        <v>0.41</v>
      </c>
      <c r="G16" s="21"/>
      <c r="H16" s="21"/>
      <c r="I16" s="14"/>
      <c r="J16" s="14">
        <f t="shared" si="0"/>
        <v>18459</v>
      </c>
      <c r="K16" s="13">
        <f t="shared" si="1"/>
        <v>2018</v>
      </c>
      <c r="L16" s="84"/>
      <c r="M16" s="84"/>
      <c r="N16" s="84"/>
      <c r="O16" s="85">
        <f>VLOOKUP(A16,[3]Value!$A$6:$O$17,13,FALSE)</f>
        <v>15035.435434739993</v>
      </c>
      <c r="P16" s="84"/>
      <c r="Q16" s="84"/>
      <c r="R16" s="84"/>
    </row>
    <row r="17" spans="1:28" s="16" customFormat="1" ht="11.25" x14ac:dyDescent="0.2">
      <c r="A17" s="17">
        <f t="shared" si="2"/>
        <v>43434</v>
      </c>
      <c r="B17" s="217"/>
      <c r="C17" s="14"/>
      <c r="D17" s="216">
        <f>[3]Value!O12</f>
        <v>0</v>
      </c>
      <c r="E17" s="14"/>
      <c r="G17" s="21"/>
      <c r="H17" s="21"/>
      <c r="I17" s="14"/>
      <c r="J17" s="14">
        <f t="shared" si="0"/>
        <v>0</v>
      </c>
      <c r="K17" s="13">
        <f t="shared" si="1"/>
        <v>2018</v>
      </c>
      <c r="L17" s="84"/>
      <c r="M17" s="84"/>
      <c r="N17" s="84"/>
      <c r="O17" s="85">
        <f>VLOOKUP(A17,[3]Value!$A$6:$O$17,13,FALSE)</f>
        <v>0</v>
      </c>
      <c r="P17" s="84"/>
      <c r="Q17" s="84"/>
      <c r="R17" s="84"/>
    </row>
    <row r="18" spans="1:28" s="16" customFormat="1" ht="11.25" x14ac:dyDescent="0.2">
      <c r="A18" s="17">
        <f t="shared" si="2"/>
        <v>43465</v>
      </c>
      <c r="B18" s="217"/>
      <c r="C18" s="14"/>
      <c r="D18" s="216">
        <f>[3]Value!O13</f>
        <v>0</v>
      </c>
      <c r="E18" s="14"/>
      <c r="G18" s="21"/>
      <c r="H18" s="21"/>
      <c r="I18" s="14"/>
      <c r="J18" s="14">
        <f t="shared" si="0"/>
        <v>0</v>
      </c>
      <c r="K18" s="13">
        <f t="shared" si="1"/>
        <v>2018</v>
      </c>
      <c r="L18" s="84"/>
      <c r="M18" s="84"/>
      <c r="N18" s="84"/>
      <c r="O18" s="85">
        <f>VLOOKUP(A18,[3]Value!$A$6:$O$17,13,FALSE)</f>
        <v>0</v>
      </c>
      <c r="P18" s="84"/>
      <c r="Q18" s="84"/>
      <c r="R18" s="84"/>
    </row>
    <row r="19" spans="1:28" s="16" customFormat="1" ht="11.25" x14ac:dyDescent="0.2">
      <c r="A19" s="17">
        <f t="shared" si="2"/>
        <v>43496</v>
      </c>
      <c r="B19" s="217"/>
      <c r="C19" s="14"/>
      <c r="D19" s="216">
        <f>[3]Value!O14</f>
        <v>0</v>
      </c>
      <c r="E19" s="14"/>
      <c r="G19" s="21"/>
      <c r="H19" s="21"/>
      <c r="I19" s="14"/>
      <c r="J19" s="14">
        <f t="shared" si="0"/>
        <v>0</v>
      </c>
      <c r="K19" s="13">
        <f t="shared" si="1"/>
        <v>2019</v>
      </c>
      <c r="L19" s="84"/>
      <c r="M19" s="84"/>
      <c r="N19" s="84"/>
      <c r="O19" s="85">
        <f>VLOOKUP(A19,[3]Value!$A$6:$O$17,13,FALSE)</f>
        <v>0</v>
      </c>
      <c r="P19" s="84"/>
      <c r="Q19" s="84"/>
      <c r="R19" s="84"/>
      <c r="Y19" s="14"/>
      <c r="Z19" s="14"/>
    </row>
    <row r="20" spans="1:28" s="16" customFormat="1" ht="11.25" x14ac:dyDescent="0.2">
      <c r="A20" s="17">
        <f t="shared" si="2"/>
        <v>43524</v>
      </c>
      <c r="B20" s="217"/>
      <c r="C20" s="14"/>
      <c r="D20" s="216">
        <f>[3]Value!O15</f>
        <v>0</v>
      </c>
      <c r="E20" s="14"/>
      <c r="G20" s="21"/>
      <c r="H20" s="21"/>
      <c r="I20" s="14"/>
      <c r="J20" s="14">
        <f t="shared" si="0"/>
        <v>0</v>
      </c>
      <c r="K20" s="13">
        <f t="shared" si="1"/>
        <v>2019</v>
      </c>
      <c r="L20" s="31"/>
      <c r="M20" s="84"/>
      <c r="N20" s="84"/>
      <c r="O20" s="85">
        <f>VLOOKUP(A20,[3]Value!$A$6:$O$17,13,FALSE)</f>
        <v>0</v>
      </c>
      <c r="P20" s="31"/>
      <c r="Q20" s="31"/>
      <c r="R20" s="31"/>
      <c r="S20" s="14"/>
      <c r="T20" s="14"/>
      <c r="U20" s="14"/>
      <c r="V20" s="14"/>
      <c r="W20" s="14"/>
      <c r="X20" s="14"/>
      <c r="Z20" s="14"/>
      <c r="AB20" s="14"/>
    </row>
    <row r="21" spans="1:28" s="16" customFormat="1" ht="11.25" x14ac:dyDescent="0.2">
      <c r="A21" s="17">
        <f t="shared" si="2"/>
        <v>43555</v>
      </c>
      <c r="B21" s="217"/>
      <c r="C21" s="14"/>
      <c r="D21" s="216">
        <f>[3]Value!O16</f>
        <v>0</v>
      </c>
      <c r="E21" s="14"/>
      <c r="G21" s="21"/>
      <c r="H21" s="21"/>
      <c r="I21" s="14"/>
      <c r="J21" s="14">
        <f t="shared" si="0"/>
        <v>0</v>
      </c>
      <c r="K21" s="13">
        <f t="shared" si="1"/>
        <v>2019</v>
      </c>
      <c r="L21" s="84"/>
      <c r="M21" s="84"/>
      <c r="N21" s="84"/>
      <c r="O21" s="85">
        <f>VLOOKUP(A21,[3]Value!$A$6:$O$17,13,FALSE)</f>
        <v>0</v>
      </c>
      <c r="P21" s="84"/>
      <c r="Q21" s="84"/>
      <c r="R21" s="84"/>
    </row>
    <row r="22" spans="1:28" s="16" customFormat="1" ht="11.25" x14ac:dyDescent="0.2">
      <c r="A22" s="17">
        <f t="shared" si="2"/>
        <v>43585</v>
      </c>
      <c r="B22" s="217"/>
      <c r="C22" s="14"/>
      <c r="D22" s="216">
        <f>[3]Value!O17</f>
        <v>0</v>
      </c>
      <c r="E22" s="14"/>
      <c r="G22" s="21"/>
      <c r="H22" s="21"/>
      <c r="I22" s="14"/>
      <c r="J22" s="14">
        <f t="shared" si="0"/>
        <v>0</v>
      </c>
      <c r="K22" s="13">
        <f t="shared" si="1"/>
        <v>2019</v>
      </c>
      <c r="L22" s="84"/>
      <c r="M22" s="84"/>
      <c r="N22" s="84"/>
      <c r="O22" s="85">
        <f>VLOOKUP(A22,[3]Value!$A$6:$O$17,13,FALSE)</f>
        <v>0</v>
      </c>
      <c r="P22" s="84"/>
      <c r="Q22" s="84"/>
      <c r="R22" s="84"/>
    </row>
    <row r="23" spans="1:28" s="16" customFormat="1" ht="11.25" x14ac:dyDescent="0.2">
      <c r="A23" s="17"/>
      <c r="B23" s="14"/>
      <c r="C23" s="14"/>
      <c r="E23" s="14"/>
      <c r="G23" s="14"/>
      <c r="H23" s="14"/>
      <c r="I23" s="14"/>
      <c r="J23" s="14"/>
      <c r="K23" s="13"/>
      <c r="L23" s="84"/>
      <c r="M23" s="84"/>
      <c r="N23" s="84"/>
      <c r="O23" s="86"/>
      <c r="Q23" s="84"/>
      <c r="R23" s="84"/>
    </row>
    <row r="24" spans="1:28" s="16" customFormat="1" ht="11.25" x14ac:dyDescent="0.2">
      <c r="A24" s="17" t="s">
        <v>68</v>
      </c>
      <c r="B24" s="20">
        <f>SUM(B13:B23)</f>
        <v>55449</v>
      </c>
      <c r="C24" s="19" t="s">
        <v>9</v>
      </c>
      <c r="D24" s="79">
        <f>SUM(D13:D23)</f>
        <v>18810.067111644988</v>
      </c>
      <c r="E24" s="14"/>
      <c r="G24" s="14"/>
      <c r="H24" s="14"/>
      <c r="I24" s="14"/>
      <c r="J24" s="14"/>
      <c r="K24" s="13"/>
      <c r="L24" s="84"/>
      <c r="M24" s="84"/>
      <c r="N24" s="84"/>
      <c r="O24" s="86"/>
      <c r="P24" s="87" t="s">
        <v>55</v>
      </c>
      <c r="Q24" s="84"/>
      <c r="R24" s="84"/>
    </row>
    <row r="25" spans="1:28" x14ac:dyDescent="0.2">
      <c r="D25" s="22"/>
      <c r="L25" s="88"/>
      <c r="M25" s="88"/>
      <c r="N25" s="88"/>
      <c r="O25" s="86">
        <f>SUM(O8:O24)</f>
        <v>56481.929385609954</v>
      </c>
      <c r="P25" s="88"/>
      <c r="Q25" s="88"/>
      <c r="R25" s="88"/>
    </row>
    <row r="26" spans="1:28" s="16" customFormat="1" ht="12" thickBot="1" x14ac:dyDescent="0.25">
      <c r="A26" s="23"/>
      <c r="B26" s="24">
        <f>+B12+B24</f>
        <v>110881</v>
      </c>
      <c r="C26" s="19"/>
      <c r="D26" s="93">
        <f>+D12+D24</f>
        <v>28240.964692804977</v>
      </c>
      <c r="E26" s="19" t="s">
        <v>10</v>
      </c>
      <c r="F26" s="21">
        <f>ROUND(D26/B26,3)</f>
        <v>0.255</v>
      </c>
      <c r="H26" s="19"/>
      <c r="I26" s="14"/>
      <c r="J26" s="24">
        <f>SUM(J8:J25)</f>
        <v>110881</v>
      </c>
      <c r="K26" s="19" t="s">
        <v>12</v>
      </c>
      <c r="L26" s="84"/>
      <c r="M26" s="84"/>
      <c r="N26" s="84"/>
      <c r="O26" s="89">
        <f>ROUND(O25/J26,3)</f>
        <v>0.50900000000000001</v>
      </c>
      <c r="P26" s="84" t="s">
        <v>56</v>
      </c>
      <c r="Q26" s="84"/>
      <c r="R26" s="84"/>
    </row>
    <row r="27" spans="1:28" s="16" customFormat="1" ht="12" thickTop="1" x14ac:dyDescent="0.2">
      <c r="B27" s="14"/>
      <c r="C27" s="14"/>
      <c r="D27" s="14"/>
      <c r="E27" s="14"/>
      <c r="F27" s="14"/>
      <c r="G27" s="14"/>
      <c r="H27" s="14"/>
      <c r="I27" s="14"/>
      <c r="J27" s="14"/>
      <c r="K27" s="14"/>
      <c r="L27" s="84"/>
      <c r="M27" s="84"/>
      <c r="N27" s="84"/>
      <c r="O27" s="215">
        <f>+J22</f>
        <v>0</v>
      </c>
      <c r="P27" s="84" t="s">
        <v>57</v>
      </c>
      <c r="Q27" s="84"/>
      <c r="R27" s="84"/>
    </row>
    <row r="28" spans="1:28" s="16" customFormat="1" ht="11.25" x14ac:dyDescent="0.2">
      <c r="A28" s="16" t="s">
        <v>98</v>
      </c>
      <c r="B28" s="14">
        <f>B26</f>
        <v>110881</v>
      </c>
      <c r="C28" s="14"/>
      <c r="D28" s="14">
        <f>D26</f>
        <v>28240.964692804977</v>
      </c>
      <c r="E28" s="14"/>
      <c r="F28" s="21">
        <f>D28/B28</f>
        <v>0.2546961579784181</v>
      </c>
      <c r="G28" s="19" t="s">
        <v>11</v>
      </c>
      <c r="H28" s="14"/>
      <c r="I28" s="14"/>
      <c r="J28" s="14"/>
      <c r="K28" s="14"/>
      <c r="L28" s="84"/>
      <c r="M28" s="84"/>
      <c r="N28" s="84"/>
      <c r="O28" s="214"/>
      <c r="P28" s="84"/>
      <c r="Q28" s="84"/>
      <c r="R28" s="84"/>
    </row>
    <row r="29" spans="1:28" s="16" customFormat="1" ht="11.25" x14ac:dyDescent="0.2">
      <c r="A29" s="16" t="s">
        <v>142</v>
      </c>
      <c r="B29" s="14"/>
      <c r="C29" s="14"/>
      <c r="D29" s="14"/>
      <c r="E29" s="14"/>
      <c r="F29" s="14"/>
      <c r="G29" s="14"/>
      <c r="H29" s="14"/>
      <c r="I29" s="14"/>
      <c r="J29" s="14"/>
      <c r="K29" s="14"/>
      <c r="L29" s="84"/>
      <c r="M29" s="84"/>
      <c r="N29" s="84"/>
      <c r="O29" s="214"/>
      <c r="P29" s="84"/>
      <c r="Q29" s="84"/>
      <c r="R29" s="84"/>
    </row>
    <row r="30" spans="1:28" s="16" customFormat="1" ht="11.25" x14ac:dyDescent="0.2">
      <c r="B30" s="14"/>
      <c r="C30" s="14"/>
      <c r="D30" s="14"/>
      <c r="E30" s="14"/>
      <c r="F30" s="14"/>
      <c r="G30" s="14"/>
      <c r="H30" s="14"/>
      <c r="I30" s="14"/>
      <c r="J30" s="14"/>
      <c r="K30" s="14"/>
      <c r="L30" s="84"/>
      <c r="M30" s="84"/>
      <c r="N30" s="84"/>
      <c r="O30" s="214"/>
      <c r="P30" s="84"/>
      <c r="Q30" s="84"/>
      <c r="R30" s="84"/>
    </row>
    <row r="31" spans="1:28" s="16" customFormat="1" ht="11.25" x14ac:dyDescent="0.2">
      <c r="B31" s="14"/>
      <c r="C31" s="14"/>
      <c r="D31" s="14"/>
      <c r="E31" s="14"/>
      <c r="F31" s="14"/>
      <c r="G31" s="14"/>
      <c r="H31" s="14"/>
      <c r="I31" s="14"/>
      <c r="J31" s="14"/>
      <c r="K31" s="14"/>
      <c r="L31" s="84"/>
      <c r="M31" s="84"/>
      <c r="N31" s="84"/>
      <c r="O31" s="84"/>
      <c r="P31" s="84" t="s">
        <v>58</v>
      </c>
      <c r="Q31" s="84"/>
      <c r="R31" s="84"/>
    </row>
    <row r="32" spans="1:28" s="16" customFormat="1" ht="12" thickBot="1" x14ac:dyDescent="0.25">
      <c r="B32" s="25" t="s">
        <v>13</v>
      </c>
      <c r="C32" s="26"/>
      <c r="D32" s="26"/>
      <c r="E32" s="26"/>
      <c r="F32" s="14"/>
      <c r="G32" s="14"/>
      <c r="H32" s="14"/>
      <c r="I32" s="14"/>
      <c r="J32" s="14"/>
      <c r="K32" s="14"/>
      <c r="L32" s="84"/>
      <c r="M32" s="84"/>
      <c r="N32" s="84"/>
      <c r="O32" s="84"/>
      <c r="P32" s="84"/>
      <c r="Q32" s="84"/>
      <c r="R32" s="84"/>
    </row>
    <row r="33" spans="1:27" s="16" customFormat="1" ht="12" thickTop="1" x14ac:dyDescent="0.2">
      <c r="A33" s="6"/>
      <c r="B33" s="27"/>
      <c r="C33" s="14"/>
      <c r="D33" s="14"/>
      <c r="E33" s="14"/>
      <c r="F33" s="14"/>
      <c r="G33" s="14"/>
      <c r="H33" s="14"/>
      <c r="I33" s="14"/>
      <c r="J33" s="14"/>
      <c r="K33" s="14"/>
      <c r="X33" s="14"/>
      <c r="Y33" s="14"/>
    </row>
    <row r="34" spans="1:27" s="16" customFormat="1" ht="11.25" x14ac:dyDescent="0.2">
      <c r="A34" s="8"/>
      <c r="B34" s="27"/>
      <c r="C34" s="14"/>
      <c r="D34" s="14"/>
      <c r="E34" s="14"/>
      <c r="F34" s="28" t="s">
        <v>14</v>
      </c>
      <c r="G34" s="14">
        <f>ROUND(D26,0)</f>
        <v>28241</v>
      </c>
      <c r="H34" s="19" t="s">
        <v>10</v>
      </c>
      <c r="I34" s="14"/>
      <c r="J34" s="14"/>
      <c r="K34" s="14"/>
    </row>
    <row r="35" spans="1:27" s="13" customFormat="1" ht="11.25" x14ac:dyDescent="0.2">
      <c r="A35" s="29"/>
      <c r="B35" s="27"/>
      <c r="C35" s="14"/>
      <c r="D35" s="14"/>
      <c r="E35" s="14"/>
      <c r="F35" s="14"/>
      <c r="G35" s="14"/>
      <c r="H35" s="19"/>
      <c r="I35" s="14"/>
      <c r="J35" s="14"/>
      <c r="K35" s="14"/>
      <c r="O35" s="16">
        <f>6*O27*O26</f>
        <v>0</v>
      </c>
      <c r="P35" s="13" t="s">
        <v>59</v>
      </c>
      <c r="W35" s="14"/>
      <c r="X35" s="16"/>
      <c r="Y35" s="16"/>
      <c r="AA35" s="14"/>
    </row>
    <row r="36" spans="1:27" s="16" customFormat="1" ht="11.25" x14ac:dyDescent="0.2">
      <c r="B36" s="14" t="s">
        <v>15</v>
      </c>
      <c r="C36" s="14"/>
      <c r="D36" s="14"/>
      <c r="E36" s="14"/>
      <c r="F36" s="30">
        <v>1.0349999999999999</v>
      </c>
      <c r="G36" s="14"/>
      <c r="H36" s="14"/>
      <c r="I36" s="14"/>
      <c r="J36" s="14"/>
      <c r="K36" s="14"/>
      <c r="O36" s="16">
        <f>6*O27*G59</f>
        <v>0</v>
      </c>
      <c r="P36" s="16" t="s">
        <v>60</v>
      </c>
    </row>
    <row r="37" spans="1:27" s="16" customFormat="1" ht="11.25" x14ac:dyDescent="0.2">
      <c r="B37" s="14"/>
      <c r="C37" s="14" t="str">
        <f>"Customers from "&amp;TEXT($A$8,"mm/yy")&amp;" - "&amp;TEXT($A$10,"mm/yy")</f>
        <v>Customers from 05/18 - 07/18</v>
      </c>
      <c r="D37" s="14"/>
      <c r="E37" s="14"/>
      <c r="F37" s="31">
        <f>+B12</f>
        <v>55432</v>
      </c>
      <c r="G37" s="19" t="s">
        <v>8</v>
      </c>
      <c r="H37" s="14"/>
      <c r="I37" s="14"/>
      <c r="J37" s="14"/>
      <c r="K37" s="14"/>
      <c r="O37" s="90" t="e">
        <f>+O36/O35</f>
        <v>#DIV/0!</v>
      </c>
    </row>
    <row r="38" spans="1:27" s="16" customFormat="1" ht="11.25" x14ac:dyDescent="0.2">
      <c r="B38" s="14"/>
      <c r="C38" s="14" t="s">
        <v>16</v>
      </c>
      <c r="D38" s="14"/>
      <c r="E38" s="14"/>
      <c r="F38" s="20">
        <f>ROUND(F36*F37,0)</f>
        <v>57372</v>
      </c>
      <c r="G38" s="19"/>
      <c r="H38" s="14"/>
      <c r="I38" s="14"/>
      <c r="J38" s="14"/>
      <c r="K38" s="14"/>
    </row>
    <row r="39" spans="1:27" s="16" customFormat="1" ht="11.25" x14ac:dyDescent="0.2">
      <c r="B39" s="14"/>
      <c r="C39" s="14"/>
      <c r="D39" s="14"/>
      <c r="E39" s="14"/>
      <c r="F39" s="31"/>
      <c r="G39" s="19"/>
      <c r="H39" s="14"/>
      <c r="I39" s="14"/>
      <c r="J39" s="14"/>
      <c r="K39" s="14"/>
    </row>
    <row r="40" spans="1:27" s="16" customFormat="1" ht="11.25" x14ac:dyDescent="0.2">
      <c r="B40" s="14" t="s">
        <v>15</v>
      </c>
      <c r="C40" s="14"/>
      <c r="D40" s="14"/>
      <c r="E40" s="14"/>
      <c r="F40" s="30">
        <v>0.41499999999999998</v>
      </c>
      <c r="G40" s="14"/>
      <c r="H40" s="14"/>
      <c r="I40" s="14"/>
      <c r="J40" s="14"/>
      <c r="K40" s="14"/>
    </row>
    <row r="41" spans="1:27" s="16" customFormat="1" ht="11.25" x14ac:dyDescent="0.2">
      <c r="B41" s="14"/>
      <c r="C41" s="14" t="str">
        <f>"Customers from "&amp;TEXT($A$14,"mm/yy")&amp;" - "&amp;TEXT($A$22,"mm/yy")</f>
        <v>Customers from 08/18 - 04/19</v>
      </c>
      <c r="D41" s="14"/>
      <c r="E41" s="14"/>
      <c r="F41" s="14">
        <f>+B24</f>
        <v>55449</v>
      </c>
      <c r="G41" s="19" t="s">
        <v>9</v>
      </c>
      <c r="H41" s="14"/>
      <c r="I41" s="14"/>
      <c r="J41" s="14"/>
      <c r="K41" s="14"/>
    </row>
    <row r="42" spans="1:27" s="16" customFormat="1" ht="11.25" x14ac:dyDescent="0.2">
      <c r="B42" s="14"/>
      <c r="C42" s="14" t="s">
        <v>16</v>
      </c>
      <c r="D42" s="14"/>
      <c r="E42" s="14"/>
      <c r="F42" s="20">
        <f>ROUND(F40*F41,0)</f>
        <v>23011</v>
      </c>
      <c r="G42" s="19"/>
      <c r="H42" s="14"/>
      <c r="I42" s="14"/>
      <c r="J42" s="14"/>
      <c r="K42" s="14"/>
    </row>
    <row r="43" spans="1:27" s="16" customFormat="1" ht="11.25" x14ac:dyDescent="0.2">
      <c r="B43" s="14"/>
      <c r="C43" s="14"/>
      <c r="D43" s="14"/>
      <c r="E43" s="14"/>
      <c r="F43" s="32"/>
      <c r="G43" s="19"/>
      <c r="H43" s="14"/>
      <c r="I43" s="14"/>
      <c r="J43" s="14"/>
      <c r="K43" s="14"/>
    </row>
    <row r="44" spans="1:27" s="16" customFormat="1" ht="12" thickBot="1" x14ac:dyDescent="0.25">
      <c r="B44" s="14"/>
      <c r="C44" s="14" t="s">
        <v>17</v>
      </c>
      <c r="D44" s="14"/>
      <c r="E44" s="14"/>
      <c r="F44" s="24">
        <f>+F38+F42</f>
        <v>80383</v>
      </c>
      <c r="G44" s="33">
        <f>+F44</f>
        <v>80383</v>
      </c>
      <c r="H44" s="14"/>
      <c r="I44" s="14"/>
      <c r="J44" s="14"/>
      <c r="K44" s="14"/>
    </row>
    <row r="45" spans="1:27" s="16" customFormat="1" ht="12" thickTop="1" x14ac:dyDescent="0.2">
      <c r="B45" s="14"/>
      <c r="C45" s="14"/>
      <c r="D45" s="14"/>
      <c r="E45" s="14"/>
      <c r="F45" s="14"/>
      <c r="G45" s="14"/>
      <c r="H45" s="14"/>
      <c r="I45" s="14"/>
      <c r="J45" s="14"/>
      <c r="K45" s="14"/>
    </row>
    <row r="46" spans="1:27" s="16" customFormat="1" ht="11.25" x14ac:dyDescent="0.2">
      <c r="B46" s="14"/>
      <c r="C46" s="14"/>
      <c r="D46" s="14"/>
      <c r="E46" s="14"/>
      <c r="F46" s="14"/>
      <c r="G46" s="14"/>
      <c r="H46" s="14"/>
      <c r="I46" s="14"/>
      <c r="J46" s="14"/>
      <c r="K46" s="14"/>
    </row>
    <row r="47" spans="1:27" s="16" customFormat="1" ht="12" thickBot="1" x14ac:dyDescent="0.25">
      <c r="B47" s="14"/>
      <c r="C47" s="14"/>
      <c r="D47" s="14"/>
      <c r="E47" s="14"/>
      <c r="F47" s="28" t="s">
        <v>109</v>
      </c>
      <c r="G47" s="34">
        <f>+G34-G44</f>
        <v>-52142</v>
      </c>
      <c r="H47" s="14"/>
      <c r="I47" s="14"/>
      <c r="J47" s="14"/>
      <c r="K47" s="14"/>
    </row>
    <row r="48" spans="1:27" s="16" customFormat="1" ht="12" thickTop="1" x14ac:dyDescent="0.2">
      <c r="B48" s="14"/>
      <c r="C48" s="14"/>
      <c r="D48" s="14"/>
      <c r="E48" s="14"/>
      <c r="F48" s="14"/>
      <c r="G48" s="14"/>
      <c r="H48" s="14"/>
      <c r="I48" s="14"/>
      <c r="J48" s="14"/>
      <c r="K48" s="14"/>
      <c r="Y48" s="14"/>
    </row>
    <row r="49" spans="2:27" s="16" customFormat="1" ht="11.25" x14ac:dyDescent="0.2">
      <c r="B49" s="14"/>
      <c r="C49" s="14"/>
      <c r="D49" s="14"/>
      <c r="E49" s="14"/>
      <c r="F49" s="14"/>
      <c r="G49" s="14"/>
      <c r="H49" s="14"/>
      <c r="I49" s="14"/>
      <c r="J49" s="14"/>
      <c r="K49" s="14"/>
    </row>
    <row r="50" spans="2:27" s="16" customFormat="1" ht="12" thickBot="1" x14ac:dyDescent="0.25">
      <c r="B50" s="25" t="s">
        <v>143</v>
      </c>
      <c r="C50" s="26"/>
      <c r="D50" s="26"/>
      <c r="E50" s="26"/>
      <c r="F50" s="26"/>
      <c r="G50" s="14"/>
      <c r="H50" s="14"/>
      <c r="I50" s="14"/>
      <c r="J50" s="14"/>
      <c r="K50" s="14"/>
    </row>
    <row r="51" spans="2:27" s="16" customFormat="1" ht="12" thickTop="1" x14ac:dyDescent="0.2">
      <c r="B51" s="27"/>
      <c r="C51" s="14"/>
      <c r="D51" s="14"/>
      <c r="E51" s="14"/>
      <c r="F51" s="14"/>
      <c r="G51" s="14"/>
      <c r="H51" s="14"/>
      <c r="I51" s="14"/>
      <c r="J51" s="14"/>
      <c r="K51" s="14"/>
      <c r="L51" s="14"/>
      <c r="M51" s="14"/>
      <c r="N51" s="14"/>
      <c r="O51" s="14"/>
      <c r="P51" s="14"/>
      <c r="Q51" s="14"/>
      <c r="R51" s="14"/>
      <c r="S51" s="14"/>
      <c r="T51" s="14"/>
      <c r="U51" s="14"/>
      <c r="V51" s="14"/>
      <c r="W51" s="14"/>
      <c r="AA51" s="14"/>
    </row>
    <row r="52" spans="2:27" s="16" customFormat="1" ht="11.25" x14ac:dyDescent="0.2">
      <c r="B52" s="14" t="s">
        <v>144</v>
      </c>
      <c r="C52" s="14"/>
      <c r="D52" s="14"/>
      <c r="E52" s="14"/>
      <c r="F52" s="14"/>
      <c r="G52" s="14"/>
      <c r="H52" s="14"/>
      <c r="I52" s="14"/>
      <c r="J52" s="14"/>
      <c r="K52" s="14"/>
    </row>
    <row r="53" spans="2:27" s="16" customFormat="1" ht="11.25" x14ac:dyDescent="0.2">
      <c r="B53" s="14"/>
      <c r="C53" s="14"/>
      <c r="D53" s="14"/>
      <c r="E53" s="14"/>
      <c r="F53" s="28" t="s">
        <v>18</v>
      </c>
      <c r="G53" s="14">
        <f>+J26</f>
        <v>110881</v>
      </c>
      <c r="H53" s="19" t="s">
        <v>12</v>
      </c>
      <c r="I53" s="14"/>
      <c r="J53" s="14"/>
      <c r="K53" s="14"/>
    </row>
    <row r="54" spans="2:27" s="16" customFormat="1" ht="11.25" x14ac:dyDescent="0.2">
      <c r="B54" s="14"/>
      <c r="C54" s="14"/>
      <c r="D54" s="14"/>
      <c r="E54" s="14"/>
      <c r="F54" s="28" t="s">
        <v>109</v>
      </c>
      <c r="G54" s="14">
        <f>G47</f>
        <v>-52142</v>
      </c>
      <c r="H54" s="14"/>
      <c r="I54" s="14"/>
      <c r="J54" s="14"/>
      <c r="K54" s="14"/>
    </row>
    <row r="55" spans="2:27" s="16" customFormat="1" ht="11.25" x14ac:dyDescent="0.2">
      <c r="B55" s="14"/>
      <c r="C55" s="14"/>
      <c r="D55" s="14"/>
      <c r="E55" s="14"/>
      <c r="F55" s="28"/>
      <c r="G55" s="14"/>
      <c r="H55" s="14"/>
      <c r="I55" s="14"/>
      <c r="J55" s="14"/>
      <c r="K55" s="14"/>
    </row>
    <row r="56" spans="2:27" s="16" customFormat="1" ht="12" thickBot="1" x14ac:dyDescent="0.25">
      <c r="B56" s="14"/>
      <c r="C56" s="14"/>
      <c r="D56" s="14"/>
      <c r="E56" s="14"/>
      <c r="F56" s="28" t="s">
        <v>145</v>
      </c>
      <c r="G56" s="35">
        <f>ROUND(G54/G53,3)</f>
        <v>-0.47</v>
      </c>
      <c r="H56" s="14"/>
      <c r="I56" s="21">
        <f>+G56</f>
        <v>-0.47</v>
      </c>
      <c r="J56" s="14"/>
      <c r="K56" s="14"/>
    </row>
    <row r="57" spans="2:27" s="16" customFormat="1" ht="12" thickTop="1" x14ac:dyDescent="0.2">
      <c r="B57" s="14"/>
      <c r="C57" s="14"/>
      <c r="D57" s="14"/>
      <c r="E57" s="14"/>
      <c r="F57" s="28"/>
      <c r="G57" s="14"/>
      <c r="H57" s="14"/>
      <c r="I57" s="21"/>
      <c r="J57" s="14"/>
      <c r="K57" s="14"/>
      <c r="Y57" s="14"/>
    </row>
    <row r="58" spans="2:27" s="16" customFormat="1" ht="11.25" x14ac:dyDescent="0.2">
      <c r="B58" s="14" t="s">
        <v>146</v>
      </c>
      <c r="C58" s="14"/>
      <c r="D58" s="14"/>
      <c r="E58" s="14"/>
      <c r="F58" s="28"/>
      <c r="G58" s="14"/>
      <c r="H58" s="14"/>
      <c r="I58" s="21"/>
      <c r="J58" s="14"/>
      <c r="K58" s="14"/>
      <c r="M58" s="197" t="s">
        <v>61</v>
      </c>
    </row>
    <row r="59" spans="2:27" s="16" customFormat="1" ht="12" thickBot="1" x14ac:dyDescent="0.25">
      <c r="B59" s="27"/>
      <c r="C59" s="14"/>
      <c r="D59" s="14"/>
      <c r="E59" s="14"/>
      <c r="F59" s="28" t="s">
        <v>147</v>
      </c>
      <c r="G59" s="202">
        <f>+F28/[3]Value!P18*M59</f>
        <v>0.2546961579784181</v>
      </c>
      <c r="H59" s="14"/>
      <c r="I59" s="21">
        <f>+G59</f>
        <v>0.2546961579784181</v>
      </c>
      <c r="J59" s="19" t="s">
        <v>11</v>
      </c>
      <c r="K59" s="14"/>
      <c r="M59" s="213">
        <v>0.5</v>
      </c>
    </row>
    <row r="60" spans="2:27" s="14" customFormat="1" ht="12" thickTop="1" x14ac:dyDescent="0.2">
      <c r="B60" s="27"/>
      <c r="I60" s="21"/>
      <c r="M60" s="14" t="s">
        <v>29</v>
      </c>
      <c r="X60" s="16"/>
      <c r="Y60" s="16"/>
    </row>
    <row r="61" spans="2:27" s="16" customFormat="1" ht="12" thickBot="1" x14ac:dyDescent="0.25">
      <c r="B61" s="14"/>
      <c r="C61" s="14"/>
      <c r="D61" s="14"/>
      <c r="E61" s="14"/>
      <c r="F61" s="14"/>
      <c r="G61" s="28" t="s">
        <v>148</v>
      </c>
      <c r="H61" s="24"/>
      <c r="I61" s="35">
        <f>+I56+I59</f>
        <v>-0.21530384202158187</v>
      </c>
      <c r="J61" s="14"/>
      <c r="K61" s="14"/>
    </row>
    <row r="62" spans="2:27" s="16" customFormat="1" ht="12" thickTop="1" x14ac:dyDescent="0.2">
      <c r="I62" s="21"/>
    </row>
    <row r="63" spans="2:27" s="16" customFormat="1" ht="11.25" x14ac:dyDescent="0.2"/>
    <row r="64" spans="2:27" s="16" customFormat="1" ht="11.25" x14ac:dyDescent="0.2">
      <c r="B64" s="16" t="s">
        <v>106</v>
      </c>
      <c r="G64" s="78" t="s">
        <v>52</v>
      </c>
      <c r="I64" s="212">
        <f>'[4]2014-2015'!$C$14</f>
        <v>0</v>
      </c>
    </row>
    <row r="65" spans="1:27" s="16" customFormat="1" ht="11.25" x14ac:dyDescent="0.2">
      <c r="A65" s="84"/>
      <c r="B65" s="84"/>
      <c r="C65" s="84"/>
      <c r="D65" s="84"/>
      <c r="E65" s="84"/>
      <c r="F65" s="84"/>
    </row>
    <row r="66" spans="1:27" s="16" customFormat="1" ht="11.25" hidden="1" x14ac:dyDescent="0.2">
      <c r="A66" s="100"/>
      <c r="B66" s="211"/>
      <c r="C66" s="210"/>
      <c r="D66" s="208"/>
      <c r="E66" s="84"/>
      <c r="F66" s="84"/>
      <c r="G66" s="78" t="s">
        <v>105</v>
      </c>
      <c r="I66" s="209">
        <v>292961.99994565477</v>
      </c>
    </row>
    <row r="67" spans="1:27" s="16" customFormat="1" ht="11.25" hidden="1" x14ac:dyDescent="0.2">
      <c r="A67" s="100"/>
      <c r="B67" s="211"/>
      <c r="C67" s="210"/>
      <c r="D67" s="208"/>
      <c r="E67" s="84"/>
      <c r="F67" s="84"/>
      <c r="G67" s="78" t="s">
        <v>104</v>
      </c>
      <c r="I67" s="209">
        <v>56929</v>
      </c>
    </row>
    <row r="68" spans="1:27" s="16" customFormat="1" ht="11.25" x14ac:dyDescent="0.2">
      <c r="A68" s="100"/>
      <c r="B68" s="101"/>
      <c r="C68" s="103"/>
      <c r="D68" s="208"/>
      <c r="E68" s="84"/>
      <c r="F68" s="84"/>
    </row>
    <row r="69" spans="1:27" s="16" customFormat="1" ht="11.25" x14ac:dyDescent="0.2">
      <c r="A69" s="100"/>
      <c r="B69" s="101"/>
      <c r="C69" s="31"/>
      <c r="D69" s="208"/>
      <c r="E69" s="84"/>
      <c r="F69" s="84"/>
      <c r="G69" s="78" t="s">
        <v>103</v>
      </c>
      <c r="I69" s="207"/>
    </row>
    <row r="70" spans="1:27" s="14" customFormat="1" ht="11.25" x14ac:dyDescent="0.2">
      <c r="A70" s="100"/>
      <c r="B70" s="31"/>
      <c r="C70" s="31"/>
      <c r="D70" s="84"/>
      <c r="E70" s="31"/>
      <c r="F70" s="84"/>
      <c r="X70" s="16"/>
      <c r="Y70" s="16"/>
    </row>
    <row r="71" spans="1:27" s="16" customFormat="1" ht="11.25" x14ac:dyDescent="0.2">
      <c r="A71" s="100"/>
      <c r="B71" s="31"/>
      <c r="C71" s="103"/>
      <c r="D71" s="84"/>
      <c r="E71" s="84"/>
      <c r="F71" s="84"/>
      <c r="G71" s="78" t="s">
        <v>53</v>
      </c>
      <c r="I71" s="79" t="e">
        <f>I69/(B17*12)</f>
        <v>#DIV/0!</v>
      </c>
    </row>
    <row r="72" spans="1:27" s="16" customFormat="1" ht="11.25" x14ac:dyDescent="0.2">
      <c r="A72" s="100"/>
      <c r="B72" s="31"/>
      <c r="C72" s="31"/>
      <c r="D72" s="84"/>
      <c r="E72" s="84"/>
      <c r="F72" s="84"/>
    </row>
    <row r="73" spans="1:27" s="16" customFormat="1" ht="12" thickBot="1" x14ac:dyDescent="0.25">
      <c r="A73" s="100"/>
      <c r="B73" s="101"/>
      <c r="C73" s="31"/>
      <c r="D73" s="84"/>
      <c r="E73" s="84"/>
      <c r="F73" s="84"/>
      <c r="G73" s="28" t="str">
        <f>$K$22+1&amp;" Net Credit"</f>
        <v>2020 Net Credit</v>
      </c>
      <c r="H73" s="24"/>
      <c r="I73" s="161" t="e">
        <f>+I61+I71</f>
        <v>#DIV/0!</v>
      </c>
    </row>
    <row r="74" spans="1:27" s="16" customFormat="1" ht="12" thickTop="1" x14ac:dyDescent="0.2">
      <c r="A74" s="100"/>
      <c r="B74" s="101"/>
      <c r="C74" s="31"/>
      <c r="D74" s="84"/>
      <c r="E74" s="84"/>
      <c r="F74" s="84"/>
    </row>
    <row r="75" spans="1:27" s="16" customFormat="1" ht="11.25" x14ac:dyDescent="0.2">
      <c r="A75" s="100"/>
      <c r="B75" s="101"/>
      <c r="C75" s="31"/>
      <c r="D75" s="84"/>
      <c r="E75" s="84"/>
      <c r="F75" s="84"/>
    </row>
    <row r="76" spans="1:27" s="16" customFormat="1" ht="11.25" x14ac:dyDescent="0.2">
      <c r="A76" s="100"/>
      <c r="B76" s="101"/>
      <c r="C76" s="31"/>
      <c r="D76" s="84"/>
      <c r="E76" s="84"/>
      <c r="F76" s="84"/>
      <c r="Y76" s="14"/>
    </row>
    <row r="77" spans="1:27" s="16" customFormat="1" ht="11.25" x14ac:dyDescent="0.2">
      <c r="A77" s="100"/>
      <c r="B77" s="101"/>
      <c r="C77" s="31"/>
      <c r="D77" s="84"/>
      <c r="E77" s="84"/>
      <c r="F77" s="84"/>
    </row>
    <row r="78" spans="1:27" s="16" customFormat="1" ht="11.25" x14ac:dyDescent="0.2">
      <c r="A78" s="100"/>
      <c r="B78" s="101"/>
      <c r="C78" s="31"/>
      <c r="D78" s="84"/>
      <c r="E78" s="84"/>
      <c r="F78" s="84"/>
    </row>
    <row r="79" spans="1:27" s="16" customFormat="1" ht="11.25" x14ac:dyDescent="0.2">
      <c r="A79" s="100"/>
      <c r="B79" s="101"/>
      <c r="C79" s="31"/>
      <c r="D79" s="84"/>
      <c r="E79" s="84"/>
      <c r="F79" s="84"/>
    </row>
    <row r="80" spans="1:27" s="16" customFormat="1" ht="11.25" x14ac:dyDescent="0.2">
      <c r="A80" s="100"/>
      <c r="B80" s="101"/>
      <c r="C80" s="31"/>
      <c r="D80" s="84"/>
      <c r="E80" s="206"/>
      <c r="F80" s="84"/>
      <c r="G80" s="14"/>
      <c r="H80" s="13"/>
      <c r="I80" s="14"/>
      <c r="J80" s="14"/>
      <c r="K80" s="13"/>
      <c r="L80" s="14"/>
      <c r="M80" s="14"/>
      <c r="N80" s="14"/>
      <c r="O80" s="14"/>
      <c r="P80" s="14"/>
      <c r="Q80" s="14"/>
      <c r="R80" s="14"/>
      <c r="S80" s="14"/>
      <c r="T80" s="14"/>
      <c r="U80" s="14"/>
      <c r="V80" s="13"/>
      <c r="W80" s="14"/>
      <c r="AA80" s="14"/>
    </row>
    <row r="81" spans="1:25" s="16" customFormat="1" ht="11.25" x14ac:dyDescent="0.2">
      <c r="A81" s="100"/>
      <c r="B81" s="101"/>
      <c r="C81" s="31"/>
      <c r="D81" s="84"/>
      <c r="E81" s="84"/>
      <c r="F81" s="84"/>
    </row>
    <row r="82" spans="1:25" s="16" customFormat="1" ht="11.25" x14ac:dyDescent="0.2">
      <c r="A82" s="100"/>
      <c r="B82" s="31"/>
      <c r="C82" s="31"/>
      <c r="D82" s="84"/>
      <c r="E82" s="84"/>
      <c r="F82" s="84"/>
    </row>
    <row r="83" spans="1:25" s="16" customFormat="1" ht="11.25" x14ac:dyDescent="0.2">
      <c r="A83" s="100"/>
      <c r="B83" s="31"/>
      <c r="C83" s="103"/>
      <c r="D83" s="84"/>
      <c r="E83" s="84"/>
      <c r="F83" s="84"/>
    </row>
    <row r="84" spans="1:25" s="16" customFormat="1" x14ac:dyDescent="0.2">
      <c r="A84" s="88"/>
      <c r="B84" s="88"/>
      <c r="C84" s="88"/>
      <c r="D84" s="104"/>
      <c r="E84" s="84"/>
      <c r="F84" s="88"/>
    </row>
    <row r="85" spans="1:25" s="16" customFormat="1" ht="11.25" x14ac:dyDescent="0.2">
      <c r="A85" s="105"/>
      <c r="B85" s="31"/>
      <c r="C85" s="103"/>
      <c r="D85" s="84"/>
      <c r="E85" s="84"/>
      <c r="F85" s="106"/>
      <c r="Y85" s="14"/>
    </row>
    <row r="86" spans="1:25" s="16" customFormat="1" ht="11.25" x14ac:dyDescent="0.2"/>
    <row r="87" spans="1:25" s="16" customFormat="1" ht="11.25" x14ac:dyDescent="0.2"/>
    <row r="88" spans="1:25" s="16" customFormat="1" ht="11.25" x14ac:dyDescent="0.2"/>
    <row r="89" spans="1:25" s="16" customFormat="1" ht="11.25" x14ac:dyDescent="0.2">
      <c r="B89" s="8"/>
    </row>
    <row r="90" spans="1:25" s="14" customFormat="1" ht="11.25" x14ac:dyDescent="0.2">
      <c r="B90" s="27"/>
      <c r="X90" s="16"/>
      <c r="Y90" s="16"/>
    </row>
    <row r="91" spans="1:25" s="16" customFormat="1" ht="11.25" x14ac:dyDescent="0.2"/>
    <row r="92" spans="1:25" s="16" customFormat="1" ht="11.25" x14ac:dyDescent="0.2"/>
    <row r="93" spans="1:25" s="16" customFormat="1" ht="11.25" x14ac:dyDescent="0.2"/>
    <row r="94" spans="1:25" s="16" customFormat="1" ht="11.25" x14ac:dyDescent="0.2"/>
    <row r="95" spans="1:25" s="16" customFormat="1" ht="11.25" x14ac:dyDescent="0.2"/>
    <row r="96" spans="1:25" s="16" customFormat="1" ht="11.25" x14ac:dyDescent="0.2"/>
    <row r="97" spans="1:27" s="16" customFormat="1" ht="11.25" x14ac:dyDescent="0.2"/>
    <row r="98" spans="1:27" s="16" customFormat="1" ht="11.25" x14ac:dyDescent="0.2"/>
    <row r="99" spans="1:27" s="16" customFormat="1" ht="11.25" x14ac:dyDescent="0.2">
      <c r="A99" s="6"/>
    </row>
    <row r="100" spans="1:27" s="16" customFormat="1" x14ac:dyDescent="0.2">
      <c r="AA100" s="5"/>
    </row>
    <row r="101" spans="1:27" s="16" customFormat="1" x14ac:dyDescent="0.2">
      <c r="AA101" s="5"/>
    </row>
    <row r="102" spans="1:27" s="16" customFormat="1" x14ac:dyDescent="0.2">
      <c r="AA102" s="5"/>
    </row>
    <row r="103" spans="1:27" s="16" customFormat="1" x14ac:dyDescent="0.2">
      <c r="AA103" s="5"/>
    </row>
    <row r="104" spans="1:27" s="16" customFormat="1" x14ac:dyDescent="0.2">
      <c r="G104" s="36"/>
      <c r="I104" s="36"/>
      <c r="J104" s="36"/>
      <c r="L104" s="36"/>
      <c r="M104" s="36"/>
      <c r="N104" s="36"/>
      <c r="O104" s="36"/>
      <c r="P104" s="36"/>
      <c r="Q104" s="36"/>
      <c r="R104" s="36"/>
      <c r="S104" s="36"/>
      <c r="T104" s="36"/>
      <c r="U104" s="36"/>
      <c r="V104" s="36"/>
      <c r="W104" s="36"/>
      <c r="X104" s="36"/>
      <c r="Y104" s="36"/>
      <c r="AA104" s="5"/>
    </row>
    <row r="105" spans="1:27" s="16" customFormat="1" x14ac:dyDescent="0.2">
      <c r="AA105" s="5"/>
    </row>
    <row r="106" spans="1:27" s="16" customFormat="1" ht="13.5" thickBot="1" x14ac:dyDescent="0.25">
      <c r="G106" s="37"/>
      <c r="I106" s="37"/>
      <c r="J106" s="37"/>
      <c r="L106" s="37"/>
      <c r="M106" s="37"/>
      <c r="N106" s="37"/>
      <c r="O106" s="37"/>
      <c r="P106" s="37"/>
      <c r="Q106" s="37"/>
      <c r="R106" s="37"/>
      <c r="S106" s="37"/>
      <c r="T106" s="37"/>
      <c r="U106" s="37"/>
      <c r="V106" s="37"/>
      <c r="W106" s="37"/>
      <c r="X106" s="37"/>
      <c r="Y106" s="37"/>
      <c r="AA106" s="5"/>
    </row>
    <row r="107" spans="1:27" ht="13.5" thickTop="1" x14ac:dyDescent="0.2"/>
    <row r="108" spans="1:27" x14ac:dyDescent="0.2">
      <c r="W108" s="38"/>
      <c r="X108" s="38"/>
      <c r="Y108" s="38"/>
    </row>
    <row r="109" spans="1:27" x14ac:dyDescent="0.2">
      <c r="W109" s="38"/>
      <c r="AA109" s="38"/>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workbookViewId="0">
      <selection activeCell="E18" sqref="E18"/>
    </sheetView>
  </sheetViews>
  <sheetFormatPr defaultRowHeight="12.75" x14ac:dyDescent="0.2"/>
  <cols>
    <col min="1" max="1" width="8.140625" customWidth="1"/>
    <col min="2" max="2" width="2.140625" customWidth="1"/>
    <col min="3" max="13" width="11.7109375" customWidth="1"/>
    <col min="14" max="14" width="3" customWidth="1"/>
    <col min="15" max="15" width="11.7109375" style="53" customWidth="1"/>
    <col min="16" max="16" width="14.5703125" bestFit="1" customWidth="1"/>
    <col min="257" max="257" width="8.140625" customWidth="1"/>
    <col min="258" max="258" width="2.140625" customWidth="1"/>
    <col min="259" max="269" width="11.7109375" customWidth="1"/>
    <col min="270" max="270" width="3" customWidth="1"/>
    <col min="271" max="271" width="11.7109375" customWidth="1"/>
    <col min="272" max="272" width="14.5703125" bestFit="1" customWidth="1"/>
    <col min="513" max="513" width="8.140625" customWidth="1"/>
    <col min="514" max="514" width="2.140625" customWidth="1"/>
    <col min="515" max="525" width="11.7109375" customWidth="1"/>
    <col min="526" max="526" width="3" customWidth="1"/>
    <col min="527" max="527" width="11.7109375" customWidth="1"/>
    <col min="528" max="528" width="14.5703125" bestFit="1" customWidth="1"/>
    <col min="769" max="769" width="8.140625" customWidth="1"/>
    <col min="770" max="770" width="2.140625" customWidth="1"/>
    <col min="771" max="781" width="11.7109375" customWidth="1"/>
    <col min="782" max="782" width="3" customWidth="1"/>
    <col min="783" max="783" width="11.7109375" customWidth="1"/>
    <col min="784" max="784" width="14.5703125" bestFit="1" customWidth="1"/>
    <col min="1025" max="1025" width="8.140625" customWidth="1"/>
    <col min="1026" max="1026" width="2.140625" customWidth="1"/>
    <col min="1027" max="1037" width="11.7109375" customWidth="1"/>
    <col min="1038" max="1038" width="3" customWidth="1"/>
    <col min="1039" max="1039" width="11.7109375" customWidth="1"/>
    <col min="1040" max="1040" width="14.5703125" bestFit="1" customWidth="1"/>
    <col min="1281" max="1281" width="8.140625" customWidth="1"/>
    <col min="1282" max="1282" width="2.140625" customWidth="1"/>
    <col min="1283" max="1293" width="11.7109375" customWidth="1"/>
    <col min="1294" max="1294" width="3" customWidth="1"/>
    <col min="1295" max="1295" width="11.7109375" customWidth="1"/>
    <col min="1296" max="1296" width="14.5703125" bestFit="1" customWidth="1"/>
    <col min="1537" max="1537" width="8.140625" customWidth="1"/>
    <col min="1538" max="1538" width="2.140625" customWidth="1"/>
    <col min="1539" max="1549" width="11.7109375" customWidth="1"/>
    <col min="1550" max="1550" width="3" customWidth="1"/>
    <col min="1551" max="1551" width="11.7109375" customWidth="1"/>
    <col min="1552" max="1552" width="14.5703125" bestFit="1" customWidth="1"/>
    <col min="1793" max="1793" width="8.140625" customWidth="1"/>
    <col min="1794" max="1794" width="2.140625" customWidth="1"/>
    <col min="1795" max="1805" width="11.7109375" customWidth="1"/>
    <col min="1806" max="1806" width="3" customWidth="1"/>
    <col min="1807" max="1807" width="11.7109375" customWidth="1"/>
    <col min="1808" max="1808" width="14.5703125" bestFit="1" customWidth="1"/>
    <col min="2049" max="2049" width="8.140625" customWidth="1"/>
    <col min="2050" max="2050" width="2.140625" customWidth="1"/>
    <col min="2051" max="2061" width="11.7109375" customWidth="1"/>
    <col min="2062" max="2062" width="3" customWidth="1"/>
    <col min="2063" max="2063" width="11.7109375" customWidth="1"/>
    <col min="2064" max="2064" width="14.5703125" bestFit="1" customWidth="1"/>
    <col min="2305" max="2305" width="8.140625" customWidth="1"/>
    <col min="2306" max="2306" width="2.140625" customWidth="1"/>
    <col min="2307" max="2317" width="11.7109375" customWidth="1"/>
    <col min="2318" max="2318" width="3" customWidth="1"/>
    <col min="2319" max="2319" width="11.7109375" customWidth="1"/>
    <col min="2320" max="2320" width="14.5703125" bestFit="1" customWidth="1"/>
    <col min="2561" max="2561" width="8.140625" customWidth="1"/>
    <col min="2562" max="2562" width="2.140625" customWidth="1"/>
    <col min="2563" max="2573" width="11.7109375" customWidth="1"/>
    <col min="2574" max="2574" width="3" customWidth="1"/>
    <col min="2575" max="2575" width="11.7109375" customWidth="1"/>
    <col min="2576" max="2576" width="14.5703125" bestFit="1" customWidth="1"/>
    <col min="2817" max="2817" width="8.140625" customWidth="1"/>
    <col min="2818" max="2818" width="2.140625" customWidth="1"/>
    <col min="2819" max="2829" width="11.7109375" customWidth="1"/>
    <col min="2830" max="2830" width="3" customWidth="1"/>
    <col min="2831" max="2831" width="11.7109375" customWidth="1"/>
    <col min="2832" max="2832" width="14.5703125" bestFit="1" customWidth="1"/>
    <col min="3073" max="3073" width="8.140625" customWidth="1"/>
    <col min="3074" max="3074" width="2.140625" customWidth="1"/>
    <col min="3075" max="3085" width="11.7109375" customWidth="1"/>
    <col min="3086" max="3086" width="3" customWidth="1"/>
    <col min="3087" max="3087" width="11.7109375" customWidth="1"/>
    <col min="3088" max="3088" width="14.5703125" bestFit="1" customWidth="1"/>
    <col min="3329" max="3329" width="8.140625" customWidth="1"/>
    <col min="3330" max="3330" width="2.140625" customWidth="1"/>
    <col min="3331" max="3341" width="11.7109375" customWidth="1"/>
    <col min="3342" max="3342" width="3" customWidth="1"/>
    <col min="3343" max="3343" width="11.7109375" customWidth="1"/>
    <col min="3344" max="3344" width="14.5703125" bestFit="1" customWidth="1"/>
    <col min="3585" max="3585" width="8.140625" customWidth="1"/>
    <col min="3586" max="3586" width="2.140625" customWidth="1"/>
    <col min="3587" max="3597" width="11.7109375" customWidth="1"/>
    <col min="3598" max="3598" width="3" customWidth="1"/>
    <col min="3599" max="3599" width="11.7109375" customWidth="1"/>
    <col min="3600" max="3600" width="14.5703125" bestFit="1" customWidth="1"/>
    <col min="3841" max="3841" width="8.140625" customWidth="1"/>
    <col min="3842" max="3842" width="2.140625" customWidth="1"/>
    <col min="3843" max="3853" width="11.7109375" customWidth="1"/>
    <col min="3854" max="3854" width="3" customWidth="1"/>
    <col min="3855" max="3855" width="11.7109375" customWidth="1"/>
    <col min="3856" max="3856" width="14.5703125" bestFit="1" customWidth="1"/>
    <col min="4097" max="4097" width="8.140625" customWidth="1"/>
    <col min="4098" max="4098" width="2.140625" customWidth="1"/>
    <col min="4099" max="4109" width="11.7109375" customWidth="1"/>
    <col min="4110" max="4110" width="3" customWidth="1"/>
    <col min="4111" max="4111" width="11.7109375" customWidth="1"/>
    <col min="4112" max="4112" width="14.5703125" bestFit="1" customWidth="1"/>
    <col min="4353" max="4353" width="8.140625" customWidth="1"/>
    <col min="4354" max="4354" width="2.140625" customWidth="1"/>
    <col min="4355" max="4365" width="11.7109375" customWidth="1"/>
    <col min="4366" max="4366" width="3" customWidth="1"/>
    <col min="4367" max="4367" width="11.7109375" customWidth="1"/>
    <col min="4368" max="4368" width="14.5703125" bestFit="1" customWidth="1"/>
    <col min="4609" max="4609" width="8.140625" customWidth="1"/>
    <col min="4610" max="4610" width="2.140625" customWidth="1"/>
    <col min="4611" max="4621" width="11.7109375" customWidth="1"/>
    <col min="4622" max="4622" width="3" customWidth="1"/>
    <col min="4623" max="4623" width="11.7109375" customWidth="1"/>
    <col min="4624" max="4624" width="14.5703125" bestFit="1" customWidth="1"/>
    <col min="4865" max="4865" width="8.140625" customWidth="1"/>
    <col min="4866" max="4866" width="2.140625" customWidth="1"/>
    <col min="4867" max="4877" width="11.7109375" customWidth="1"/>
    <col min="4878" max="4878" width="3" customWidth="1"/>
    <col min="4879" max="4879" width="11.7109375" customWidth="1"/>
    <col min="4880" max="4880" width="14.5703125" bestFit="1" customWidth="1"/>
    <col min="5121" max="5121" width="8.140625" customWidth="1"/>
    <col min="5122" max="5122" width="2.140625" customWidth="1"/>
    <col min="5123" max="5133" width="11.7109375" customWidth="1"/>
    <col min="5134" max="5134" width="3" customWidth="1"/>
    <col min="5135" max="5135" width="11.7109375" customWidth="1"/>
    <col min="5136" max="5136" width="14.5703125" bestFit="1" customWidth="1"/>
    <col min="5377" max="5377" width="8.140625" customWidth="1"/>
    <col min="5378" max="5378" width="2.140625" customWidth="1"/>
    <col min="5379" max="5389" width="11.7109375" customWidth="1"/>
    <col min="5390" max="5390" width="3" customWidth="1"/>
    <col min="5391" max="5391" width="11.7109375" customWidth="1"/>
    <col min="5392" max="5392" width="14.5703125" bestFit="1" customWidth="1"/>
    <col min="5633" max="5633" width="8.140625" customWidth="1"/>
    <col min="5634" max="5634" width="2.140625" customWidth="1"/>
    <col min="5635" max="5645" width="11.7109375" customWidth="1"/>
    <col min="5646" max="5646" width="3" customWidth="1"/>
    <col min="5647" max="5647" width="11.7109375" customWidth="1"/>
    <col min="5648" max="5648" width="14.5703125" bestFit="1" customWidth="1"/>
    <col min="5889" max="5889" width="8.140625" customWidth="1"/>
    <col min="5890" max="5890" width="2.140625" customWidth="1"/>
    <col min="5891" max="5901" width="11.7109375" customWidth="1"/>
    <col min="5902" max="5902" width="3" customWidth="1"/>
    <col min="5903" max="5903" width="11.7109375" customWidth="1"/>
    <col min="5904" max="5904" width="14.5703125" bestFit="1" customWidth="1"/>
    <col min="6145" max="6145" width="8.140625" customWidth="1"/>
    <col min="6146" max="6146" width="2.140625" customWidth="1"/>
    <col min="6147" max="6157" width="11.7109375" customWidth="1"/>
    <col min="6158" max="6158" width="3" customWidth="1"/>
    <col min="6159" max="6159" width="11.7109375" customWidth="1"/>
    <col min="6160" max="6160" width="14.5703125" bestFit="1" customWidth="1"/>
    <col min="6401" max="6401" width="8.140625" customWidth="1"/>
    <col min="6402" max="6402" width="2.140625" customWidth="1"/>
    <col min="6403" max="6413" width="11.7109375" customWidth="1"/>
    <col min="6414" max="6414" width="3" customWidth="1"/>
    <col min="6415" max="6415" width="11.7109375" customWidth="1"/>
    <col min="6416" max="6416" width="14.5703125" bestFit="1" customWidth="1"/>
    <col min="6657" max="6657" width="8.140625" customWidth="1"/>
    <col min="6658" max="6658" width="2.140625" customWidth="1"/>
    <col min="6659" max="6669" width="11.7109375" customWidth="1"/>
    <col min="6670" max="6670" width="3" customWidth="1"/>
    <col min="6671" max="6671" width="11.7109375" customWidth="1"/>
    <col min="6672" max="6672" width="14.5703125" bestFit="1" customWidth="1"/>
    <col min="6913" max="6913" width="8.140625" customWidth="1"/>
    <col min="6914" max="6914" width="2.140625" customWidth="1"/>
    <col min="6915" max="6925" width="11.7109375" customWidth="1"/>
    <col min="6926" max="6926" width="3" customWidth="1"/>
    <col min="6927" max="6927" width="11.7109375" customWidth="1"/>
    <col min="6928" max="6928" width="14.5703125" bestFit="1" customWidth="1"/>
    <col min="7169" max="7169" width="8.140625" customWidth="1"/>
    <col min="7170" max="7170" width="2.140625" customWidth="1"/>
    <col min="7171" max="7181" width="11.7109375" customWidth="1"/>
    <col min="7182" max="7182" width="3" customWidth="1"/>
    <col min="7183" max="7183" width="11.7109375" customWidth="1"/>
    <col min="7184" max="7184" width="14.5703125" bestFit="1" customWidth="1"/>
    <col min="7425" max="7425" width="8.140625" customWidth="1"/>
    <col min="7426" max="7426" width="2.140625" customWidth="1"/>
    <col min="7427" max="7437" width="11.7109375" customWidth="1"/>
    <col min="7438" max="7438" width="3" customWidth="1"/>
    <col min="7439" max="7439" width="11.7109375" customWidth="1"/>
    <col min="7440" max="7440" width="14.5703125" bestFit="1" customWidth="1"/>
    <col min="7681" max="7681" width="8.140625" customWidth="1"/>
    <col min="7682" max="7682" width="2.140625" customWidth="1"/>
    <col min="7683" max="7693" width="11.7109375" customWidth="1"/>
    <col min="7694" max="7694" width="3" customWidth="1"/>
    <col min="7695" max="7695" width="11.7109375" customWidth="1"/>
    <col min="7696" max="7696" width="14.5703125" bestFit="1" customWidth="1"/>
    <col min="7937" max="7937" width="8.140625" customWidth="1"/>
    <col min="7938" max="7938" width="2.140625" customWidth="1"/>
    <col min="7939" max="7949" width="11.7109375" customWidth="1"/>
    <col min="7950" max="7950" width="3" customWidth="1"/>
    <col min="7951" max="7951" width="11.7109375" customWidth="1"/>
    <col min="7952" max="7952" width="14.5703125" bestFit="1" customWidth="1"/>
    <col min="8193" max="8193" width="8.140625" customWidth="1"/>
    <col min="8194" max="8194" width="2.140625" customWidth="1"/>
    <col min="8195" max="8205" width="11.7109375" customWidth="1"/>
    <col min="8206" max="8206" width="3" customWidth="1"/>
    <col min="8207" max="8207" width="11.7109375" customWidth="1"/>
    <col min="8208" max="8208" width="14.5703125" bestFit="1" customWidth="1"/>
    <col min="8449" max="8449" width="8.140625" customWidth="1"/>
    <col min="8450" max="8450" width="2.140625" customWidth="1"/>
    <col min="8451" max="8461" width="11.7109375" customWidth="1"/>
    <col min="8462" max="8462" width="3" customWidth="1"/>
    <col min="8463" max="8463" width="11.7109375" customWidth="1"/>
    <col min="8464" max="8464" width="14.5703125" bestFit="1" customWidth="1"/>
    <col min="8705" max="8705" width="8.140625" customWidth="1"/>
    <col min="8706" max="8706" width="2.140625" customWidth="1"/>
    <col min="8707" max="8717" width="11.7109375" customWidth="1"/>
    <col min="8718" max="8718" width="3" customWidth="1"/>
    <col min="8719" max="8719" width="11.7109375" customWidth="1"/>
    <col min="8720" max="8720" width="14.5703125" bestFit="1" customWidth="1"/>
    <col min="8961" max="8961" width="8.140625" customWidth="1"/>
    <col min="8962" max="8962" width="2.140625" customWidth="1"/>
    <col min="8963" max="8973" width="11.7109375" customWidth="1"/>
    <col min="8974" max="8974" width="3" customWidth="1"/>
    <col min="8975" max="8975" width="11.7109375" customWidth="1"/>
    <col min="8976" max="8976" width="14.5703125" bestFit="1" customWidth="1"/>
    <col min="9217" max="9217" width="8.140625" customWidth="1"/>
    <col min="9218" max="9218" width="2.140625" customWidth="1"/>
    <col min="9219" max="9229" width="11.7109375" customWidth="1"/>
    <col min="9230" max="9230" width="3" customWidth="1"/>
    <col min="9231" max="9231" width="11.7109375" customWidth="1"/>
    <col min="9232" max="9232" width="14.5703125" bestFit="1" customWidth="1"/>
    <col min="9473" max="9473" width="8.140625" customWidth="1"/>
    <col min="9474" max="9474" width="2.140625" customWidth="1"/>
    <col min="9475" max="9485" width="11.7109375" customWidth="1"/>
    <col min="9486" max="9486" width="3" customWidth="1"/>
    <col min="9487" max="9487" width="11.7109375" customWidth="1"/>
    <col min="9488" max="9488" width="14.5703125" bestFit="1" customWidth="1"/>
    <col min="9729" max="9729" width="8.140625" customWidth="1"/>
    <col min="9730" max="9730" width="2.140625" customWidth="1"/>
    <col min="9731" max="9741" width="11.7109375" customWidth="1"/>
    <col min="9742" max="9742" width="3" customWidth="1"/>
    <col min="9743" max="9743" width="11.7109375" customWidth="1"/>
    <col min="9744" max="9744" width="14.5703125" bestFit="1" customWidth="1"/>
    <col min="9985" max="9985" width="8.140625" customWidth="1"/>
    <col min="9986" max="9986" width="2.140625" customWidth="1"/>
    <col min="9987" max="9997" width="11.7109375" customWidth="1"/>
    <col min="9998" max="9998" width="3" customWidth="1"/>
    <col min="9999" max="9999" width="11.7109375" customWidth="1"/>
    <col min="10000" max="10000" width="14.5703125" bestFit="1" customWidth="1"/>
    <col min="10241" max="10241" width="8.140625" customWidth="1"/>
    <col min="10242" max="10242" width="2.140625" customWidth="1"/>
    <col min="10243" max="10253" width="11.7109375" customWidth="1"/>
    <col min="10254" max="10254" width="3" customWidth="1"/>
    <col min="10255" max="10255" width="11.7109375" customWidth="1"/>
    <col min="10256" max="10256" width="14.5703125" bestFit="1" customWidth="1"/>
    <col min="10497" max="10497" width="8.140625" customWidth="1"/>
    <col min="10498" max="10498" width="2.140625" customWidth="1"/>
    <col min="10499" max="10509" width="11.7109375" customWidth="1"/>
    <col min="10510" max="10510" width="3" customWidth="1"/>
    <col min="10511" max="10511" width="11.7109375" customWidth="1"/>
    <col min="10512" max="10512" width="14.5703125" bestFit="1" customWidth="1"/>
    <col min="10753" max="10753" width="8.140625" customWidth="1"/>
    <col min="10754" max="10754" width="2.140625" customWidth="1"/>
    <col min="10755" max="10765" width="11.7109375" customWidth="1"/>
    <col min="10766" max="10766" width="3" customWidth="1"/>
    <col min="10767" max="10767" width="11.7109375" customWidth="1"/>
    <col min="10768" max="10768" width="14.5703125" bestFit="1" customWidth="1"/>
    <col min="11009" max="11009" width="8.140625" customWidth="1"/>
    <col min="11010" max="11010" width="2.140625" customWidth="1"/>
    <col min="11011" max="11021" width="11.7109375" customWidth="1"/>
    <col min="11022" max="11022" width="3" customWidth="1"/>
    <col min="11023" max="11023" width="11.7109375" customWidth="1"/>
    <col min="11024" max="11024" width="14.5703125" bestFit="1" customWidth="1"/>
    <col min="11265" max="11265" width="8.140625" customWidth="1"/>
    <col min="11266" max="11266" width="2.140625" customWidth="1"/>
    <col min="11267" max="11277" width="11.7109375" customWidth="1"/>
    <col min="11278" max="11278" width="3" customWidth="1"/>
    <col min="11279" max="11279" width="11.7109375" customWidth="1"/>
    <col min="11280" max="11280" width="14.5703125" bestFit="1" customWidth="1"/>
    <col min="11521" max="11521" width="8.140625" customWidth="1"/>
    <col min="11522" max="11522" width="2.140625" customWidth="1"/>
    <col min="11523" max="11533" width="11.7109375" customWidth="1"/>
    <col min="11534" max="11534" width="3" customWidth="1"/>
    <col min="11535" max="11535" width="11.7109375" customWidth="1"/>
    <col min="11536" max="11536" width="14.5703125" bestFit="1" customWidth="1"/>
    <col min="11777" max="11777" width="8.140625" customWidth="1"/>
    <col min="11778" max="11778" width="2.140625" customWidth="1"/>
    <col min="11779" max="11789" width="11.7109375" customWidth="1"/>
    <col min="11790" max="11790" width="3" customWidth="1"/>
    <col min="11791" max="11791" width="11.7109375" customWidth="1"/>
    <col min="11792" max="11792" width="14.5703125" bestFit="1" customWidth="1"/>
    <col min="12033" max="12033" width="8.140625" customWidth="1"/>
    <col min="12034" max="12034" width="2.140625" customWidth="1"/>
    <col min="12035" max="12045" width="11.7109375" customWidth="1"/>
    <col min="12046" max="12046" width="3" customWidth="1"/>
    <col min="12047" max="12047" width="11.7109375" customWidth="1"/>
    <col min="12048" max="12048" width="14.5703125" bestFit="1" customWidth="1"/>
    <col min="12289" max="12289" width="8.140625" customWidth="1"/>
    <col min="12290" max="12290" width="2.140625" customWidth="1"/>
    <col min="12291" max="12301" width="11.7109375" customWidth="1"/>
    <col min="12302" max="12302" width="3" customWidth="1"/>
    <col min="12303" max="12303" width="11.7109375" customWidth="1"/>
    <col min="12304" max="12304" width="14.5703125" bestFit="1" customWidth="1"/>
    <col min="12545" max="12545" width="8.140625" customWidth="1"/>
    <col min="12546" max="12546" width="2.140625" customWidth="1"/>
    <col min="12547" max="12557" width="11.7109375" customWidth="1"/>
    <col min="12558" max="12558" width="3" customWidth="1"/>
    <col min="12559" max="12559" width="11.7109375" customWidth="1"/>
    <col min="12560" max="12560" width="14.5703125" bestFit="1" customWidth="1"/>
    <col min="12801" max="12801" width="8.140625" customWidth="1"/>
    <col min="12802" max="12802" width="2.140625" customWidth="1"/>
    <col min="12803" max="12813" width="11.7109375" customWidth="1"/>
    <col min="12814" max="12814" width="3" customWidth="1"/>
    <col min="12815" max="12815" width="11.7109375" customWidth="1"/>
    <col min="12816" max="12816" width="14.5703125" bestFit="1" customWidth="1"/>
    <col min="13057" max="13057" width="8.140625" customWidth="1"/>
    <col min="13058" max="13058" width="2.140625" customWidth="1"/>
    <col min="13059" max="13069" width="11.7109375" customWidth="1"/>
    <col min="13070" max="13070" width="3" customWidth="1"/>
    <col min="13071" max="13071" width="11.7109375" customWidth="1"/>
    <col min="13072" max="13072" width="14.5703125" bestFit="1" customWidth="1"/>
    <col min="13313" max="13313" width="8.140625" customWidth="1"/>
    <col min="13314" max="13314" width="2.140625" customWidth="1"/>
    <col min="13315" max="13325" width="11.7109375" customWidth="1"/>
    <col min="13326" max="13326" width="3" customWidth="1"/>
    <col min="13327" max="13327" width="11.7109375" customWidth="1"/>
    <col min="13328" max="13328" width="14.5703125" bestFit="1" customWidth="1"/>
    <col min="13569" max="13569" width="8.140625" customWidth="1"/>
    <col min="13570" max="13570" width="2.140625" customWidth="1"/>
    <col min="13571" max="13581" width="11.7109375" customWidth="1"/>
    <col min="13582" max="13582" width="3" customWidth="1"/>
    <col min="13583" max="13583" width="11.7109375" customWidth="1"/>
    <col min="13584" max="13584" width="14.5703125" bestFit="1" customWidth="1"/>
    <col min="13825" max="13825" width="8.140625" customWidth="1"/>
    <col min="13826" max="13826" width="2.140625" customWidth="1"/>
    <col min="13827" max="13837" width="11.7109375" customWidth="1"/>
    <col min="13838" max="13838" width="3" customWidth="1"/>
    <col min="13839" max="13839" width="11.7109375" customWidth="1"/>
    <col min="13840" max="13840" width="14.5703125" bestFit="1" customWidth="1"/>
    <col min="14081" max="14081" width="8.140625" customWidth="1"/>
    <col min="14082" max="14082" width="2.140625" customWidth="1"/>
    <col min="14083" max="14093" width="11.7109375" customWidth="1"/>
    <col min="14094" max="14094" width="3" customWidth="1"/>
    <col min="14095" max="14095" width="11.7109375" customWidth="1"/>
    <col min="14096" max="14096" width="14.5703125" bestFit="1" customWidth="1"/>
    <col min="14337" max="14337" width="8.140625" customWidth="1"/>
    <col min="14338" max="14338" width="2.140625" customWidth="1"/>
    <col min="14339" max="14349" width="11.7109375" customWidth="1"/>
    <col min="14350" max="14350" width="3" customWidth="1"/>
    <col min="14351" max="14351" width="11.7109375" customWidth="1"/>
    <col min="14352" max="14352" width="14.5703125" bestFit="1" customWidth="1"/>
    <col min="14593" max="14593" width="8.140625" customWidth="1"/>
    <col min="14594" max="14594" width="2.140625" customWidth="1"/>
    <col min="14595" max="14605" width="11.7109375" customWidth="1"/>
    <col min="14606" max="14606" width="3" customWidth="1"/>
    <col min="14607" max="14607" width="11.7109375" customWidth="1"/>
    <col min="14608" max="14608" width="14.5703125" bestFit="1" customWidth="1"/>
    <col min="14849" max="14849" width="8.140625" customWidth="1"/>
    <col min="14850" max="14850" width="2.140625" customWidth="1"/>
    <col min="14851" max="14861" width="11.7109375" customWidth="1"/>
    <col min="14862" max="14862" width="3" customWidth="1"/>
    <col min="14863" max="14863" width="11.7109375" customWidth="1"/>
    <col min="14864" max="14864" width="14.5703125" bestFit="1" customWidth="1"/>
    <col min="15105" max="15105" width="8.140625" customWidth="1"/>
    <col min="15106" max="15106" width="2.140625" customWidth="1"/>
    <col min="15107" max="15117" width="11.7109375" customWidth="1"/>
    <col min="15118" max="15118" width="3" customWidth="1"/>
    <col min="15119" max="15119" width="11.7109375" customWidth="1"/>
    <col min="15120" max="15120" width="14.5703125" bestFit="1" customWidth="1"/>
    <col min="15361" max="15361" width="8.140625" customWidth="1"/>
    <col min="15362" max="15362" width="2.140625" customWidth="1"/>
    <col min="15363" max="15373" width="11.7109375" customWidth="1"/>
    <col min="15374" max="15374" width="3" customWidth="1"/>
    <col min="15375" max="15375" width="11.7109375" customWidth="1"/>
    <col min="15376" max="15376" width="14.5703125" bestFit="1" customWidth="1"/>
    <col min="15617" max="15617" width="8.140625" customWidth="1"/>
    <col min="15618" max="15618" width="2.140625" customWidth="1"/>
    <col min="15619" max="15629" width="11.7109375" customWidth="1"/>
    <col min="15630" max="15630" width="3" customWidth="1"/>
    <col min="15631" max="15631" width="11.7109375" customWidth="1"/>
    <col min="15632" max="15632" width="14.5703125" bestFit="1" customWidth="1"/>
    <col min="15873" max="15873" width="8.140625" customWidth="1"/>
    <col min="15874" max="15874" width="2.140625" customWidth="1"/>
    <col min="15875" max="15885" width="11.7109375" customWidth="1"/>
    <col min="15886" max="15886" width="3" customWidth="1"/>
    <col min="15887" max="15887" width="11.7109375" customWidth="1"/>
    <col min="15888" max="15888" width="14.5703125" bestFit="1" customWidth="1"/>
    <col min="16129" max="16129" width="8.140625" customWidth="1"/>
    <col min="16130" max="16130" width="2.140625" customWidth="1"/>
    <col min="16131" max="16141" width="11.7109375" customWidth="1"/>
    <col min="16142" max="16142" width="3" customWidth="1"/>
    <col min="16143" max="16143" width="11.7109375" customWidth="1"/>
    <col min="16144" max="16144" width="14.5703125" bestFit="1" customWidth="1"/>
  </cols>
  <sheetData>
    <row r="1" spans="1:17" x14ac:dyDescent="0.2">
      <c r="A1" s="39" t="s">
        <v>112</v>
      </c>
      <c r="B1" s="40"/>
    </row>
    <row r="2" spans="1:17" x14ac:dyDescent="0.2">
      <c r="A2" s="41" t="str">
        <f>'[3]WUTC_AW of Lynnwood_SF'!A1</f>
        <v>Rabanco Ltd (dba Allied Waste of Lynnwood)</v>
      </c>
      <c r="B2" s="41"/>
    </row>
    <row r="3" spans="1:17" x14ac:dyDescent="0.2">
      <c r="A3" s="41"/>
      <c r="B3" s="41"/>
      <c r="O3" s="54"/>
    </row>
    <row r="4" spans="1:17" x14ac:dyDescent="0.2">
      <c r="A4" s="41"/>
      <c r="B4" s="41"/>
      <c r="O4" s="54" t="str">
        <f>+TEXT(P18,"00.0%")&amp;" of"</f>
        <v>50.0% of</v>
      </c>
    </row>
    <row r="5" spans="1:17" x14ac:dyDescent="0.2">
      <c r="B5" s="51"/>
      <c r="C5" s="43" t="s">
        <v>19</v>
      </c>
      <c r="D5" s="43" t="s">
        <v>20</v>
      </c>
      <c r="E5" s="43" t="s">
        <v>111</v>
      </c>
      <c r="F5" s="43" t="s">
        <v>21</v>
      </c>
      <c r="G5" s="43" t="s">
        <v>22</v>
      </c>
      <c r="H5" s="43" t="s">
        <v>23</v>
      </c>
      <c r="I5" s="43" t="s">
        <v>24</v>
      </c>
      <c r="J5" s="43" t="s">
        <v>25</v>
      </c>
      <c r="K5" s="43" t="s">
        <v>26</v>
      </c>
      <c r="L5" s="43" t="s">
        <v>27</v>
      </c>
      <c r="M5" s="43" t="s">
        <v>28</v>
      </c>
      <c r="O5" s="54" t="s">
        <v>28</v>
      </c>
      <c r="P5" s="43" t="s">
        <v>62</v>
      </c>
    </row>
    <row r="6" spans="1:17" ht="15.75" customHeight="1" x14ac:dyDescent="0.2">
      <c r="A6" s="46">
        <f>+[3]Pricing!A6</f>
        <v>43221</v>
      </c>
      <c r="B6" s="47"/>
      <c r="C6" s="52">
        <f>'[3]Commodity Tonnages'!C6*[3]Pricing!C6</f>
        <v>4455.1426837499994</v>
      </c>
      <c r="D6" s="56">
        <f>'[3]Commodity Tonnages'!D6*[3]Pricing!D6</f>
        <v>-2449.8960657600005</v>
      </c>
      <c r="E6" s="56">
        <f>'[3]Commodity Tonnages'!E6*[3]Pricing!E6</f>
        <v>0</v>
      </c>
      <c r="F6" s="56">
        <f>'[3]Commodity Tonnages'!F6*[3]Pricing!F6</f>
        <v>820.41934920000006</v>
      </c>
      <c r="G6" s="56">
        <f>'[3]Commodity Tonnages'!G6*[3]Pricing!G6</f>
        <v>0</v>
      </c>
      <c r="H6" s="56">
        <f>'[3]Commodity Tonnages'!H6*[3]Pricing!H6</f>
        <v>-4056.8989665600002</v>
      </c>
      <c r="I6" s="56">
        <f>'[3]Commodity Tonnages'!I6*[3]Pricing!I6</f>
        <v>1237.3278863550001</v>
      </c>
      <c r="J6" s="56">
        <f>'[3]Commodity Tonnages'!J6*[3]Pricing!J6</f>
        <v>1237.3278863550001</v>
      </c>
      <c r="K6" s="56">
        <f>'[3]Commodity Tonnages'!K6*[3]Pricing!K6</f>
        <v>4254.3051724799998</v>
      </c>
      <c r="L6" s="56">
        <f>'[3]Commodity Tonnages'!L6*[3]Pricing!L6</f>
        <v>-4378.2397525900105</v>
      </c>
      <c r="M6" s="242">
        <f>SUM(C6:L6)</f>
        <v>1119.4881932299886</v>
      </c>
      <c r="O6" s="58">
        <f>M6*P6</f>
        <v>559.74409661499431</v>
      </c>
      <c r="P6" s="223">
        <v>0.5</v>
      </c>
      <c r="Q6" s="55"/>
    </row>
    <row r="7" spans="1:17" ht="15.75" customHeight="1" x14ac:dyDescent="0.2">
      <c r="A7" s="46">
        <f>+[3]Pricing!A7</f>
        <v>43281</v>
      </c>
      <c r="B7" s="47"/>
      <c r="C7" s="52">
        <f>'[3]Commodity Tonnages'!C7*[3]Pricing!C7</f>
        <v>4214.8533450000004</v>
      </c>
      <c r="D7" s="56">
        <f>'[3]Commodity Tonnages'!D7*[3]Pricing!D7</f>
        <v>-1698.1945863999999</v>
      </c>
      <c r="E7" s="56">
        <f>'[3]Commodity Tonnages'!E7*[3]Pricing!E7</f>
        <v>0</v>
      </c>
      <c r="F7" s="56">
        <f>'[3]Commodity Tonnages'!F7*[3]Pricing!F7</f>
        <v>771.05237550000004</v>
      </c>
      <c r="G7" s="56">
        <f>'[3]Commodity Tonnages'!G7*[3]Pricing!G7</f>
        <v>0</v>
      </c>
      <c r="H7" s="56">
        <f>'[3]Commodity Tonnages'!H7*[3]Pricing!H7</f>
        <v>518.97056000000009</v>
      </c>
      <c r="I7" s="56">
        <f>'[3]Commodity Tonnages'!I7*[3]Pricing!I7</f>
        <v>991.49787420000007</v>
      </c>
      <c r="J7" s="56">
        <f>'[3]Commodity Tonnages'!J7*[3]Pricing!J7</f>
        <v>991.49787420000007</v>
      </c>
      <c r="K7" s="56">
        <f>'[3]Commodity Tonnages'!K7*[3]Pricing!K7</f>
        <v>5378.2953642000002</v>
      </c>
      <c r="L7" s="56">
        <f>'[3]Commodity Tonnages'!L7*[3]Pricing!L7</f>
        <v>-4007.3539927000088</v>
      </c>
      <c r="M7" s="242">
        <f t="shared" ref="M7:M17" si="0">SUM(C7:L7)</f>
        <v>7160.6188139999922</v>
      </c>
      <c r="O7" s="58">
        <f t="shared" ref="O7:O17" si="1">M7*P7</f>
        <v>3580.3094069999961</v>
      </c>
      <c r="P7" s="223">
        <v>0.5</v>
      </c>
      <c r="Q7" s="55"/>
    </row>
    <row r="8" spans="1:17" ht="15.75" customHeight="1" x14ac:dyDescent="0.2">
      <c r="A8" s="46">
        <f>+[3]Pricing!A8</f>
        <v>43312</v>
      </c>
      <c r="B8" s="47"/>
      <c r="C8" s="52">
        <f>'[3]Commodity Tonnages'!C8*[3]Pricing!C8</f>
        <v>4198.5028057500003</v>
      </c>
      <c r="D8" s="56">
        <f>'[3]Commodity Tonnages'!D8*[3]Pricing!D8</f>
        <v>-331.72717032000008</v>
      </c>
      <c r="E8" s="56">
        <f>'[3]Commodity Tonnages'!E8*[3]Pricing!E8</f>
        <v>0</v>
      </c>
      <c r="F8" s="56">
        <f>'[3]Commodity Tonnages'!F8*[3]Pricing!F8</f>
        <v>789.66366930000004</v>
      </c>
      <c r="G8" s="56">
        <f>'[3]Commodity Tonnages'!G8*[3]Pricing!G8</f>
        <v>0</v>
      </c>
      <c r="H8" s="56">
        <f>'[3]Commodity Tonnages'!H8*[3]Pricing!H8</f>
        <v>1138.0650734400003</v>
      </c>
      <c r="I8" s="56">
        <f>'[3]Commodity Tonnages'!I8*[3]Pricing!I8</f>
        <v>1288.8098491950002</v>
      </c>
      <c r="J8" s="56">
        <f>'[3]Commodity Tonnages'!J8*[3]Pricing!J8</f>
        <v>1288.8098491950002</v>
      </c>
      <c r="K8" s="56">
        <f>'[3]Commodity Tonnages'!K8*[3]Pricing!K8</f>
        <v>6404.2365301199998</v>
      </c>
      <c r="L8" s="56">
        <f>'[3]Commodity Tonnages'!L8*[3]Pricing!L8</f>
        <v>-4194.6724515900096</v>
      </c>
      <c r="M8" s="242">
        <f t="shared" si="0"/>
        <v>10581.688155089993</v>
      </c>
      <c r="O8" s="58">
        <f t="shared" si="1"/>
        <v>5290.8440775449963</v>
      </c>
      <c r="P8" s="223">
        <v>0.5</v>
      </c>
      <c r="Q8" s="55"/>
    </row>
    <row r="9" spans="1:17" ht="15.75" customHeight="1" x14ac:dyDescent="0.2">
      <c r="A9" s="46">
        <f>+[3]Pricing!A9</f>
        <v>43343</v>
      </c>
      <c r="B9" s="47"/>
      <c r="C9" s="52">
        <f>'[3]Commodity Tonnages'!C9*[3]Pricing!C9</f>
        <v>3504.6238672499999</v>
      </c>
      <c r="D9" s="56">
        <f>'[3]Commodity Tonnages'!D9*[3]Pricing!D9</f>
        <v>57.397306720000003</v>
      </c>
      <c r="E9" s="56">
        <f>'[3]Commodity Tonnages'!E9*[3]Pricing!E9</f>
        <v>0</v>
      </c>
      <c r="F9" s="56">
        <f>'[3]Commodity Tonnages'!F9*[3]Pricing!F9</f>
        <v>447.71452275000001</v>
      </c>
      <c r="G9" s="56">
        <f>'[3]Commodity Tonnages'!G9*[3]Pricing!G9</f>
        <v>0</v>
      </c>
      <c r="H9" s="56">
        <f>'[3]Commodity Tonnages'!H9*[3]Pricing!H9</f>
        <v>1909.0272617600001</v>
      </c>
      <c r="I9" s="56">
        <f>'[3]Commodity Tonnages'!I9*[3]Pricing!I9</f>
        <v>1659.5631557500001</v>
      </c>
      <c r="J9" s="56">
        <f>'[3]Commodity Tonnages'!J9*[3]Pricing!J9</f>
        <v>1659.5631557500001</v>
      </c>
      <c r="K9" s="56">
        <f>'[3]Commodity Tonnages'!K9*[3]Pricing!K9</f>
        <v>4740.7213180799999</v>
      </c>
      <c r="L9" s="56">
        <f>'[3]Commodity Tonnages'!L9*[3]Pricing!L9</f>
        <v>-3501.4265487700077</v>
      </c>
      <c r="M9" s="242">
        <f t="shared" si="0"/>
        <v>10477.184039289994</v>
      </c>
      <c r="O9" s="58">
        <f t="shared" si="1"/>
        <v>5238.592019644997</v>
      </c>
      <c r="P9" s="223">
        <v>0.5</v>
      </c>
      <c r="Q9" s="55"/>
    </row>
    <row r="10" spans="1:17" ht="15.75" customHeight="1" x14ac:dyDescent="0.2">
      <c r="A10" s="46">
        <f>+[3]Pricing!A10</f>
        <v>43373</v>
      </c>
      <c r="B10" s="47"/>
      <c r="C10" s="52">
        <f>'[3]Commodity Tonnages'!C10*[3]Pricing!C10</f>
        <v>3228.4938210000005</v>
      </c>
      <c r="D10" s="56">
        <f>'[3]Commodity Tonnages'!D10*[3]Pricing!D10</f>
        <v>-1183.7760334400002</v>
      </c>
      <c r="E10" s="56">
        <f>'[3]Commodity Tonnages'!E10*[3]Pricing!E10</f>
        <v>0</v>
      </c>
      <c r="F10" s="56">
        <f>'[3]Commodity Tonnages'!F10*[3]Pricing!F10</f>
        <v>525.95431350000013</v>
      </c>
      <c r="G10" s="56">
        <f>'[3]Commodity Tonnages'!G10*[3]Pricing!G10</f>
        <v>0</v>
      </c>
      <c r="H10" s="56">
        <f>'[3]Commodity Tonnages'!H10*[3]Pricing!H10</f>
        <v>6362.3527072000006</v>
      </c>
      <c r="I10" s="56">
        <f>'[3]Commodity Tonnages'!I10*[3]Pricing!I10</f>
        <v>809.93623361000004</v>
      </c>
      <c r="J10" s="56">
        <f>'[3]Commodity Tonnages'!J10*[3]Pricing!J10</f>
        <v>809.93623361000004</v>
      </c>
      <c r="K10" s="56">
        <f>'[3]Commodity Tonnages'!K10*[3]Pricing!K10</f>
        <v>5207.2875162</v>
      </c>
      <c r="L10" s="56">
        <f>'[3]Commodity Tonnages'!L10*[3]Pricing!L10</f>
        <v>-3652.6700424200085</v>
      </c>
      <c r="M10" s="242">
        <f t="shared" si="0"/>
        <v>12107.514749259994</v>
      </c>
      <c r="O10" s="58">
        <f t="shared" si="1"/>
        <v>6053.7573746299968</v>
      </c>
      <c r="P10" s="223">
        <v>0.5</v>
      </c>
      <c r="Q10" s="55"/>
    </row>
    <row r="11" spans="1:17" ht="15.75" customHeight="1" x14ac:dyDescent="0.2">
      <c r="A11" s="46">
        <f>+[3]Pricing!A11</f>
        <v>43404</v>
      </c>
      <c r="B11" s="47"/>
      <c r="C11" s="52">
        <f>'[3]Commodity Tonnages'!C11*[3]Pricing!C11</f>
        <v>3875.3667592500005</v>
      </c>
      <c r="D11" s="56">
        <f>'[3]Commodity Tonnages'!D11*[3]Pricing!D11</f>
        <v>-1658.5093688800002</v>
      </c>
      <c r="E11" s="56">
        <f>'[3]Commodity Tonnages'!E11*[3]Pricing!E11</f>
        <v>0</v>
      </c>
      <c r="F11" s="56">
        <f>'[3]Commodity Tonnages'!F11*[3]Pricing!F11</f>
        <v>725.90481810000006</v>
      </c>
      <c r="G11" s="56">
        <f>'[3]Commodity Tonnages'!G11*[3]Pricing!G11</f>
        <v>0</v>
      </c>
      <c r="H11" s="56">
        <f>'[3]Commodity Tonnages'!H11*[3]Pricing!H11</f>
        <v>7494.4021252800003</v>
      </c>
      <c r="I11" s="56">
        <f>'[3]Commodity Tonnages'!I11*[3]Pricing!I11</f>
        <v>950.78129251000007</v>
      </c>
      <c r="J11" s="56">
        <f>'[3]Commodity Tonnages'!J11*[3]Pricing!J11</f>
        <v>950.78129251000007</v>
      </c>
      <c r="K11" s="56">
        <f>'[3]Commodity Tonnages'!K11*[3]Pricing!K11</f>
        <v>7187.9618764800007</v>
      </c>
      <c r="L11" s="56">
        <f>'[3]Commodity Tonnages'!L11*[3]Pricing!L11</f>
        <v>-4491.2533605100098</v>
      </c>
      <c r="M11" s="242">
        <f t="shared" si="0"/>
        <v>15035.435434739993</v>
      </c>
      <c r="O11" s="58">
        <f t="shared" si="1"/>
        <v>7517.7177173699965</v>
      </c>
      <c r="P11" s="223">
        <v>0.5</v>
      </c>
      <c r="Q11" s="55"/>
    </row>
    <row r="12" spans="1:17" ht="15.75" customHeight="1" x14ac:dyDescent="0.2">
      <c r="A12" s="46">
        <f>+[3]Pricing!A12</f>
        <v>43434</v>
      </c>
      <c r="B12" s="47"/>
      <c r="C12" s="52">
        <f>'[3]Commodity Tonnages'!C12*[3]Pricing!C12</f>
        <v>0</v>
      </c>
      <c r="D12" s="56">
        <f>'[3]Commodity Tonnages'!D12*[3]Pricing!D12</f>
        <v>0</v>
      </c>
      <c r="E12" s="56">
        <f>'[3]Commodity Tonnages'!E12*[3]Pricing!E12</f>
        <v>0</v>
      </c>
      <c r="F12" s="56">
        <f>'[3]Commodity Tonnages'!F12*[3]Pricing!F12</f>
        <v>0</v>
      </c>
      <c r="G12" s="56">
        <f>'[3]Commodity Tonnages'!G12*[3]Pricing!G12</f>
        <v>0</v>
      </c>
      <c r="H12" s="56">
        <f>'[3]Commodity Tonnages'!H12*[3]Pricing!H12</f>
        <v>0</v>
      </c>
      <c r="I12" s="56">
        <f>'[3]Commodity Tonnages'!I12*[3]Pricing!I12</f>
        <v>0</v>
      </c>
      <c r="J12" s="56">
        <f>'[3]Commodity Tonnages'!J12*[3]Pricing!J12</f>
        <v>0</v>
      </c>
      <c r="K12" s="56">
        <f>'[3]Commodity Tonnages'!K12*[3]Pricing!K12</f>
        <v>0</v>
      </c>
      <c r="L12" s="56">
        <f>'[3]Commodity Tonnages'!L12*[3]Pricing!L12</f>
        <v>0</v>
      </c>
      <c r="M12" s="242">
        <f t="shared" si="0"/>
        <v>0</v>
      </c>
      <c r="O12" s="58">
        <f t="shared" si="1"/>
        <v>0</v>
      </c>
      <c r="P12" s="223">
        <v>0.5</v>
      </c>
      <c r="Q12" s="55"/>
    </row>
    <row r="13" spans="1:17" ht="15.75" customHeight="1" x14ac:dyDescent="0.2">
      <c r="A13" s="46">
        <f>+[3]Pricing!A13</f>
        <v>43465</v>
      </c>
      <c r="B13" s="47"/>
      <c r="C13" s="52">
        <f>'[3]Commodity Tonnages'!C13*[3]Pricing!C13</f>
        <v>0</v>
      </c>
      <c r="D13" s="56">
        <f>'[3]Commodity Tonnages'!D13*[3]Pricing!D13</f>
        <v>0</v>
      </c>
      <c r="E13" s="56">
        <f>'[3]Commodity Tonnages'!E13*[3]Pricing!E13</f>
        <v>0</v>
      </c>
      <c r="F13" s="56">
        <f>'[3]Commodity Tonnages'!F13*[3]Pricing!F13</f>
        <v>0</v>
      </c>
      <c r="G13" s="56">
        <f>'[3]Commodity Tonnages'!G13*[3]Pricing!G13</f>
        <v>0</v>
      </c>
      <c r="H13" s="56">
        <f>'[3]Commodity Tonnages'!H13*[3]Pricing!H13</f>
        <v>0</v>
      </c>
      <c r="I13" s="56">
        <f>'[3]Commodity Tonnages'!I13*[3]Pricing!I13</f>
        <v>0</v>
      </c>
      <c r="J13" s="56">
        <f>'[3]Commodity Tonnages'!J13*[3]Pricing!J13</f>
        <v>0</v>
      </c>
      <c r="K13" s="56">
        <f>'[3]Commodity Tonnages'!K13*[3]Pricing!K13</f>
        <v>0</v>
      </c>
      <c r="L13" s="56">
        <f>'[3]Commodity Tonnages'!L13*[3]Pricing!L13</f>
        <v>0</v>
      </c>
      <c r="M13" s="242">
        <f t="shared" si="0"/>
        <v>0</v>
      </c>
      <c r="O13" s="58">
        <f t="shared" si="1"/>
        <v>0</v>
      </c>
      <c r="P13" s="223">
        <v>0.5</v>
      </c>
      <c r="Q13" s="55"/>
    </row>
    <row r="14" spans="1:17" ht="15.75" customHeight="1" x14ac:dyDescent="0.2">
      <c r="A14" s="46">
        <f>+[3]Pricing!A14</f>
        <v>43496</v>
      </c>
      <c r="B14" s="47"/>
      <c r="C14" s="52">
        <f>'[3]Commodity Tonnages'!C14*[3]Pricing!C14</f>
        <v>0</v>
      </c>
      <c r="D14" s="56">
        <f>'[3]Commodity Tonnages'!D14*[3]Pricing!D14</f>
        <v>0</v>
      </c>
      <c r="E14" s="56">
        <f>'[3]Commodity Tonnages'!E14*[3]Pricing!E14</f>
        <v>0</v>
      </c>
      <c r="F14" s="56">
        <f>'[3]Commodity Tonnages'!F14*[3]Pricing!F14</f>
        <v>0</v>
      </c>
      <c r="G14" s="56">
        <f>'[3]Commodity Tonnages'!G14*[3]Pricing!G14</f>
        <v>0</v>
      </c>
      <c r="H14" s="56">
        <f>'[3]Commodity Tonnages'!H14*[3]Pricing!H14</f>
        <v>0</v>
      </c>
      <c r="I14" s="56">
        <f>'[3]Commodity Tonnages'!I14*[3]Pricing!I14</f>
        <v>0</v>
      </c>
      <c r="J14" s="56">
        <f>'[3]Commodity Tonnages'!J14*[3]Pricing!J14</f>
        <v>0</v>
      </c>
      <c r="K14" s="56">
        <f>'[3]Commodity Tonnages'!K14*[3]Pricing!K14</f>
        <v>0</v>
      </c>
      <c r="L14" s="56">
        <f>'[3]Commodity Tonnages'!L14*[3]Pricing!L14</f>
        <v>0</v>
      </c>
      <c r="M14" s="242">
        <f t="shared" si="0"/>
        <v>0</v>
      </c>
      <c r="O14" s="58">
        <f t="shared" si="1"/>
        <v>0</v>
      </c>
      <c r="P14" s="223">
        <v>0.5</v>
      </c>
      <c r="Q14" s="55"/>
    </row>
    <row r="15" spans="1:17" ht="15.75" customHeight="1" x14ac:dyDescent="0.2">
      <c r="A15" s="46">
        <f>+[3]Pricing!A15</f>
        <v>43524</v>
      </c>
      <c r="B15" s="47"/>
      <c r="C15" s="52">
        <f>'[3]Commodity Tonnages'!C15*[3]Pricing!C15</f>
        <v>0</v>
      </c>
      <c r="D15" s="56">
        <f>'[3]Commodity Tonnages'!D15*[3]Pricing!D15</f>
        <v>0</v>
      </c>
      <c r="E15" s="56">
        <f>'[3]Commodity Tonnages'!E15*[3]Pricing!E15</f>
        <v>0</v>
      </c>
      <c r="F15" s="56">
        <f>'[3]Commodity Tonnages'!F15*[3]Pricing!F15</f>
        <v>0</v>
      </c>
      <c r="G15" s="56">
        <f>'[3]Commodity Tonnages'!G15*[3]Pricing!G15</f>
        <v>0</v>
      </c>
      <c r="H15" s="56">
        <f>'[3]Commodity Tonnages'!H15*[3]Pricing!H15</f>
        <v>0</v>
      </c>
      <c r="I15" s="56">
        <f>'[3]Commodity Tonnages'!I15*[3]Pricing!I15</f>
        <v>0</v>
      </c>
      <c r="J15" s="56">
        <f>'[3]Commodity Tonnages'!J15*[3]Pricing!J15</f>
        <v>0</v>
      </c>
      <c r="K15" s="56">
        <f>'[3]Commodity Tonnages'!K15*[3]Pricing!K15</f>
        <v>0</v>
      </c>
      <c r="L15" s="56">
        <f>'[3]Commodity Tonnages'!L15*[3]Pricing!L15</f>
        <v>0</v>
      </c>
      <c r="M15" s="242">
        <f t="shared" si="0"/>
        <v>0</v>
      </c>
      <c r="O15" s="58">
        <f t="shared" si="1"/>
        <v>0</v>
      </c>
      <c r="P15" s="223">
        <v>0.5</v>
      </c>
      <c r="Q15" s="55"/>
    </row>
    <row r="16" spans="1:17" ht="15.75" customHeight="1" x14ac:dyDescent="0.2">
      <c r="A16" s="46">
        <f>+[3]Pricing!A16</f>
        <v>43555</v>
      </c>
      <c r="B16" s="47"/>
      <c r="C16" s="52">
        <f>'[3]Commodity Tonnages'!C16*[3]Pricing!C16</f>
        <v>0</v>
      </c>
      <c r="D16" s="56">
        <f>'[3]Commodity Tonnages'!D16*[3]Pricing!D16</f>
        <v>0</v>
      </c>
      <c r="E16" s="56">
        <f>'[3]Commodity Tonnages'!E16*[3]Pricing!E16</f>
        <v>0</v>
      </c>
      <c r="F16" s="56">
        <f>'[3]Commodity Tonnages'!F16*[3]Pricing!F16</f>
        <v>0</v>
      </c>
      <c r="G16" s="56">
        <f>'[3]Commodity Tonnages'!G16*[3]Pricing!G16</f>
        <v>0</v>
      </c>
      <c r="H16" s="56">
        <f>'[3]Commodity Tonnages'!H16*[3]Pricing!H16</f>
        <v>0</v>
      </c>
      <c r="I16" s="56">
        <f>'[3]Commodity Tonnages'!I16*[3]Pricing!I16</f>
        <v>0</v>
      </c>
      <c r="J16" s="56">
        <f>'[3]Commodity Tonnages'!J16*[3]Pricing!J16</f>
        <v>0</v>
      </c>
      <c r="K16" s="56">
        <f>'[3]Commodity Tonnages'!K16*[3]Pricing!K16</f>
        <v>0</v>
      </c>
      <c r="L16" s="56">
        <f>'[3]Commodity Tonnages'!L16*[3]Pricing!L16</f>
        <v>0</v>
      </c>
      <c r="M16" s="242">
        <f t="shared" si="0"/>
        <v>0</v>
      </c>
      <c r="O16" s="58">
        <f t="shared" si="1"/>
        <v>0</v>
      </c>
      <c r="P16" s="223">
        <v>0.5</v>
      </c>
      <c r="Q16" s="55"/>
    </row>
    <row r="17" spans="1:18" ht="15.75" customHeight="1" x14ac:dyDescent="0.2">
      <c r="A17" s="46">
        <f>+[3]Pricing!A17</f>
        <v>43585</v>
      </c>
      <c r="B17" s="47"/>
      <c r="C17" s="52">
        <f>'[3]Commodity Tonnages'!C17*[3]Pricing!C17</f>
        <v>0</v>
      </c>
      <c r="D17" s="56">
        <f>'[3]Commodity Tonnages'!D17*[3]Pricing!D17</f>
        <v>0</v>
      </c>
      <c r="E17" s="56">
        <f>'[3]Commodity Tonnages'!E17*[3]Pricing!E17</f>
        <v>0</v>
      </c>
      <c r="F17" s="56">
        <f>'[3]Commodity Tonnages'!F17*[3]Pricing!F17</f>
        <v>0</v>
      </c>
      <c r="G17" s="56">
        <f>'[3]Commodity Tonnages'!G17*[3]Pricing!G17</f>
        <v>0</v>
      </c>
      <c r="H17" s="56">
        <f>'[3]Commodity Tonnages'!H17*[3]Pricing!H17</f>
        <v>0</v>
      </c>
      <c r="I17" s="56">
        <f>'[3]Commodity Tonnages'!I17*[3]Pricing!I17</f>
        <v>0</v>
      </c>
      <c r="J17" s="56">
        <f>'[3]Commodity Tonnages'!J17*[3]Pricing!J17</f>
        <v>0</v>
      </c>
      <c r="K17" s="56">
        <f>'[3]Commodity Tonnages'!K17*[3]Pricing!K17</f>
        <v>0</v>
      </c>
      <c r="L17" s="56">
        <f>'[3]Commodity Tonnages'!L17*[3]Pricing!L17</f>
        <v>0</v>
      </c>
      <c r="M17" s="242">
        <f t="shared" si="0"/>
        <v>0</v>
      </c>
      <c r="O17" s="58">
        <f t="shared" si="1"/>
        <v>0</v>
      </c>
      <c r="P17" s="223">
        <v>0.5</v>
      </c>
      <c r="Q17" s="55"/>
    </row>
    <row r="18" spans="1:18" ht="15.75" customHeight="1" x14ac:dyDescent="0.2">
      <c r="A18" s="50" t="s">
        <v>30</v>
      </c>
      <c r="B18" s="47"/>
      <c r="C18" s="59">
        <f t="shared" ref="C18:L18" si="2">SUM(C6:C17)</f>
        <v>23476.983282000001</v>
      </c>
      <c r="D18" s="60">
        <f t="shared" si="2"/>
        <v>-7264.7059180800006</v>
      </c>
      <c r="E18" s="60">
        <f t="shared" si="2"/>
        <v>0</v>
      </c>
      <c r="F18" s="59">
        <f t="shared" si="2"/>
        <v>4080.7090483499996</v>
      </c>
      <c r="G18" s="59">
        <f t="shared" si="2"/>
        <v>0</v>
      </c>
      <c r="H18" s="59">
        <f t="shared" si="2"/>
        <v>13365.918761120001</v>
      </c>
      <c r="I18" s="59">
        <f t="shared" si="2"/>
        <v>6937.9162916200003</v>
      </c>
      <c r="J18" s="59">
        <f t="shared" si="2"/>
        <v>6937.9162916200003</v>
      </c>
      <c r="K18" s="59">
        <f t="shared" si="2"/>
        <v>33172.807777560003</v>
      </c>
      <c r="L18" s="60">
        <f t="shared" si="2"/>
        <v>-24225.616148580059</v>
      </c>
      <c r="M18" s="107">
        <f>SUM(C18:L18)</f>
        <v>56481.929385609954</v>
      </c>
      <c r="O18" s="222">
        <f>SUM(O6:O17)</f>
        <v>28240.964692804977</v>
      </c>
      <c r="P18" s="80">
        <f>+O18/M18</f>
        <v>0.5</v>
      </c>
      <c r="R18" s="53"/>
    </row>
    <row r="19" spans="1:18" x14ac:dyDescent="0.2">
      <c r="A19" s="47"/>
      <c r="B19" s="47"/>
      <c r="C19" s="52"/>
      <c r="D19" s="52"/>
      <c r="E19" s="52"/>
      <c r="F19" s="52"/>
      <c r="G19" s="52"/>
      <c r="H19" s="52"/>
      <c r="I19" s="52"/>
      <c r="J19" s="52"/>
      <c r="K19" s="52"/>
      <c r="L19" s="52"/>
      <c r="M19" s="52"/>
      <c r="O19" s="160"/>
    </row>
    <row r="20" spans="1:18" x14ac:dyDescent="0.2">
      <c r="A20" s="47"/>
      <c r="B20" s="47"/>
      <c r="C20" s="47"/>
      <c r="D20" s="47"/>
      <c r="E20" s="47"/>
      <c r="F20" s="47"/>
      <c r="G20" s="47"/>
      <c r="H20" s="47"/>
      <c r="I20" s="47"/>
      <c r="J20" s="47"/>
      <c r="K20" s="47"/>
      <c r="L20" s="47"/>
      <c r="M20" s="48"/>
      <c r="O20" s="241"/>
    </row>
    <row r="21" spans="1:18" x14ac:dyDescent="0.2">
      <c r="A21" s="47"/>
      <c r="B21" s="47"/>
      <c r="C21" s="47"/>
      <c r="D21" s="47"/>
      <c r="E21" s="47"/>
      <c r="F21" s="47"/>
      <c r="G21" s="47"/>
      <c r="H21" s="47"/>
      <c r="I21" s="47"/>
      <c r="J21" s="47"/>
      <c r="K21" s="47"/>
      <c r="L21" s="47"/>
      <c r="M21" s="48"/>
      <c r="O21" s="220"/>
    </row>
    <row r="22" spans="1:18" x14ac:dyDescent="0.2">
      <c r="A22" s="47"/>
      <c r="B22" s="47"/>
      <c r="C22" s="47"/>
      <c r="D22" s="47"/>
      <c r="E22" s="47"/>
      <c r="F22" s="47"/>
      <c r="G22" s="47"/>
      <c r="H22" s="47"/>
      <c r="I22" s="47"/>
      <c r="J22" s="47"/>
      <c r="K22" s="47"/>
      <c r="L22" s="47"/>
      <c r="M22" s="48"/>
    </row>
    <row r="23" spans="1:18" x14ac:dyDescent="0.2">
      <c r="A23" s="47"/>
      <c r="B23" s="47"/>
      <c r="C23" s="47"/>
      <c r="D23" s="47"/>
      <c r="E23" s="47"/>
      <c r="F23" s="47"/>
      <c r="G23" s="47"/>
      <c r="H23" s="47"/>
      <c r="I23" s="47"/>
      <c r="J23" s="47"/>
      <c r="K23" s="47"/>
      <c r="L23" s="47"/>
      <c r="M23" s="48"/>
    </row>
    <row r="24" spans="1:18" x14ac:dyDescent="0.2">
      <c r="A24" s="47"/>
      <c r="B24" s="47"/>
      <c r="C24" s="47"/>
      <c r="D24" s="47"/>
      <c r="E24" s="47"/>
      <c r="F24" s="47"/>
      <c r="G24" s="47"/>
      <c r="H24" s="47"/>
      <c r="I24" s="47"/>
      <c r="J24" s="47"/>
      <c r="K24" s="47"/>
      <c r="L24" s="47"/>
      <c r="M24" s="48"/>
    </row>
    <row r="25" spans="1:18" x14ac:dyDescent="0.2">
      <c r="A25" s="47"/>
      <c r="B25" s="47"/>
      <c r="C25" s="47"/>
      <c r="D25" s="47"/>
      <c r="E25" s="47"/>
      <c r="F25" s="47"/>
      <c r="G25" s="47"/>
      <c r="H25" s="47"/>
      <c r="I25" s="47"/>
      <c r="J25" s="47"/>
      <c r="K25" s="47"/>
      <c r="L25" s="47"/>
      <c r="M25" s="48"/>
    </row>
    <row r="26" spans="1:18" x14ac:dyDescent="0.2">
      <c r="A26" s="47"/>
      <c r="B26" s="47"/>
      <c r="C26" s="47"/>
      <c r="D26" s="47"/>
      <c r="E26" s="47"/>
      <c r="F26" s="47"/>
      <c r="G26" s="47"/>
      <c r="H26" s="47"/>
      <c r="I26" s="47"/>
      <c r="J26" s="47"/>
      <c r="K26" s="47"/>
      <c r="L26" s="47"/>
      <c r="M26" s="48"/>
    </row>
    <row r="27" spans="1:18" x14ac:dyDescent="0.2">
      <c r="A27" s="47"/>
      <c r="B27" s="47"/>
      <c r="C27" s="47"/>
      <c r="D27" s="47"/>
      <c r="E27" s="47"/>
      <c r="F27" s="47"/>
      <c r="G27" s="47"/>
      <c r="H27" s="47"/>
      <c r="I27" s="47"/>
      <c r="J27" s="47"/>
      <c r="K27" s="47"/>
      <c r="L27" s="47"/>
      <c r="M27" s="48"/>
    </row>
    <row r="28" spans="1:18" x14ac:dyDescent="0.2">
      <c r="A28" s="47"/>
      <c r="B28" s="47"/>
      <c r="C28" s="47"/>
      <c r="D28" s="47"/>
      <c r="E28" s="47"/>
      <c r="F28" s="47"/>
      <c r="G28" s="47"/>
      <c r="H28" s="47"/>
      <c r="I28" s="47"/>
      <c r="J28" s="47"/>
      <c r="K28" s="47"/>
      <c r="L28" s="47"/>
      <c r="M28" s="47"/>
    </row>
    <row r="29" spans="1:18" x14ac:dyDescent="0.2">
      <c r="A29" s="47"/>
      <c r="B29" s="47"/>
      <c r="C29" s="47"/>
      <c r="D29" s="47"/>
      <c r="E29" s="47"/>
      <c r="F29" s="47"/>
      <c r="G29" s="47"/>
      <c r="H29" s="47"/>
      <c r="I29" s="47"/>
      <c r="J29" s="47"/>
      <c r="K29" s="47"/>
      <c r="L29" s="47"/>
      <c r="M29" s="47"/>
    </row>
    <row r="30" spans="1:18" x14ac:dyDescent="0.2">
      <c r="A30" s="47"/>
      <c r="B30" s="47"/>
      <c r="C30" s="47"/>
      <c r="D30" s="47"/>
      <c r="E30" s="47"/>
      <c r="F30" s="47"/>
      <c r="G30" s="47"/>
      <c r="H30" s="47"/>
      <c r="I30" s="47"/>
      <c r="J30" s="47"/>
      <c r="K30" s="47"/>
      <c r="L30" s="47"/>
      <c r="M30" s="47"/>
    </row>
    <row r="31" spans="1:18" x14ac:dyDescent="0.2">
      <c r="A31" s="47"/>
      <c r="B31" s="47"/>
      <c r="C31" s="47"/>
      <c r="D31" s="47"/>
      <c r="E31" s="47"/>
      <c r="F31" s="47"/>
      <c r="G31" s="47"/>
      <c r="H31" s="47"/>
      <c r="I31" s="47"/>
      <c r="J31" s="47"/>
      <c r="K31" s="47"/>
      <c r="L31" s="47"/>
      <c r="M31" s="47"/>
    </row>
    <row r="32" spans="1:18" x14ac:dyDescent="0.2">
      <c r="A32" s="47"/>
      <c r="B32" s="47"/>
      <c r="C32" s="47"/>
      <c r="D32" s="47"/>
      <c r="E32" s="47"/>
      <c r="F32" s="47"/>
      <c r="G32" s="47"/>
      <c r="H32" s="47"/>
      <c r="I32" s="47"/>
      <c r="J32" s="47"/>
      <c r="K32" s="47"/>
      <c r="L32" s="47"/>
      <c r="M32" s="47"/>
    </row>
    <row r="33" spans="1:13" x14ac:dyDescent="0.2">
      <c r="A33" s="47"/>
      <c r="B33" s="47"/>
      <c r="C33" s="47"/>
      <c r="D33" s="47"/>
      <c r="E33" s="47"/>
      <c r="F33" s="47"/>
      <c r="G33" s="47"/>
      <c r="H33" s="47"/>
      <c r="I33" s="47"/>
      <c r="J33" s="47"/>
      <c r="K33" s="47"/>
      <c r="L33" s="47"/>
      <c r="M33" s="47"/>
    </row>
    <row r="34" spans="1:13" x14ac:dyDescent="0.2">
      <c r="A34" s="47"/>
      <c r="B34" s="47"/>
      <c r="C34" s="47"/>
      <c r="D34" s="47"/>
      <c r="E34" s="47"/>
      <c r="F34" s="47"/>
      <c r="G34" s="47"/>
      <c r="H34" s="47"/>
      <c r="I34" s="47"/>
      <c r="J34" s="47"/>
      <c r="K34" s="47"/>
      <c r="L34" s="47"/>
      <c r="M34" s="47"/>
    </row>
    <row r="35" spans="1:13" x14ac:dyDescent="0.2">
      <c r="A35" s="47"/>
      <c r="B35" s="47"/>
      <c r="C35" s="47"/>
      <c r="D35" s="47"/>
      <c r="E35" s="47"/>
      <c r="F35" s="47"/>
      <c r="G35" s="47"/>
      <c r="H35" s="47"/>
      <c r="I35" s="47"/>
      <c r="J35" s="47"/>
      <c r="K35" s="47"/>
      <c r="L35" s="47"/>
      <c r="M35" s="47"/>
    </row>
    <row r="36" spans="1:13" x14ac:dyDescent="0.2">
      <c r="A36" s="47"/>
      <c r="B36" s="47"/>
      <c r="C36" s="47"/>
      <c r="D36" s="47"/>
      <c r="E36" s="47"/>
      <c r="F36" s="47"/>
      <c r="G36" s="47"/>
      <c r="H36" s="47"/>
      <c r="I36" s="47"/>
      <c r="J36" s="47"/>
      <c r="K36" s="47"/>
      <c r="L36" s="47"/>
      <c r="M36" s="47"/>
    </row>
    <row r="37" spans="1:13" x14ac:dyDescent="0.2">
      <c r="A37" s="47"/>
      <c r="B37" s="47"/>
      <c r="C37" s="47"/>
      <c r="D37" s="47"/>
      <c r="E37" s="47"/>
      <c r="F37" s="47"/>
      <c r="G37" s="47"/>
      <c r="H37" s="47"/>
      <c r="I37" s="47"/>
      <c r="J37" s="47"/>
      <c r="K37" s="47"/>
      <c r="L37" s="47"/>
      <c r="M37" s="47"/>
    </row>
    <row r="38" spans="1:13" x14ac:dyDescent="0.2">
      <c r="A38" s="47"/>
      <c r="B38" s="47"/>
      <c r="C38" s="47"/>
      <c r="D38" s="47"/>
      <c r="E38" s="47"/>
      <c r="F38" s="47"/>
      <c r="G38" s="47"/>
      <c r="H38" s="47"/>
      <c r="I38" s="47"/>
      <c r="J38" s="47"/>
      <c r="K38" s="47"/>
      <c r="L38" s="47"/>
      <c r="M38" s="47"/>
    </row>
    <row r="39" spans="1:13" x14ac:dyDescent="0.2">
      <c r="A39" s="47"/>
      <c r="B39" s="47"/>
      <c r="C39" s="47"/>
      <c r="D39" s="47"/>
      <c r="E39" s="47"/>
      <c r="F39" s="47"/>
      <c r="G39" s="47"/>
      <c r="H39" s="47"/>
      <c r="I39" s="47"/>
      <c r="J39" s="47"/>
      <c r="K39" s="47"/>
      <c r="L39" s="47"/>
      <c r="M39" s="47"/>
    </row>
    <row r="40" spans="1:13" x14ac:dyDescent="0.2">
      <c r="A40" s="47"/>
      <c r="B40" s="47"/>
      <c r="C40" s="47"/>
      <c r="D40" s="47"/>
      <c r="E40" s="47"/>
      <c r="F40" s="47"/>
      <c r="G40" s="47"/>
      <c r="H40" s="47"/>
      <c r="I40" s="47"/>
      <c r="J40" s="47"/>
      <c r="K40" s="47"/>
      <c r="L40" s="47"/>
      <c r="M40" s="47"/>
    </row>
    <row r="41" spans="1:13" x14ac:dyDescent="0.2">
      <c r="A41" s="47"/>
      <c r="B41" s="47"/>
      <c r="C41" s="47"/>
      <c r="D41" s="47"/>
      <c r="E41" s="47"/>
      <c r="F41" s="47"/>
      <c r="G41" s="47"/>
      <c r="H41" s="47"/>
      <c r="I41" s="47"/>
      <c r="J41" s="47"/>
      <c r="K41" s="47"/>
      <c r="L41" s="47"/>
      <c r="M41" s="47"/>
    </row>
    <row r="42" spans="1:13" x14ac:dyDescent="0.2">
      <c r="A42" s="47"/>
      <c r="B42" s="47"/>
      <c r="C42" s="47"/>
      <c r="D42" s="47"/>
      <c r="E42" s="47"/>
      <c r="F42" s="47"/>
      <c r="G42" s="47"/>
      <c r="H42" s="47"/>
      <c r="I42" s="47"/>
      <c r="J42" s="47"/>
      <c r="K42" s="47"/>
      <c r="L42" s="47"/>
      <c r="M42" s="47"/>
    </row>
    <row r="43" spans="1:13" x14ac:dyDescent="0.2">
      <c r="A43" s="47"/>
      <c r="B43" s="47"/>
      <c r="C43" s="47"/>
      <c r="D43" s="47"/>
      <c r="E43" s="47"/>
      <c r="F43" s="47"/>
      <c r="G43" s="47"/>
      <c r="H43" s="47"/>
      <c r="I43" s="47"/>
      <c r="J43" s="47"/>
      <c r="K43" s="47"/>
      <c r="L43" s="47"/>
      <c r="M43" s="47"/>
    </row>
    <row r="44" spans="1:13" x14ac:dyDescent="0.2">
      <c r="A44" s="47"/>
      <c r="B44" s="47"/>
      <c r="C44" s="47"/>
      <c r="D44" s="47"/>
      <c r="E44" s="47"/>
      <c r="F44" s="47"/>
      <c r="G44" s="47"/>
      <c r="H44" s="47"/>
      <c r="I44" s="47"/>
      <c r="J44" s="47"/>
      <c r="K44" s="47"/>
      <c r="L44" s="47"/>
      <c r="M44" s="47"/>
    </row>
    <row r="45" spans="1:13" x14ac:dyDescent="0.2">
      <c r="A45" s="47"/>
      <c r="B45" s="47"/>
      <c r="C45" s="47"/>
      <c r="D45" s="47"/>
      <c r="E45" s="47"/>
      <c r="F45" s="47"/>
      <c r="G45" s="47"/>
      <c r="H45" s="47"/>
      <c r="I45" s="47"/>
      <c r="J45" s="47"/>
      <c r="K45" s="47"/>
      <c r="L45" s="47"/>
      <c r="M45" s="47"/>
    </row>
    <row r="46" spans="1:13" x14ac:dyDescent="0.2">
      <c r="A46" s="47"/>
      <c r="B46" s="47"/>
      <c r="C46" s="47"/>
      <c r="D46" s="47"/>
      <c r="E46" s="47"/>
      <c r="F46" s="47"/>
      <c r="G46" s="47"/>
      <c r="H46" s="47"/>
      <c r="I46" s="47"/>
      <c r="J46" s="47"/>
      <c r="K46" s="47"/>
      <c r="L46" s="47"/>
      <c r="M46" s="47"/>
    </row>
    <row r="47" spans="1:13" x14ac:dyDescent="0.2">
      <c r="A47" s="47"/>
      <c r="B47" s="47"/>
      <c r="C47" s="47"/>
      <c r="D47" s="47"/>
      <c r="E47" s="47"/>
      <c r="F47" s="47"/>
      <c r="G47" s="47"/>
      <c r="H47" s="47"/>
      <c r="I47" s="47"/>
      <c r="J47" s="47"/>
      <c r="K47" s="47"/>
      <c r="L47" s="47"/>
      <c r="M47" s="47"/>
    </row>
    <row r="48" spans="1:13" x14ac:dyDescent="0.2">
      <c r="A48" s="47"/>
      <c r="B48" s="47"/>
      <c r="C48" s="47"/>
      <c r="D48" s="47"/>
      <c r="E48" s="47"/>
      <c r="F48" s="47"/>
      <c r="G48" s="47"/>
      <c r="H48" s="47"/>
      <c r="I48" s="47"/>
      <c r="J48" s="47"/>
      <c r="K48" s="47"/>
      <c r="L48" s="47"/>
      <c r="M48" s="47"/>
    </row>
    <row r="49" spans="1:13" x14ac:dyDescent="0.2">
      <c r="A49" s="47"/>
      <c r="B49" s="47"/>
      <c r="C49" s="47"/>
      <c r="D49" s="47"/>
      <c r="E49" s="47"/>
      <c r="F49" s="47"/>
      <c r="G49" s="47"/>
      <c r="H49" s="47"/>
      <c r="I49" s="47"/>
      <c r="J49" s="47"/>
      <c r="K49" s="47"/>
      <c r="L49" s="47"/>
      <c r="M49" s="47"/>
    </row>
    <row r="50" spans="1:13" x14ac:dyDescent="0.2">
      <c r="A50" s="47"/>
      <c r="B50" s="47"/>
      <c r="C50" s="47"/>
      <c r="D50" s="47"/>
      <c r="E50" s="47"/>
      <c r="F50" s="47"/>
      <c r="G50" s="47"/>
      <c r="H50" s="47"/>
      <c r="I50" s="47"/>
      <c r="J50" s="47"/>
      <c r="K50" s="47"/>
      <c r="L50" s="47"/>
      <c r="M50" s="47"/>
    </row>
    <row r="51" spans="1:13" x14ac:dyDescent="0.2">
      <c r="A51" s="47"/>
      <c r="B51" s="47"/>
      <c r="C51" s="47"/>
      <c r="D51" s="47"/>
      <c r="E51" s="47"/>
      <c r="F51" s="47"/>
      <c r="G51" s="47"/>
      <c r="H51" s="47"/>
      <c r="I51" s="47"/>
      <c r="J51" s="47"/>
      <c r="K51" s="47"/>
      <c r="L51" s="47"/>
      <c r="M51" s="47"/>
    </row>
    <row r="52" spans="1:13" x14ac:dyDescent="0.2">
      <c r="A52" s="47"/>
      <c r="B52" s="47"/>
      <c r="C52" s="47"/>
      <c r="D52" s="47"/>
      <c r="E52" s="47"/>
      <c r="F52" s="47"/>
      <c r="G52" s="47"/>
      <c r="H52" s="47"/>
      <c r="I52" s="47"/>
      <c r="J52" s="47"/>
      <c r="K52" s="47"/>
      <c r="L52" s="47"/>
      <c r="M52" s="47"/>
    </row>
    <row r="53" spans="1:13" x14ac:dyDescent="0.2">
      <c r="A53" s="47"/>
      <c r="B53" s="47"/>
      <c r="C53" s="47"/>
      <c r="D53" s="47"/>
      <c r="E53" s="47"/>
      <c r="F53" s="47"/>
      <c r="G53" s="47"/>
      <c r="H53" s="47"/>
      <c r="I53" s="47"/>
      <c r="J53" s="47"/>
      <c r="K53" s="47"/>
      <c r="L53" s="47"/>
      <c r="M53" s="47"/>
    </row>
    <row r="54" spans="1:13" x14ac:dyDescent="0.2">
      <c r="A54" s="47"/>
      <c r="B54" s="47"/>
      <c r="C54" s="47"/>
      <c r="D54" s="47"/>
      <c r="E54" s="47"/>
      <c r="F54" s="47"/>
      <c r="G54" s="47"/>
      <c r="H54" s="47"/>
      <c r="I54" s="47"/>
      <c r="J54" s="47"/>
      <c r="K54" s="47"/>
      <c r="L54" s="47"/>
      <c r="M54" s="47"/>
    </row>
    <row r="55" spans="1:13" x14ac:dyDescent="0.2">
      <c r="A55" s="47"/>
      <c r="B55" s="47"/>
      <c r="C55" s="47"/>
      <c r="D55" s="47"/>
      <c r="E55" s="47"/>
      <c r="F55" s="47"/>
      <c r="G55" s="47"/>
      <c r="H55" s="47"/>
      <c r="I55" s="47"/>
      <c r="J55" s="47"/>
      <c r="K55" s="47"/>
      <c r="L55" s="47"/>
      <c r="M55" s="47"/>
    </row>
    <row r="56" spans="1:13" x14ac:dyDescent="0.2">
      <c r="A56" s="47"/>
      <c r="B56" s="47"/>
      <c r="C56" s="47"/>
      <c r="D56" s="47"/>
      <c r="E56" s="47"/>
      <c r="F56" s="47"/>
      <c r="G56" s="47"/>
      <c r="H56" s="47"/>
      <c r="I56" s="47"/>
      <c r="J56" s="47"/>
      <c r="K56" s="47"/>
      <c r="L56" s="47"/>
      <c r="M56" s="47"/>
    </row>
    <row r="57" spans="1:13" x14ac:dyDescent="0.2">
      <c r="A57" s="47"/>
      <c r="B57" s="47"/>
      <c r="C57" s="47"/>
      <c r="D57" s="47"/>
      <c r="E57" s="47"/>
      <c r="F57" s="47"/>
      <c r="G57" s="47"/>
      <c r="H57" s="47"/>
      <c r="I57" s="47"/>
      <c r="J57" s="47"/>
      <c r="K57" s="47"/>
      <c r="L57" s="47"/>
      <c r="M57" s="47"/>
    </row>
    <row r="58" spans="1:13" x14ac:dyDescent="0.2">
      <c r="A58" s="47"/>
      <c r="B58" s="47"/>
      <c r="C58" s="47"/>
      <c r="D58" s="47"/>
      <c r="E58" s="47"/>
      <c r="F58" s="47"/>
      <c r="G58" s="47"/>
      <c r="H58" s="47"/>
      <c r="I58" s="47"/>
      <c r="J58" s="47"/>
      <c r="K58" s="47"/>
      <c r="L58" s="47"/>
      <c r="M58" s="47"/>
    </row>
    <row r="59" spans="1:13" x14ac:dyDescent="0.2">
      <c r="A59" s="47"/>
      <c r="B59" s="47"/>
      <c r="C59" s="47"/>
      <c r="D59" s="47"/>
      <c r="E59" s="47"/>
      <c r="F59" s="47"/>
      <c r="G59" s="47"/>
      <c r="H59" s="47"/>
      <c r="I59" s="47"/>
      <c r="J59" s="47"/>
      <c r="K59" s="47"/>
      <c r="L59" s="47"/>
      <c r="M59" s="47"/>
    </row>
    <row r="60" spans="1:13" x14ac:dyDescent="0.2">
      <c r="A60" s="47"/>
      <c r="B60" s="47"/>
      <c r="C60" s="47"/>
      <c r="D60" s="47"/>
      <c r="E60" s="47"/>
      <c r="F60" s="47"/>
      <c r="G60" s="47"/>
      <c r="H60" s="47"/>
      <c r="I60" s="47"/>
      <c r="J60" s="47"/>
      <c r="K60" s="47"/>
      <c r="L60" s="47"/>
      <c r="M60" s="47"/>
    </row>
    <row r="61" spans="1:13" x14ac:dyDescent="0.2">
      <c r="A61" s="47"/>
      <c r="B61" s="47"/>
      <c r="C61" s="47"/>
      <c r="D61" s="47"/>
      <c r="E61" s="47"/>
      <c r="F61" s="47"/>
      <c r="G61" s="47"/>
      <c r="H61" s="47"/>
      <c r="I61" s="47"/>
      <c r="J61" s="47"/>
      <c r="K61" s="47"/>
      <c r="L61" s="47"/>
      <c r="M61" s="47"/>
    </row>
    <row r="62" spans="1:13" x14ac:dyDescent="0.2">
      <c r="A62" s="47"/>
      <c r="B62" s="47"/>
      <c r="C62" s="47"/>
      <c r="D62" s="47"/>
      <c r="E62" s="47"/>
      <c r="F62" s="47"/>
      <c r="G62" s="47"/>
      <c r="H62" s="47"/>
      <c r="I62" s="47"/>
      <c r="J62" s="47"/>
      <c r="K62" s="47"/>
      <c r="L62" s="47"/>
      <c r="M62" s="47"/>
    </row>
    <row r="63" spans="1:13" x14ac:dyDescent="0.2">
      <c r="A63" s="47"/>
      <c r="B63" s="47"/>
      <c r="C63" s="47"/>
      <c r="D63" s="47"/>
      <c r="E63" s="47"/>
      <c r="F63" s="47"/>
      <c r="G63" s="47"/>
      <c r="H63" s="47"/>
      <c r="I63" s="47"/>
      <c r="J63" s="47"/>
      <c r="K63" s="47"/>
      <c r="L63" s="47"/>
      <c r="M63" s="47"/>
    </row>
    <row r="64" spans="1:13" x14ac:dyDescent="0.2">
      <c r="A64" s="47"/>
      <c r="B64" s="47"/>
      <c r="C64" s="47"/>
      <c r="D64" s="47"/>
      <c r="E64" s="47"/>
      <c r="F64" s="47"/>
      <c r="G64" s="47"/>
      <c r="H64" s="47"/>
      <c r="I64" s="47"/>
      <c r="J64" s="47"/>
      <c r="K64" s="47"/>
      <c r="L64" s="47"/>
      <c r="M64" s="47"/>
    </row>
    <row r="65" spans="1:13" x14ac:dyDescent="0.2">
      <c r="A65" s="47"/>
      <c r="B65" s="47"/>
      <c r="C65" s="47"/>
      <c r="D65" s="47"/>
      <c r="E65" s="47"/>
      <c r="F65" s="47"/>
      <c r="G65" s="47"/>
      <c r="H65" s="47"/>
      <c r="I65" s="47"/>
      <c r="J65" s="47"/>
      <c r="K65" s="47"/>
      <c r="L65" s="47"/>
      <c r="M65" s="47"/>
    </row>
    <row r="66" spans="1:13" x14ac:dyDescent="0.2">
      <c r="A66" s="47"/>
      <c r="B66" s="47"/>
      <c r="C66" s="47"/>
      <c r="D66" s="47"/>
      <c r="E66" s="47"/>
      <c r="F66" s="47"/>
      <c r="G66" s="47"/>
      <c r="H66" s="47"/>
      <c r="I66" s="47"/>
      <c r="J66" s="47"/>
      <c r="K66" s="47"/>
      <c r="L66" s="47"/>
      <c r="M66" s="47"/>
    </row>
    <row r="67" spans="1:13" x14ac:dyDescent="0.2">
      <c r="A67" s="47"/>
      <c r="B67" s="47"/>
      <c r="C67" s="47"/>
      <c r="D67" s="47"/>
      <c r="E67" s="47"/>
      <c r="F67" s="47"/>
      <c r="G67" s="47"/>
      <c r="H67" s="47"/>
      <c r="I67" s="47"/>
      <c r="J67" s="47"/>
      <c r="K67" s="47"/>
      <c r="L67" s="47"/>
      <c r="M67" s="47"/>
    </row>
    <row r="68" spans="1:13" x14ac:dyDescent="0.2">
      <c r="A68" s="47"/>
      <c r="B68" s="47"/>
      <c r="C68" s="47"/>
      <c r="D68" s="47"/>
      <c r="E68" s="47"/>
      <c r="F68" s="47"/>
      <c r="G68" s="47"/>
      <c r="H68" s="47"/>
      <c r="I68" s="47"/>
      <c r="J68" s="47"/>
      <c r="K68" s="47"/>
      <c r="L68" s="47"/>
      <c r="M68" s="47"/>
    </row>
    <row r="69" spans="1:13" x14ac:dyDescent="0.2">
      <c r="A69" s="47"/>
      <c r="B69" s="47"/>
      <c r="C69" s="47"/>
      <c r="D69" s="47"/>
      <c r="E69" s="47"/>
      <c r="F69" s="47"/>
      <c r="G69" s="47"/>
      <c r="H69" s="47"/>
      <c r="I69" s="47"/>
      <c r="J69" s="47"/>
      <c r="K69" s="47"/>
      <c r="L69" s="47"/>
      <c r="M69" s="47"/>
    </row>
    <row r="70" spans="1:13" x14ac:dyDescent="0.2">
      <c r="A70" s="47"/>
      <c r="B70" s="47"/>
      <c r="C70" s="47"/>
      <c r="D70" s="47"/>
      <c r="E70" s="47"/>
      <c r="F70" s="47"/>
      <c r="G70" s="47"/>
      <c r="H70" s="47"/>
      <c r="I70" s="47"/>
      <c r="J70" s="47"/>
      <c r="K70" s="47"/>
      <c r="L70" s="47"/>
      <c r="M70" s="47"/>
    </row>
    <row r="71" spans="1:13" x14ac:dyDescent="0.2">
      <c r="A71" s="47"/>
      <c r="B71" s="47"/>
      <c r="C71" s="47"/>
      <c r="D71" s="47"/>
      <c r="E71" s="47"/>
      <c r="F71" s="47"/>
      <c r="G71" s="47"/>
      <c r="H71" s="47"/>
      <c r="I71" s="47"/>
      <c r="J71" s="47"/>
      <c r="K71" s="47"/>
      <c r="L71" s="47"/>
      <c r="M71" s="47"/>
    </row>
    <row r="72" spans="1:13" x14ac:dyDescent="0.2">
      <c r="A72" s="47"/>
      <c r="B72" s="47"/>
      <c r="C72" s="47"/>
      <c r="D72" s="47"/>
      <c r="E72" s="47"/>
      <c r="F72" s="47"/>
      <c r="G72" s="47"/>
      <c r="H72" s="47"/>
      <c r="I72" s="47"/>
      <c r="J72" s="47"/>
      <c r="K72" s="47"/>
      <c r="L72" s="47"/>
      <c r="M72" s="47"/>
    </row>
    <row r="73" spans="1:13" x14ac:dyDescent="0.2">
      <c r="A73" s="47"/>
      <c r="B73" s="47"/>
      <c r="C73" s="47"/>
      <c r="D73" s="47"/>
      <c r="E73" s="47"/>
      <c r="F73" s="47"/>
      <c r="G73" s="47"/>
      <c r="H73" s="47"/>
      <c r="I73" s="47"/>
      <c r="J73" s="47"/>
      <c r="K73" s="47"/>
      <c r="L73" s="47"/>
      <c r="M73" s="47"/>
    </row>
    <row r="74" spans="1:13" x14ac:dyDescent="0.2">
      <c r="A74" s="47"/>
      <c r="B74" s="47"/>
      <c r="C74" s="47"/>
      <c r="D74" s="47"/>
      <c r="E74" s="47"/>
      <c r="F74" s="47"/>
      <c r="G74" s="47"/>
      <c r="H74" s="47"/>
      <c r="I74" s="47"/>
      <c r="J74" s="47"/>
      <c r="K74" s="47"/>
      <c r="L74" s="47"/>
      <c r="M74" s="47"/>
    </row>
    <row r="75" spans="1:13" x14ac:dyDescent="0.2">
      <c r="A75" s="47"/>
      <c r="B75" s="47"/>
      <c r="C75" s="47"/>
      <c r="D75" s="47"/>
      <c r="E75" s="47"/>
      <c r="F75" s="47"/>
      <c r="G75" s="47"/>
      <c r="H75" s="47"/>
      <c r="I75" s="47"/>
      <c r="J75" s="47"/>
      <c r="K75" s="47"/>
      <c r="L75" s="47"/>
      <c r="M75" s="47"/>
    </row>
    <row r="76" spans="1:13" x14ac:dyDescent="0.2">
      <c r="A76" s="47"/>
      <c r="B76" s="47"/>
      <c r="C76" s="47"/>
      <c r="D76" s="47"/>
      <c r="E76" s="47"/>
      <c r="F76" s="47"/>
      <c r="G76" s="47"/>
      <c r="H76" s="47"/>
      <c r="I76" s="47"/>
      <c r="J76" s="47"/>
      <c r="K76" s="47"/>
      <c r="L76" s="47"/>
      <c r="M76" s="47"/>
    </row>
    <row r="77" spans="1:13" x14ac:dyDescent="0.2">
      <c r="A77" s="47"/>
      <c r="B77" s="47"/>
      <c r="C77" s="47"/>
      <c r="D77" s="47"/>
      <c r="E77" s="47"/>
      <c r="F77" s="47"/>
      <c r="G77" s="47"/>
      <c r="H77" s="47"/>
      <c r="I77" s="47"/>
      <c r="J77" s="47"/>
      <c r="K77" s="47"/>
      <c r="L77" s="47"/>
      <c r="M77" s="47"/>
    </row>
    <row r="78" spans="1:13" x14ac:dyDescent="0.2">
      <c r="A78" s="47"/>
      <c r="B78" s="47"/>
      <c r="C78" s="47"/>
      <c r="D78" s="47"/>
      <c r="E78" s="47"/>
      <c r="F78" s="47"/>
      <c r="G78" s="47"/>
      <c r="H78" s="47"/>
      <c r="I78" s="47"/>
      <c r="J78" s="47"/>
      <c r="K78" s="47"/>
      <c r="L78" s="47"/>
      <c r="M78" s="47"/>
    </row>
    <row r="79" spans="1:13" x14ac:dyDescent="0.2">
      <c r="A79" s="47"/>
      <c r="B79" s="47"/>
      <c r="C79" s="47"/>
      <c r="D79" s="47"/>
      <c r="E79" s="47"/>
      <c r="F79" s="47"/>
      <c r="G79" s="47"/>
      <c r="H79" s="47"/>
      <c r="I79" s="47"/>
      <c r="J79" s="47"/>
      <c r="K79" s="47"/>
      <c r="L79" s="47"/>
      <c r="M79" s="47"/>
    </row>
    <row r="80" spans="1:13" x14ac:dyDescent="0.2">
      <c r="A80" s="47"/>
      <c r="B80" s="47"/>
      <c r="C80" s="47"/>
      <c r="D80" s="47"/>
      <c r="E80" s="47"/>
      <c r="F80" s="47"/>
      <c r="G80" s="47"/>
      <c r="H80" s="47"/>
      <c r="I80" s="47"/>
      <c r="J80" s="47"/>
      <c r="K80" s="47"/>
      <c r="L80" s="47"/>
      <c r="M80" s="47"/>
    </row>
    <row r="81" spans="1:13" x14ac:dyDescent="0.2">
      <c r="A81" s="47"/>
      <c r="B81" s="47"/>
      <c r="C81" s="47"/>
      <c r="D81" s="47"/>
      <c r="E81" s="47"/>
      <c r="F81" s="47"/>
      <c r="G81" s="47"/>
      <c r="H81" s="47"/>
      <c r="I81" s="47"/>
      <c r="J81" s="47"/>
      <c r="K81" s="47"/>
      <c r="L81" s="47"/>
      <c r="M81" s="47"/>
    </row>
    <row r="82" spans="1:13" x14ac:dyDescent="0.2">
      <c r="A82" s="47"/>
      <c r="B82" s="47"/>
      <c r="C82" s="47"/>
      <c r="D82" s="47"/>
      <c r="E82" s="47"/>
      <c r="F82" s="47"/>
      <c r="G82" s="47"/>
      <c r="H82" s="47"/>
      <c r="I82" s="47"/>
      <c r="J82" s="47"/>
      <c r="K82" s="47"/>
      <c r="L82" s="47"/>
      <c r="M82" s="47"/>
    </row>
    <row r="83" spans="1:13" x14ac:dyDescent="0.2">
      <c r="A83" s="47"/>
      <c r="B83" s="47"/>
      <c r="C83" s="47"/>
      <c r="D83" s="47"/>
      <c r="E83" s="47"/>
      <c r="F83" s="47"/>
      <c r="G83" s="47"/>
      <c r="H83" s="47"/>
      <c r="I83" s="47"/>
      <c r="J83" s="47"/>
      <c r="K83" s="47"/>
      <c r="L83" s="47"/>
      <c r="M83" s="47"/>
    </row>
    <row r="84" spans="1:13" x14ac:dyDescent="0.2">
      <c r="A84" s="47"/>
      <c r="B84" s="47"/>
      <c r="C84" s="47"/>
      <c r="D84" s="47"/>
      <c r="E84" s="47"/>
      <c r="F84" s="47"/>
      <c r="G84" s="47"/>
      <c r="H84" s="47"/>
      <c r="I84" s="47"/>
      <c r="J84" s="47"/>
      <c r="K84" s="47"/>
      <c r="L84" s="47"/>
      <c r="M84" s="47"/>
    </row>
    <row r="85" spans="1:13" x14ac:dyDescent="0.2">
      <c r="A85" s="47"/>
      <c r="B85" s="47"/>
      <c r="C85" s="47"/>
      <c r="D85" s="47"/>
      <c r="E85" s="47"/>
      <c r="F85" s="47"/>
      <c r="G85" s="47"/>
      <c r="H85" s="47"/>
      <c r="I85" s="47"/>
      <c r="J85" s="47"/>
      <c r="K85" s="47"/>
      <c r="L85" s="47"/>
      <c r="M85" s="47"/>
    </row>
    <row r="86" spans="1:13" x14ac:dyDescent="0.2">
      <c r="A86" s="47"/>
      <c r="B86" s="47"/>
      <c r="C86" s="47"/>
      <c r="D86" s="47"/>
      <c r="E86" s="47"/>
      <c r="F86" s="47"/>
      <c r="G86" s="47"/>
      <c r="H86" s="47"/>
      <c r="I86" s="47"/>
      <c r="J86" s="47"/>
      <c r="K86" s="47"/>
      <c r="L86" s="47"/>
      <c r="M86" s="47"/>
    </row>
    <row r="87" spans="1:13" x14ac:dyDescent="0.2">
      <c r="A87" s="47"/>
      <c r="B87" s="47"/>
      <c r="C87" s="47"/>
      <c r="D87" s="47"/>
      <c r="E87" s="47"/>
      <c r="F87" s="47"/>
      <c r="G87" s="47"/>
      <c r="H87" s="47"/>
      <c r="I87" s="47"/>
      <c r="J87" s="47"/>
      <c r="K87" s="47"/>
      <c r="L87" s="47"/>
      <c r="M87" s="47"/>
    </row>
    <row r="88" spans="1:13" x14ac:dyDescent="0.2">
      <c r="A88" s="47"/>
      <c r="B88" s="47"/>
      <c r="C88" s="47"/>
      <c r="D88" s="47"/>
      <c r="E88" s="47"/>
      <c r="F88" s="47"/>
      <c r="G88" s="47"/>
      <c r="H88" s="47"/>
      <c r="I88" s="47"/>
      <c r="J88" s="47"/>
      <c r="K88" s="47"/>
      <c r="L88" s="47"/>
      <c r="M88" s="47"/>
    </row>
    <row r="89" spans="1:13" x14ac:dyDescent="0.2">
      <c r="A89" s="47"/>
      <c r="B89" s="47"/>
      <c r="C89" s="47"/>
      <c r="D89" s="47"/>
      <c r="E89" s="47"/>
      <c r="F89" s="47"/>
      <c r="G89" s="47"/>
      <c r="H89" s="47"/>
      <c r="I89" s="47"/>
      <c r="J89" s="47"/>
      <c r="K89" s="47"/>
      <c r="L89" s="47"/>
      <c r="M89" s="47"/>
    </row>
    <row r="90" spans="1:13" x14ac:dyDescent="0.2">
      <c r="A90" s="47"/>
      <c r="B90" s="47"/>
      <c r="C90" s="47"/>
      <c r="D90" s="47"/>
      <c r="E90" s="47"/>
      <c r="F90" s="47"/>
      <c r="G90" s="47"/>
      <c r="H90" s="47"/>
      <c r="I90" s="47"/>
      <c r="J90" s="47"/>
      <c r="K90" s="47"/>
      <c r="L90" s="47"/>
      <c r="M90" s="47"/>
    </row>
    <row r="91" spans="1:13" x14ac:dyDescent="0.2">
      <c r="A91" s="47"/>
      <c r="B91" s="47"/>
      <c r="C91" s="47"/>
      <c r="D91" s="47"/>
      <c r="E91" s="47"/>
      <c r="F91" s="47"/>
      <c r="G91" s="47"/>
      <c r="H91" s="47"/>
      <c r="I91" s="47"/>
      <c r="J91" s="47"/>
      <c r="K91" s="47"/>
      <c r="L91" s="47"/>
      <c r="M91" s="47"/>
    </row>
    <row r="92" spans="1:13" x14ac:dyDescent="0.2">
      <c r="A92" s="47"/>
      <c r="B92" s="47"/>
      <c r="C92" s="47"/>
      <c r="D92" s="47"/>
      <c r="E92" s="47"/>
      <c r="F92" s="47"/>
      <c r="G92" s="47"/>
      <c r="H92" s="47"/>
      <c r="I92" s="47"/>
      <c r="J92" s="47"/>
      <c r="K92" s="47"/>
      <c r="L92" s="47"/>
      <c r="M92" s="47"/>
    </row>
    <row r="93" spans="1:13" x14ac:dyDescent="0.2">
      <c r="A93" s="47"/>
      <c r="B93" s="47"/>
      <c r="C93" s="47"/>
      <c r="D93" s="47"/>
      <c r="E93" s="47"/>
      <c r="F93" s="47"/>
      <c r="G93" s="47"/>
      <c r="H93" s="47"/>
      <c r="I93" s="47"/>
      <c r="J93" s="47"/>
      <c r="K93" s="47"/>
      <c r="L93" s="47"/>
      <c r="M93" s="47"/>
    </row>
    <row r="94" spans="1:13" x14ac:dyDescent="0.2">
      <c r="A94" s="47"/>
      <c r="B94" s="47"/>
      <c r="C94" s="47"/>
      <c r="D94" s="47"/>
      <c r="E94" s="47"/>
      <c r="F94" s="47"/>
      <c r="G94" s="47"/>
      <c r="H94" s="47"/>
      <c r="I94" s="47"/>
      <c r="J94" s="47"/>
      <c r="K94" s="47"/>
      <c r="L94" s="47"/>
      <c r="M94" s="47"/>
    </row>
    <row r="95" spans="1:13" x14ac:dyDescent="0.2">
      <c r="A95" s="47"/>
      <c r="B95" s="47"/>
      <c r="C95" s="47"/>
      <c r="D95" s="47"/>
      <c r="E95" s="47"/>
      <c r="F95" s="47"/>
      <c r="G95" s="47"/>
      <c r="H95" s="47"/>
      <c r="I95" s="47"/>
      <c r="J95" s="47"/>
      <c r="K95" s="47"/>
      <c r="L95" s="47"/>
      <c r="M95" s="47"/>
    </row>
    <row r="96" spans="1:13" x14ac:dyDescent="0.2">
      <c r="A96" s="47"/>
      <c r="B96" s="47"/>
      <c r="C96" s="47"/>
      <c r="D96" s="47"/>
      <c r="E96" s="47"/>
      <c r="F96" s="47"/>
      <c r="G96" s="47"/>
      <c r="H96" s="47"/>
      <c r="I96" s="47"/>
      <c r="J96" s="47"/>
      <c r="K96" s="47"/>
      <c r="L96" s="47"/>
      <c r="M96" s="47"/>
    </row>
    <row r="97" spans="1:13" x14ac:dyDescent="0.2">
      <c r="A97" s="47"/>
      <c r="B97" s="47"/>
      <c r="C97" s="47"/>
      <c r="D97" s="47"/>
      <c r="E97" s="47"/>
      <c r="F97" s="47"/>
      <c r="G97" s="47"/>
      <c r="H97" s="47"/>
      <c r="I97" s="47"/>
      <c r="J97" s="47"/>
      <c r="K97" s="47"/>
      <c r="L97" s="47"/>
      <c r="M97" s="47"/>
    </row>
    <row r="98" spans="1:13" x14ac:dyDescent="0.2">
      <c r="A98" s="47"/>
      <c r="B98" s="47"/>
      <c r="C98" s="47"/>
      <c r="D98" s="47"/>
      <c r="E98" s="47"/>
      <c r="F98" s="47"/>
      <c r="G98" s="47"/>
      <c r="H98" s="47"/>
      <c r="I98" s="47"/>
      <c r="J98" s="47"/>
      <c r="K98" s="47"/>
      <c r="L98" s="47"/>
      <c r="M98" s="47"/>
    </row>
    <row r="99" spans="1:13" x14ac:dyDescent="0.2">
      <c r="A99" s="47"/>
      <c r="B99" s="47"/>
      <c r="C99" s="47"/>
      <c r="D99" s="47"/>
      <c r="E99" s="47"/>
      <c r="F99" s="47"/>
      <c r="G99" s="47"/>
      <c r="H99" s="47"/>
      <c r="I99" s="47"/>
      <c r="J99" s="47"/>
      <c r="K99" s="47"/>
      <c r="L99" s="47"/>
      <c r="M99" s="47"/>
    </row>
    <row r="100" spans="1:13" x14ac:dyDescent="0.2">
      <c r="A100" s="47"/>
      <c r="B100" s="47"/>
      <c r="C100" s="47"/>
      <c r="D100" s="47"/>
      <c r="E100" s="47"/>
      <c r="F100" s="47"/>
      <c r="G100" s="47"/>
      <c r="H100" s="47"/>
      <c r="I100" s="47"/>
      <c r="J100" s="47"/>
      <c r="K100" s="47"/>
      <c r="L100" s="47"/>
      <c r="M100" s="47"/>
    </row>
    <row r="101" spans="1:13" x14ac:dyDescent="0.2">
      <c r="A101" s="47"/>
      <c r="B101" s="47"/>
      <c r="C101" s="47"/>
      <c r="D101" s="47"/>
      <c r="E101" s="47"/>
      <c r="F101" s="47"/>
      <c r="G101" s="47"/>
      <c r="H101" s="47"/>
      <c r="I101" s="47"/>
      <c r="J101" s="47"/>
      <c r="K101" s="47"/>
      <c r="L101" s="47"/>
      <c r="M101" s="47"/>
    </row>
    <row r="102" spans="1:13" x14ac:dyDescent="0.2">
      <c r="A102" s="47"/>
      <c r="B102" s="47"/>
      <c r="C102" s="47"/>
      <c r="D102" s="47"/>
      <c r="E102" s="47"/>
      <c r="F102" s="47"/>
      <c r="G102" s="47"/>
      <c r="H102" s="47"/>
      <c r="I102" s="47"/>
      <c r="J102" s="47"/>
      <c r="K102" s="47"/>
      <c r="L102" s="47"/>
      <c r="M102" s="47"/>
    </row>
    <row r="103" spans="1:13" x14ac:dyDescent="0.2">
      <c r="A103" s="47"/>
      <c r="B103" s="47"/>
      <c r="C103" s="47"/>
      <c r="D103" s="47"/>
      <c r="E103" s="47"/>
      <c r="F103" s="47"/>
      <c r="G103" s="47"/>
      <c r="H103" s="47"/>
      <c r="I103" s="47"/>
      <c r="J103" s="47"/>
      <c r="K103" s="47"/>
      <c r="L103" s="47"/>
      <c r="M103" s="47"/>
    </row>
    <row r="104" spans="1:13" x14ac:dyDescent="0.2">
      <c r="A104" s="47"/>
      <c r="B104" s="47"/>
      <c r="C104" s="47"/>
      <c r="D104" s="47"/>
      <c r="E104" s="47"/>
      <c r="F104" s="47"/>
      <c r="G104" s="47"/>
      <c r="H104" s="47"/>
      <c r="I104" s="47"/>
      <c r="J104" s="47"/>
      <c r="K104" s="47"/>
      <c r="L104" s="47"/>
      <c r="M104" s="47"/>
    </row>
    <row r="105" spans="1:13" x14ac:dyDescent="0.2">
      <c r="A105" s="47"/>
      <c r="B105" s="47"/>
      <c r="C105" s="47"/>
      <c r="D105" s="47"/>
      <c r="E105" s="47"/>
      <c r="F105" s="47"/>
      <c r="G105" s="47"/>
      <c r="H105" s="47"/>
      <c r="I105" s="47"/>
      <c r="J105" s="47"/>
      <c r="K105" s="47"/>
      <c r="L105" s="47"/>
      <c r="M105" s="47"/>
    </row>
    <row r="106" spans="1:13" x14ac:dyDescent="0.2">
      <c r="A106" s="47"/>
      <c r="B106" s="47"/>
      <c r="C106" s="47"/>
      <c r="D106" s="47"/>
      <c r="E106" s="47"/>
      <c r="F106" s="47"/>
      <c r="G106" s="47"/>
      <c r="H106" s="47"/>
      <c r="I106" s="47"/>
      <c r="J106" s="47"/>
      <c r="K106" s="47"/>
      <c r="L106" s="47"/>
      <c r="M106" s="47"/>
    </row>
    <row r="107" spans="1:13" x14ac:dyDescent="0.2">
      <c r="A107" s="47"/>
      <c r="B107" s="47"/>
      <c r="C107" s="47"/>
      <c r="D107" s="47"/>
      <c r="E107" s="47"/>
      <c r="F107" s="47"/>
      <c r="G107" s="47"/>
      <c r="H107" s="47"/>
      <c r="I107" s="47"/>
      <c r="J107" s="47"/>
      <c r="K107" s="47"/>
      <c r="L107" s="47"/>
      <c r="M107" s="47"/>
    </row>
    <row r="108" spans="1:13" x14ac:dyDescent="0.2">
      <c r="A108" s="47"/>
      <c r="B108" s="47"/>
      <c r="C108" s="47"/>
      <c r="D108" s="47"/>
      <c r="E108" s="47"/>
      <c r="F108" s="47"/>
      <c r="G108" s="47"/>
      <c r="H108" s="47"/>
      <c r="I108" s="47"/>
      <c r="J108" s="47"/>
      <c r="K108" s="47"/>
      <c r="L108" s="47"/>
      <c r="M108" s="47"/>
    </row>
    <row r="109" spans="1:13" x14ac:dyDescent="0.2">
      <c r="A109" s="47"/>
      <c r="B109" s="47"/>
      <c r="C109" s="47"/>
      <c r="D109" s="47"/>
      <c r="E109" s="47"/>
      <c r="F109" s="47"/>
      <c r="G109" s="47"/>
      <c r="H109" s="47"/>
      <c r="I109" s="47"/>
      <c r="J109" s="47"/>
      <c r="K109" s="47"/>
      <c r="L109" s="47"/>
      <c r="M109" s="47"/>
    </row>
    <row r="110" spans="1:13" x14ac:dyDescent="0.2">
      <c r="A110" s="47"/>
      <c r="B110" s="47"/>
      <c r="C110" s="47"/>
      <c r="D110" s="47"/>
      <c r="E110" s="47"/>
      <c r="F110" s="47"/>
      <c r="G110" s="47"/>
      <c r="H110" s="47"/>
      <c r="I110" s="47"/>
      <c r="J110" s="47"/>
      <c r="K110" s="47"/>
      <c r="L110" s="47"/>
      <c r="M110" s="47"/>
    </row>
    <row r="111" spans="1:13" x14ac:dyDescent="0.2">
      <c r="A111" s="47"/>
      <c r="B111" s="47"/>
      <c r="C111" s="47"/>
      <c r="D111" s="47"/>
      <c r="E111" s="47"/>
      <c r="F111" s="47"/>
      <c r="G111" s="47"/>
      <c r="H111" s="47"/>
      <c r="I111" s="47"/>
      <c r="J111" s="47"/>
      <c r="K111" s="47"/>
      <c r="L111" s="47"/>
      <c r="M111" s="47"/>
    </row>
    <row r="112" spans="1:13" x14ac:dyDescent="0.2">
      <c r="A112" s="47"/>
      <c r="B112" s="47"/>
      <c r="C112" s="47"/>
      <c r="D112" s="47"/>
      <c r="E112" s="47"/>
      <c r="F112" s="47"/>
      <c r="G112" s="47"/>
      <c r="H112" s="47"/>
      <c r="I112" s="47"/>
      <c r="J112" s="47"/>
      <c r="K112" s="47"/>
      <c r="L112" s="47"/>
      <c r="M112" s="47"/>
    </row>
    <row r="113" spans="1:13" x14ac:dyDescent="0.2">
      <c r="A113" s="47"/>
      <c r="B113" s="47"/>
      <c r="C113" s="47"/>
      <c r="D113" s="47"/>
      <c r="E113" s="47"/>
      <c r="F113" s="47"/>
      <c r="G113" s="47"/>
      <c r="H113" s="47"/>
      <c r="I113" s="47"/>
      <c r="J113" s="47"/>
      <c r="K113" s="47"/>
      <c r="L113" s="47"/>
      <c r="M113" s="47"/>
    </row>
    <row r="114" spans="1:13" x14ac:dyDescent="0.2">
      <c r="A114" s="47"/>
      <c r="B114" s="47"/>
      <c r="C114" s="47"/>
      <c r="D114" s="47"/>
      <c r="E114" s="47"/>
      <c r="F114" s="47"/>
      <c r="G114" s="47"/>
      <c r="H114" s="47"/>
      <c r="I114" s="47"/>
      <c r="J114" s="47"/>
      <c r="K114" s="47"/>
      <c r="L114" s="47"/>
      <c r="M114" s="47"/>
    </row>
    <row r="115" spans="1:13" x14ac:dyDescent="0.2">
      <c r="A115" s="47"/>
      <c r="B115" s="47"/>
      <c r="C115" s="47"/>
      <c r="D115" s="47"/>
      <c r="E115" s="47"/>
      <c r="F115" s="47"/>
      <c r="G115" s="47"/>
      <c r="H115" s="47"/>
      <c r="I115" s="47"/>
      <c r="J115" s="47"/>
      <c r="K115" s="47"/>
      <c r="L115" s="47"/>
      <c r="M115" s="47"/>
    </row>
    <row r="116" spans="1:13" x14ac:dyDescent="0.2">
      <c r="A116" s="47"/>
      <c r="B116" s="47"/>
      <c r="C116" s="47"/>
      <c r="D116" s="47"/>
      <c r="E116" s="47"/>
      <c r="F116" s="47"/>
      <c r="G116" s="47"/>
      <c r="H116" s="47"/>
      <c r="I116" s="47"/>
      <c r="J116" s="47"/>
      <c r="K116" s="47"/>
      <c r="L116" s="47"/>
      <c r="M116" s="47"/>
    </row>
    <row r="117" spans="1:13" x14ac:dyDescent="0.2">
      <c r="A117" s="47"/>
      <c r="B117" s="47"/>
      <c r="C117" s="47"/>
      <c r="D117" s="47"/>
      <c r="E117" s="47"/>
      <c r="F117" s="47"/>
      <c r="G117" s="47"/>
      <c r="H117" s="47"/>
      <c r="I117" s="47"/>
      <c r="J117" s="47"/>
      <c r="K117" s="47"/>
      <c r="L117" s="47"/>
      <c r="M117" s="47"/>
    </row>
    <row r="118" spans="1:13" x14ac:dyDescent="0.2">
      <c r="A118" s="47"/>
      <c r="B118" s="47"/>
      <c r="C118" s="47"/>
      <c r="D118" s="47"/>
      <c r="E118" s="47"/>
      <c r="F118" s="47"/>
      <c r="G118" s="47"/>
      <c r="H118" s="47"/>
      <c r="I118" s="47"/>
      <c r="J118" s="47"/>
      <c r="K118" s="47"/>
      <c r="L118" s="47"/>
      <c r="M118" s="4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I7"/>
  <sheetViews>
    <sheetView workbookViewId="0">
      <selection activeCell="D16" sqref="D16"/>
    </sheetView>
  </sheetViews>
  <sheetFormatPr defaultRowHeight="12.75" x14ac:dyDescent="0.2"/>
  <cols>
    <col min="2" max="2" width="27.85546875" customWidth="1"/>
    <col min="3" max="3" width="12.28515625" bestFit="1" customWidth="1"/>
    <col min="4" max="4" width="34.28515625" customWidth="1"/>
    <col min="5" max="5" width="29.28515625" customWidth="1"/>
    <col min="6" max="6" width="26.7109375" customWidth="1"/>
    <col min="7" max="7" width="18.42578125" customWidth="1"/>
    <col min="8" max="8" width="16" customWidth="1"/>
    <col min="9" max="9" width="37.7109375" bestFit="1" customWidth="1"/>
  </cols>
  <sheetData>
    <row r="4" spans="1:9" x14ac:dyDescent="0.2">
      <c r="B4" s="267" t="s">
        <v>131</v>
      </c>
      <c r="C4" s="267" t="s">
        <v>49</v>
      </c>
      <c r="D4" s="267" t="s">
        <v>134</v>
      </c>
      <c r="E4" s="267" t="s">
        <v>135</v>
      </c>
      <c r="F4" s="267" t="s">
        <v>137</v>
      </c>
      <c r="G4" s="267" t="s">
        <v>138</v>
      </c>
      <c r="H4" s="267" t="s">
        <v>139</v>
      </c>
      <c r="I4" s="267" t="s">
        <v>140</v>
      </c>
    </row>
    <row r="5" spans="1:9" x14ac:dyDescent="0.2">
      <c r="B5" s="267" t="s">
        <v>132</v>
      </c>
      <c r="C5" s="268">
        <f>'Value (3)'!M18</f>
        <v>296190.19576560985</v>
      </c>
      <c r="D5" s="268">
        <f>C5/2</f>
        <v>148095.09788280493</v>
      </c>
      <c r="H5" s="270">
        <f>C5/C7</f>
        <v>0.86161995266886582</v>
      </c>
      <c r="I5" s="269">
        <f>H5*G7</f>
        <v>12333.863878539818</v>
      </c>
    </row>
    <row r="6" spans="1:9" x14ac:dyDescent="0.2">
      <c r="B6" s="267" t="s">
        <v>133</v>
      </c>
      <c r="C6" s="268">
        <f>'Value (4)'!M18</f>
        <v>47569.480235579977</v>
      </c>
      <c r="D6" s="268">
        <f>C6/2</f>
        <v>23784.740117789988</v>
      </c>
      <c r="H6" s="270">
        <f>C6/C7</f>
        <v>0.1383800473311341</v>
      </c>
      <c r="I6" s="269">
        <f>H6*G7</f>
        <v>1980.8741220551101</v>
      </c>
    </row>
    <row r="7" spans="1:9" x14ac:dyDescent="0.2">
      <c r="A7" s="267"/>
      <c r="B7" s="267" t="s">
        <v>136</v>
      </c>
      <c r="C7" s="272">
        <f>SUM(C5:C6)</f>
        <v>343759.67600118986</v>
      </c>
      <c r="D7" s="272">
        <f>SUM(D5:D6)</f>
        <v>171879.83800059493</v>
      </c>
      <c r="E7" s="273">
        <v>150062</v>
      </c>
      <c r="F7" s="274">
        <f>E7*0.05</f>
        <v>7503.1</v>
      </c>
      <c r="G7" s="272">
        <f>C7-D7-E7-F7</f>
        <v>14314.738000594929</v>
      </c>
      <c r="H7" s="271"/>
      <c r="I7" s="272">
        <f>SUM(I5:I6)</f>
        <v>14314.738000594927</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09"/>
  <sheetViews>
    <sheetView showGridLines="0" zoomScaleNormal="100" workbookViewId="0">
      <pane ySplit="4" topLeftCell="A35" activePane="bottomLeft" state="frozenSplit"/>
      <selection activeCell="G56" sqref="G56"/>
      <selection pane="bottomLeft" activeCell="F37" sqref="F37"/>
    </sheetView>
  </sheetViews>
  <sheetFormatPr defaultRowHeight="12.75" x14ac:dyDescent="0.2"/>
  <cols>
    <col min="1" max="1" width="24.5703125" style="5" customWidth="1"/>
    <col min="2" max="2" width="10.140625" style="5" customWidth="1"/>
    <col min="3" max="3" width="4.42578125" style="5" customWidth="1"/>
    <col min="4" max="4" width="11.28515625" style="5" customWidth="1"/>
    <col min="5" max="5" width="7" style="5" customWidth="1"/>
    <col min="6" max="6" width="13" style="5" customWidth="1"/>
    <col min="7" max="7" width="8.7109375" style="5" customWidth="1"/>
    <col min="8" max="8" width="7.42578125" style="5" customWidth="1"/>
    <col min="9" max="9" width="8.7109375" style="5" bestFit="1" customWidth="1"/>
    <col min="10" max="10" width="9.42578125" style="5" customWidth="1"/>
    <col min="11" max="11" width="4.7109375" style="5" bestFit="1" customWidth="1"/>
    <col min="12" max="13" width="9.5703125" style="5" customWidth="1"/>
    <col min="14" max="14" width="9.5703125" style="5" hidden="1" customWidth="1"/>
    <col min="15" max="15" width="15.28515625" style="5" hidden="1" customWidth="1"/>
    <col min="16" max="16" width="36.7109375" style="5" hidden="1" customWidth="1"/>
    <col min="17"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110</v>
      </c>
      <c r="B1" s="2"/>
      <c r="C1" s="2"/>
      <c r="D1" s="2"/>
      <c r="E1" s="2"/>
      <c r="F1" s="2"/>
      <c r="G1" s="3"/>
      <c r="H1" s="2"/>
      <c r="I1" s="2"/>
      <c r="J1" s="1" t="s">
        <v>54</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"&amp;YEAR(A22)</f>
        <v>For the Year Ended April 2018</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2"/>
      <c r="L5" s="88"/>
      <c r="M5" s="88"/>
      <c r="N5" s="82"/>
      <c r="O5" s="81" t="str">
        <f>"Total "&amp;F5</f>
        <v>Total Commodity</v>
      </c>
      <c r="P5" s="82"/>
      <c r="Q5" s="82"/>
      <c r="R5" s="82"/>
      <c r="S5" s="2"/>
      <c r="T5" s="2"/>
      <c r="U5" s="2"/>
      <c r="V5" s="13"/>
      <c r="W5" s="14"/>
      <c r="X5" s="14"/>
      <c r="Y5" s="14"/>
      <c r="AA5" s="14"/>
    </row>
    <row r="6" spans="1:27" s="16" customFormat="1" ht="11.25" x14ac:dyDescent="0.2">
      <c r="A6" s="15"/>
      <c r="B6" s="12"/>
      <c r="C6" s="12"/>
      <c r="D6" s="12" t="s">
        <v>2</v>
      </c>
      <c r="E6" s="12"/>
      <c r="F6" s="12" t="s">
        <v>3</v>
      </c>
      <c r="G6" s="12"/>
      <c r="H6" s="12"/>
      <c r="I6" s="12"/>
      <c r="J6" s="12" t="s">
        <v>4</v>
      </c>
      <c r="K6" s="12"/>
      <c r="L6" s="84"/>
      <c r="M6" s="84"/>
      <c r="N6" s="84"/>
      <c r="O6" s="83" t="str">
        <f>+F6</f>
        <v>Revenue</v>
      </c>
      <c r="P6" s="84"/>
      <c r="Q6" s="84"/>
      <c r="R6" s="84"/>
    </row>
    <row r="7" spans="1:27" s="16" customFormat="1" ht="11.25" x14ac:dyDescent="0.2">
      <c r="A7" s="15" t="s">
        <v>5</v>
      </c>
      <c r="B7" s="219" t="s">
        <v>6</v>
      </c>
      <c r="C7" s="12"/>
      <c r="D7" s="12" t="s">
        <v>3</v>
      </c>
      <c r="E7" s="12"/>
      <c r="F7" s="12" t="s">
        <v>7</v>
      </c>
      <c r="G7" s="12"/>
      <c r="H7" s="12"/>
      <c r="I7" s="12"/>
      <c r="J7" s="12" t="s">
        <v>6</v>
      </c>
      <c r="K7" s="12"/>
      <c r="L7" s="84"/>
      <c r="M7" s="84"/>
      <c r="N7" s="84"/>
      <c r="O7" s="83" t="str">
        <f>+F7</f>
        <v>per Customer</v>
      </c>
      <c r="P7" s="84"/>
      <c r="Q7" s="84"/>
      <c r="R7" s="84"/>
    </row>
    <row r="8" spans="1:27" s="16" customFormat="1" ht="11.25" x14ac:dyDescent="0.2">
      <c r="A8" s="203">
        <f>'Single Family (3)'!$C$6</f>
        <v>42856</v>
      </c>
      <c r="B8" s="218">
        <v>17979</v>
      </c>
      <c r="C8" s="18"/>
      <c r="D8" s="216">
        <f>'Value (3)'!O6</f>
        <v>16008.634570239996</v>
      </c>
      <c r="E8" s="18"/>
      <c r="F8" s="16">
        <f>ROUND(D8/B8,2)</f>
        <v>0.89</v>
      </c>
      <c r="G8" s="18"/>
      <c r="H8" s="18"/>
      <c r="I8" s="18"/>
      <c r="J8" s="14">
        <f>+B8</f>
        <v>17979</v>
      </c>
      <c r="K8" s="13">
        <f>YEAR(A8)</f>
        <v>2017</v>
      </c>
      <c r="L8" s="84"/>
      <c r="M8" s="84"/>
      <c r="N8" s="84"/>
      <c r="O8" s="85">
        <f>VLOOKUP(A8,'Value (3)'!$A$6:$O$17,13,FALSE)</f>
        <v>32017.269140479992</v>
      </c>
      <c r="P8" s="84"/>
      <c r="Q8" s="84"/>
      <c r="R8" s="84"/>
    </row>
    <row r="9" spans="1:27" s="16" customFormat="1" ht="11.25" x14ac:dyDescent="0.2">
      <c r="A9" s="17">
        <f>EOMONTH(A8,1)</f>
        <v>42916</v>
      </c>
      <c r="B9" s="217">
        <v>18024</v>
      </c>
      <c r="C9" s="19"/>
      <c r="D9" s="216">
        <f>'Value (3)'!O7</f>
        <v>19761.043748564996</v>
      </c>
      <c r="E9" s="14"/>
      <c r="F9" s="16">
        <f>ROUND(D9/B9,2)</f>
        <v>1.1000000000000001</v>
      </c>
      <c r="G9" s="14"/>
      <c r="H9" s="14"/>
      <c r="I9" s="14"/>
      <c r="J9" s="14">
        <f>+B9</f>
        <v>18024</v>
      </c>
      <c r="K9" s="13">
        <f>YEAR(A9)</f>
        <v>2017</v>
      </c>
      <c r="L9" s="84"/>
      <c r="M9" s="84"/>
      <c r="N9" s="84"/>
      <c r="O9" s="85">
        <f>VLOOKUP(A9,'Value (3)'!$A$6:$O$17,13,FALSE)</f>
        <v>39522.087497129993</v>
      </c>
      <c r="P9" s="84"/>
      <c r="Q9" s="84"/>
      <c r="R9" s="84"/>
    </row>
    <row r="10" spans="1:27" s="16" customFormat="1" ht="11.25" x14ac:dyDescent="0.2">
      <c r="A10" s="17">
        <f>EOMONTH(A9,1)</f>
        <v>42947</v>
      </c>
      <c r="B10" s="217">
        <v>18065</v>
      </c>
      <c r="C10" s="14"/>
      <c r="D10" s="216">
        <f>'Value (3)'!O8</f>
        <v>20845.233040374995</v>
      </c>
      <c r="E10" s="14"/>
      <c r="F10" s="16">
        <f>ROUND(D10/B10,2)</f>
        <v>1.1499999999999999</v>
      </c>
      <c r="G10" s="14"/>
      <c r="H10" s="14"/>
      <c r="I10" s="14"/>
      <c r="J10" s="14">
        <f>+B10</f>
        <v>18065</v>
      </c>
      <c r="K10" s="13">
        <f>YEAR(A10)</f>
        <v>2017</v>
      </c>
      <c r="L10" s="84"/>
      <c r="M10" s="84"/>
      <c r="N10" s="84"/>
      <c r="O10" s="85">
        <f>VLOOKUP(A10,'Value (3)'!$A$6:$O$17,13,FALSE)</f>
        <v>41690.466080749989</v>
      </c>
      <c r="P10" s="84"/>
      <c r="Q10" s="84"/>
      <c r="R10" s="84"/>
    </row>
    <row r="11" spans="1:27" s="16" customFormat="1" ht="11.25" x14ac:dyDescent="0.2">
      <c r="A11" s="17"/>
      <c r="B11" s="14"/>
      <c r="C11" s="14"/>
      <c r="E11" s="14"/>
      <c r="G11" s="14"/>
      <c r="H11" s="14"/>
      <c r="I11" s="14"/>
      <c r="J11" s="14"/>
      <c r="K11" s="13"/>
      <c r="L11" s="84"/>
      <c r="M11" s="84"/>
      <c r="N11" s="84"/>
      <c r="O11" s="85"/>
      <c r="P11" s="84"/>
      <c r="Q11" s="84"/>
      <c r="R11" s="84"/>
    </row>
    <row r="12" spans="1:27" s="16" customFormat="1" ht="11.25" x14ac:dyDescent="0.2">
      <c r="A12" s="17" t="s">
        <v>67</v>
      </c>
      <c r="B12" s="20">
        <f>SUM(B8:B11)</f>
        <v>54068</v>
      </c>
      <c r="C12" s="19" t="s">
        <v>8</v>
      </c>
      <c r="D12" s="79">
        <f>SUM(D8:D11)</f>
        <v>56614.911359179983</v>
      </c>
      <c r="E12" s="14"/>
      <c r="G12" s="14"/>
      <c r="H12" s="14"/>
      <c r="I12" s="14"/>
      <c r="J12" s="14"/>
      <c r="K12" s="13"/>
      <c r="L12" s="84"/>
      <c r="M12" s="84"/>
      <c r="N12" s="84"/>
      <c r="O12" s="85"/>
      <c r="P12" s="84"/>
      <c r="Q12" s="84"/>
      <c r="R12" s="84"/>
    </row>
    <row r="13" spans="1:27" s="16" customFormat="1" ht="11.25" x14ac:dyDescent="0.2">
      <c r="A13" s="17"/>
      <c r="B13" s="14"/>
      <c r="C13" s="14"/>
      <c r="E13" s="14"/>
      <c r="G13" s="14"/>
      <c r="H13" s="14"/>
      <c r="I13" s="14"/>
      <c r="J13" s="14"/>
      <c r="K13" s="13"/>
      <c r="L13" s="84"/>
      <c r="M13" s="84"/>
      <c r="N13" s="84"/>
      <c r="O13" s="85"/>
      <c r="P13" s="84"/>
      <c r="Q13" s="84"/>
      <c r="R13" s="84"/>
    </row>
    <row r="14" spans="1:27" s="16" customFormat="1" ht="11.25" x14ac:dyDescent="0.2">
      <c r="A14" s="17">
        <f>EOMONTH(A10,1)</f>
        <v>42978</v>
      </c>
      <c r="B14" s="217">
        <v>18193</v>
      </c>
      <c r="C14" s="14"/>
      <c r="D14" s="216">
        <f>'Value (3)'!O9</f>
        <v>20075.226930664991</v>
      </c>
      <c r="E14" s="14"/>
      <c r="F14" s="16">
        <f t="shared" ref="F14:F22" si="0">ROUND(D14/B14,2)</f>
        <v>1.1000000000000001</v>
      </c>
      <c r="G14" s="21"/>
      <c r="H14" s="21"/>
      <c r="I14" s="14"/>
      <c r="J14" s="14">
        <f t="shared" ref="J14:J22" si="1">+B14</f>
        <v>18193</v>
      </c>
      <c r="K14" s="13">
        <f t="shared" ref="K14:K22" si="2">YEAR(A14)</f>
        <v>2017</v>
      </c>
      <c r="L14" s="84"/>
      <c r="M14" s="84"/>
      <c r="N14" s="84"/>
      <c r="O14" s="85">
        <f>VLOOKUP(A14,'Value (3)'!$A$6:$O$17,13,FALSE)</f>
        <v>40150.453861329981</v>
      </c>
      <c r="P14" s="84"/>
      <c r="Q14" s="84"/>
      <c r="R14" s="84"/>
    </row>
    <row r="15" spans="1:27" s="16" customFormat="1" ht="11.25" x14ac:dyDescent="0.2">
      <c r="A15" s="17">
        <f t="shared" ref="A15:A22" si="3">EOMONTH(A14,1)</f>
        <v>43008</v>
      </c>
      <c r="B15" s="217">
        <v>18116</v>
      </c>
      <c r="C15" s="14"/>
      <c r="D15" s="216">
        <f>'Value (3)'!O10</f>
        <v>13746.224634789995</v>
      </c>
      <c r="E15" s="14"/>
      <c r="F15" s="16">
        <f t="shared" si="0"/>
        <v>0.76</v>
      </c>
      <c r="G15" s="21"/>
      <c r="H15" s="21"/>
      <c r="I15" s="14"/>
      <c r="J15" s="14">
        <f t="shared" si="1"/>
        <v>18116</v>
      </c>
      <c r="K15" s="13">
        <f t="shared" si="2"/>
        <v>2017</v>
      </c>
      <c r="L15" s="84"/>
      <c r="M15" s="84"/>
      <c r="N15" s="84"/>
      <c r="O15" s="85">
        <f>VLOOKUP(A15,'Value (3)'!$A$6:$O$17,13,FALSE)</f>
        <v>27492.449269579989</v>
      </c>
      <c r="P15" s="84"/>
      <c r="Q15" s="84"/>
      <c r="R15" s="84"/>
    </row>
    <row r="16" spans="1:27" s="16" customFormat="1" ht="11.25" x14ac:dyDescent="0.2">
      <c r="A16" s="17">
        <f t="shared" si="3"/>
        <v>43039</v>
      </c>
      <c r="B16" s="217">
        <v>18171</v>
      </c>
      <c r="C16" s="14"/>
      <c r="D16" s="216">
        <f>'Value (3)'!O11</f>
        <v>12105.436992649997</v>
      </c>
      <c r="E16" s="14"/>
      <c r="F16" s="16">
        <f t="shared" si="0"/>
        <v>0.67</v>
      </c>
      <c r="G16" s="21"/>
      <c r="H16" s="21"/>
      <c r="I16" s="14"/>
      <c r="J16" s="14">
        <f t="shared" si="1"/>
        <v>18171</v>
      </c>
      <c r="K16" s="13">
        <f t="shared" si="2"/>
        <v>2017</v>
      </c>
      <c r="L16" s="84"/>
      <c r="M16" s="84"/>
      <c r="N16" s="84"/>
      <c r="O16" s="85">
        <f>VLOOKUP(A16,'Value (3)'!$A$6:$O$17,13,FALSE)</f>
        <v>24210.873985299993</v>
      </c>
      <c r="P16" s="84"/>
      <c r="Q16" s="84"/>
      <c r="R16" s="84"/>
    </row>
    <row r="17" spans="1:28" s="16" customFormat="1" ht="11.25" x14ac:dyDescent="0.2">
      <c r="A17" s="17">
        <f t="shared" si="3"/>
        <v>43069</v>
      </c>
      <c r="B17" s="217">
        <v>18392</v>
      </c>
      <c r="C17" s="14"/>
      <c r="D17" s="216">
        <f>'Value (3)'!O12</f>
        <v>15160.167238719998</v>
      </c>
      <c r="E17" s="14"/>
      <c r="F17" s="16">
        <f t="shared" si="0"/>
        <v>0.82</v>
      </c>
      <c r="G17" s="21"/>
      <c r="H17" s="21"/>
      <c r="I17" s="14"/>
      <c r="J17" s="14">
        <f t="shared" si="1"/>
        <v>18392</v>
      </c>
      <c r="K17" s="13">
        <f t="shared" si="2"/>
        <v>2017</v>
      </c>
      <c r="L17" s="84"/>
      <c r="M17" s="84"/>
      <c r="N17" s="84"/>
      <c r="O17" s="85">
        <f>VLOOKUP(A17,'Value (3)'!$A$6:$O$17,13,FALSE)</f>
        <v>30320.334477439996</v>
      </c>
      <c r="P17" s="84"/>
      <c r="Q17" s="84"/>
      <c r="R17" s="84"/>
    </row>
    <row r="18" spans="1:28" s="16" customFormat="1" ht="11.25" x14ac:dyDescent="0.2">
      <c r="A18" s="17">
        <f t="shared" si="3"/>
        <v>43100</v>
      </c>
      <c r="B18" s="217">
        <v>18201</v>
      </c>
      <c r="C18" s="14"/>
      <c r="D18" s="216">
        <f>'Value (3)'!O13</f>
        <v>14255.608821524991</v>
      </c>
      <c r="E18" s="14"/>
      <c r="F18" s="16">
        <f t="shared" si="0"/>
        <v>0.78</v>
      </c>
      <c r="G18" s="21"/>
      <c r="H18" s="21"/>
      <c r="I18" s="14"/>
      <c r="J18" s="14">
        <f t="shared" si="1"/>
        <v>18201</v>
      </c>
      <c r="K18" s="13">
        <f t="shared" si="2"/>
        <v>2017</v>
      </c>
      <c r="L18" s="84"/>
      <c r="M18" s="84"/>
      <c r="N18" s="84"/>
      <c r="O18" s="85">
        <f>VLOOKUP(A18,'Value (3)'!$A$6:$O$17,13,FALSE)</f>
        <v>28511.217643049982</v>
      </c>
      <c r="P18" s="84"/>
      <c r="Q18" s="84"/>
      <c r="R18" s="84"/>
    </row>
    <row r="19" spans="1:28" s="16" customFormat="1" ht="11.25" x14ac:dyDescent="0.2">
      <c r="A19" s="17">
        <f t="shared" si="3"/>
        <v>43131</v>
      </c>
      <c r="B19" s="217">
        <v>18283</v>
      </c>
      <c r="C19" s="14"/>
      <c r="D19" s="216">
        <f>'Value (3)'!O14</f>
        <v>12999.583981334992</v>
      </c>
      <c r="E19" s="14"/>
      <c r="F19" s="16">
        <f t="shared" si="0"/>
        <v>0.71</v>
      </c>
      <c r="G19" s="21"/>
      <c r="H19" s="21"/>
      <c r="I19" s="14"/>
      <c r="J19" s="14">
        <f t="shared" si="1"/>
        <v>18283</v>
      </c>
      <c r="K19" s="13">
        <f t="shared" si="2"/>
        <v>2018</v>
      </c>
      <c r="L19" s="84"/>
      <c r="M19" s="84"/>
      <c r="N19" s="84"/>
      <c r="O19" s="85">
        <f>VLOOKUP(A19,'Value (3)'!$A$6:$O$17,13,FALSE)</f>
        <v>25999.167962669984</v>
      </c>
      <c r="P19" s="84"/>
      <c r="Q19" s="84"/>
      <c r="R19" s="84"/>
      <c r="Y19" s="14"/>
      <c r="Z19" s="14"/>
    </row>
    <row r="20" spans="1:28" s="16" customFormat="1" ht="11.25" x14ac:dyDescent="0.2">
      <c r="A20" s="17">
        <f t="shared" si="3"/>
        <v>43159</v>
      </c>
      <c r="B20" s="217">
        <v>18200</v>
      </c>
      <c r="C20" s="14"/>
      <c r="D20" s="216">
        <f>'Value (3)'!O15</f>
        <v>963.71306750999588</v>
      </c>
      <c r="E20" s="14"/>
      <c r="F20" s="16">
        <f t="shared" si="0"/>
        <v>0.05</v>
      </c>
      <c r="G20" s="21"/>
      <c r="H20" s="21"/>
      <c r="I20" s="14"/>
      <c r="J20" s="14">
        <f t="shared" si="1"/>
        <v>18200</v>
      </c>
      <c r="K20" s="13">
        <f t="shared" si="2"/>
        <v>2018</v>
      </c>
      <c r="L20" s="31"/>
      <c r="M20" s="84"/>
      <c r="N20" s="84"/>
      <c r="O20" s="85">
        <f>VLOOKUP(A20,'Value (3)'!$A$6:$O$17,13,FALSE)</f>
        <v>1927.4261350199918</v>
      </c>
      <c r="P20" s="31"/>
      <c r="Q20" s="31"/>
      <c r="R20" s="31"/>
      <c r="S20" s="14"/>
      <c r="T20" s="14"/>
      <c r="U20" s="14"/>
      <c r="V20" s="14"/>
      <c r="W20" s="14"/>
      <c r="X20" s="14"/>
      <c r="Z20" s="14"/>
      <c r="AB20" s="14"/>
    </row>
    <row r="21" spans="1:28" s="16" customFormat="1" ht="11.25" x14ac:dyDescent="0.2">
      <c r="A21" s="17">
        <f t="shared" si="3"/>
        <v>43190</v>
      </c>
      <c r="B21" s="217">
        <v>18318</v>
      </c>
      <c r="C21" s="14"/>
      <c r="D21" s="216">
        <f>'Value (3)'!O16</f>
        <v>1133.6454480999955</v>
      </c>
      <c r="E21" s="14"/>
      <c r="F21" s="16">
        <f t="shared" si="0"/>
        <v>0.06</v>
      </c>
      <c r="G21" s="21"/>
      <c r="H21" s="21"/>
      <c r="I21" s="14"/>
      <c r="J21" s="14">
        <f t="shared" si="1"/>
        <v>18318</v>
      </c>
      <c r="K21" s="13">
        <f t="shared" si="2"/>
        <v>2018</v>
      </c>
      <c r="L21" s="84"/>
      <c r="M21" s="84"/>
      <c r="N21" s="84"/>
      <c r="O21" s="85">
        <f>VLOOKUP(A21,'Value (3)'!$A$6:$O$17,13,FALSE)</f>
        <v>2267.290896199991</v>
      </c>
      <c r="P21" s="84"/>
      <c r="Q21" s="84"/>
      <c r="R21" s="84"/>
    </row>
    <row r="22" spans="1:28" s="16" customFormat="1" ht="11.25" x14ac:dyDescent="0.2">
      <c r="A22" s="17">
        <f t="shared" si="3"/>
        <v>43220</v>
      </c>
      <c r="B22" s="217">
        <v>18372</v>
      </c>
      <c r="C22" s="14"/>
      <c r="D22" s="216">
        <f>'Value (3)'!O17</f>
        <v>1040.5794083299947</v>
      </c>
      <c r="E22" s="14"/>
      <c r="F22" s="16">
        <f t="shared" si="0"/>
        <v>0.06</v>
      </c>
      <c r="G22" s="21"/>
      <c r="H22" s="21"/>
      <c r="I22" s="14"/>
      <c r="J22" s="14">
        <f t="shared" si="1"/>
        <v>18372</v>
      </c>
      <c r="K22" s="13">
        <f t="shared" si="2"/>
        <v>2018</v>
      </c>
      <c r="L22" s="84"/>
      <c r="M22" s="84"/>
      <c r="N22" s="84"/>
      <c r="O22" s="85">
        <f>VLOOKUP(A22,'Value (3)'!$A$6:$O$17,13,FALSE)</f>
        <v>2081.1588166599895</v>
      </c>
      <c r="P22" s="84"/>
      <c r="Q22" s="84"/>
      <c r="R22" s="84"/>
    </row>
    <row r="23" spans="1:28" s="16" customFormat="1" ht="11.25" x14ac:dyDescent="0.2">
      <c r="A23" s="17"/>
      <c r="B23" s="14"/>
      <c r="C23" s="14"/>
      <c r="E23" s="14"/>
      <c r="G23" s="14"/>
      <c r="H23" s="14"/>
      <c r="I23" s="14"/>
      <c r="J23" s="14"/>
      <c r="K23" s="13"/>
      <c r="L23" s="84"/>
      <c r="M23" s="84"/>
      <c r="N23" s="84"/>
      <c r="O23" s="86"/>
      <c r="Q23" s="84"/>
      <c r="R23" s="84"/>
    </row>
    <row r="24" spans="1:28" s="16" customFormat="1" ht="11.25" x14ac:dyDescent="0.2">
      <c r="A24" s="17" t="s">
        <v>68</v>
      </c>
      <c r="B24" s="20">
        <f>SUM(B13:B23)</f>
        <v>164246</v>
      </c>
      <c r="C24" s="19" t="s">
        <v>9</v>
      </c>
      <c r="D24" s="79">
        <f>SUM(D13:D23)</f>
        <v>91480.186523624943</v>
      </c>
      <c r="E24" s="14"/>
      <c r="G24" s="14"/>
      <c r="H24" s="14"/>
      <c r="I24" s="14"/>
      <c r="J24" s="14"/>
      <c r="K24" s="13"/>
      <c r="L24" s="84"/>
      <c r="M24" s="84"/>
      <c r="N24" s="84"/>
      <c r="O24" s="86"/>
      <c r="P24" s="87" t="s">
        <v>55</v>
      </c>
      <c r="Q24" s="84"/>
      <c r="R24" s="84"/>
    </row>
    <row r="25" spans="1:28" x14ac:dyDescent="0.2">
      <c r="D25" s="22"/>
      <c r="L25" s="88"/>
      <c r="M25" s="88"/>
      <c r="N25" s="88"/>
      <c r="O25" s="86">
        <f>SUM(O8:O24)</f>
        <v>296190.19576560979</v>
      </c>
      <c r="P25" s="88"/>
      <c r="Q25" s="88"/>
      <c r="R25" s="88"/>
    </row>
    <row r="26" spans="1:28" s="16" customFormat="1" ht="12" thickBot="1" x14ac:dyDescent="0.25">
      <c r="A26" s="23"/>
      <c r="B26" s="24">
        <f>+B12+B24</f>
        <v>218314</v>
      </c>
      <c r="C26" s="19"/>
      <c r="D26" s="93">
        <f>+D12+D24</f>
        <v>148095.09788280493</v>
      </c>
      <c r="E26" s="19" t="s">
        <v>10</v>
      </c>
      <c r="F26" s="21">
        <f>ROUND(D26/B26,3)</f>
        <v>0.67800000000000005</v>
      </c>
      <c r="H26" s="19"/>
      <c r="I26" s="14"/>
      <c r="J26" s="24">
        <f>SUM(J8:J25)</f>
        <v>218314</v>
      </c>
      <c r="K26" s="19" t="s">
        <v>12</v>
      </c>
      <c r="L26" s="84"/>
      <c r="M26" s="84"/>
      <c r="N26" s="84"/>
      <c r="O26" s="89">
        <f>ROUND(O25/J26,3)</f>
        <v>1.357</v>
      </c>
      <c r="P26" s="84" t="s">
        <v>56</v>
      </c>
      <c r="Q26" s="84"/>
      <c r="R26" s="84"/>
    </row>
    <row r="27" spans="1:28" s="16" customFormat="1" ht="12" thickTop="1" x14ac:dyDescent="0.2">
      <c r="B27" s="14"/>
      <c r="C27" s="14"/>
      <c r="D27" s="14"/>
      <c r="E27" s="14"/>
      <c r="F27" s="14"/>
      <c r="G27" s="14"/>
      <c r="H27" s="14"/>
      <c r="I27" s="14"/>
      <c r="J27" s="14"/>
      <c r="K27" s="14"/>
      <c r="L27" s="84"/>
      <c r="M27" s="84"/>
      <c r="N27" s="84"/>
      <c r="O27" s="215">
        <f>+J22</f>
        <v>18372</v>
      </c>
      <c r="P27" s="84" t="s">
        <v>57</v>
      </c>
      <c r="Q27" s="84"/>
      <c r="R27" s="84"/>
    </row>
    <row r="28" spans="1:28" s="16" customFormat="1" ht="11.25" x14ac:dyDescent="0.2">
      <c r="A28" s="16" t="s">
        <v>98</v>
      </c>
      <c r="B28" s="14">
        <f>SUM(B17:B22)</f>
        <v>109766</v>
      </c>
      <c r="C28" s="14"/>
      <c r="D28" s="14">
        <f>SUM(D17:D22)</f>
        <v>45553.297965519967</v>
      </c>
      <c r="E28" s="14"/>
      <c r="F28" s="21">
        <f>D28/B28</f>
        <v>0.41500371668385444</v>
      </c>
      <c r="G28" s="19" t="s">
        <v>11</v>
      </c>
      <c r="H28" s="14"/>
      <c r="I28" s="14"/>
      <c r="J28" s="14"/>
      <c r="K28" s="14"/>
      <c r="L28" s="84"/>
      <c r="M28" s="84"/>
      <c r="N28" s="84"/>
      <c r="O28" s="214"/>
      <c r="P28" s="84"/>
      <c r="Q28" s="84"/>
      <c r="R28" s="84"/>
    </row>
    <row r="29" spans="1:28" s="16" customFormat="1" ht="11.25" x14ac:dyDescent="0.2">
      <c r="A29" s="16" t="s">
        <v>97</v>
      </c>
      <c r="B29" s="14"/>
      <c r="C29" s="14"/>
      <c r="D29" s="14"/>
      <c r="E29" s="14"/>
      <c r="F29" s="14"/>
      <c r="G29" s="14"/>
      <c r="H29" s="14"/>
      <c r="I29" s="14"/>
      <c r="J29" s="14"/>
      <c r="K29" s="14"/>
      <c r="L29" s="84"/>
      <c r="M29" s="84"/>
      <c r="N29" s="84"/>
      <c r="O29" s="214"/>
      <c r="P29" s="84"/>
      <c r="Q29" s="84"/>
      <c r="R29" s="84"/>
    </row>
    <row r="30" spans="1:28" s="16" customFormat="1" ht="11.25" x14ac:dyDescent="0.2">
      <c r="B30" s="14"/>
      <c r="C30" s="14"/>
      <c r="D30" s="14"/>
      <c r="E30" s="14"/>
      <c r="F30" s="14"/>
      <c r="G30" s="14"/>
      <c r="H30" s="14"/>
      <c r="I30" s="14"/>
      <c r="J30" s="14"/>
      <c r="K30" s="14"/>
      <c r="L30" s="84"/>
      <c r="M30" s="84"/>
      <c r="N30" s="84"/>
      <c r="O30" s="214"/>
      <c r="P30" s="84"/>
      <c r="Q30" s="84"/>
      <c r="R30" s="84"/>
    </row>
    <row r="31" spans="1:28" s="16" customFormat="1" ht="11.25" x14ac:dyDescent="0.2">
      <c r="B31" s="14"/>
      <c r="C31" s="14"/>
      <c r="D31" s="14"/>
      <c r="E31" s="14"/>
      <c r="F31" s="14"/>
      <c r="G31" s="14"/>
      <c r="H31" s="14"/>
      <c r="I31" s="14"/>
      <c r="J31" s="14"/>
      <c r="K31" s="14"/>
      <c r="L31" s="84"/>
      <c r="M31" s="84"/>
      <c r="N31" s="84"/>
      <c r="O31" s="84"/>
      <c r="P31" s="84" t="s">
        <v>58</v>
      </c>
      <c r="Q31" s="84"/>
      <c r="R31" s="84"/>
    </row>
    <row r="32" spans="1:28" s="16" customFormat="1" ht="12" thickBot="1" x14ac:dyDescent="0.25">
      <c r="B32" s="25" t="s">
        <v>13</v>
      </c>
      <c r="C32" s="26"/>
      <c r="D32" s="26"/>
      <c r="E32" s="26"/>
      <c r="F32" s="14"/>
      <c r="G32" s="14"/>
      <c r="H32" s="14"/>
      <c r="I32" s="14"/>
      <c r="J32" s="14"/>
      <c r="K32" s="14"/>
      <c r="L32" s="84"/>
      <c r="M32" s="84"/>
      <c r="N32" s="84"/>
      <c r="O32" s="84"/>
      <c r="P32" s="84"/>
      <c r="Q32" s="84"/>
      <c r="R32" s="84"/>
    </row>
    <row r="33" spans="1:27" s="16" customFormat="1" ht="12" thickTop="1" x14ac:dyDescent="0.2">
      <c r="A33" s="6"/>
      <c r="B33" s="27"/>
      <c r="C33" s="14"/>
      <c r="D33" s="14"/>
      <c r="E33" s="14"/>
      <c r="F33" s="14"/>
      <c r="G33" s="14"/>
      <c r="H33" s="14"/>
      <c r="I33" s="14"/>
      <c r="J33" s="14"/>
      <c r="K33" s="14"/>
      <c r="X33" s="14"/>
      <c r="Y33" s="14"/>
    </row>
    <row r="34" spans="1:27" s="16" customFormat="1" ht="11.25" x14ac:dyDescent="0.2">
      <c r="A34" s="8"/>
      <c r="B34" s="27"/>
      <c r="C34" s="14"/>
      <c r="D34" s="14"/>
      <c r="E34" s="14"/>
      <c r="F34" s="28" t="s">
        <v>14</v>
      </c>
      <c r="G34" s="14">
        <f>ROUND(D26,0)</f>
        <v>148095</v>
      </c>
      <c r="H34" s="19" t="s">
        <v>10</v>
      </c>
      <c r="I34" s="14"/>
      <c r="J34" s="14"/>
      <c r="K34" s="14"/>
    </row>
    <row r="35" spans="1:27" s="13" customFormat="1" ht="11.25" x14ac:dyDescent="0.2">
      <c r="A35" s="29"/>
      <c r="B35" s="27"/>
      <c r="C35" s="14"/>
      <c r="D35" s="14"/>
      <c r="E35" s="14"/>
      <c r="F35" s="14"/>
      <c r="G35" s="14"/>
      <c r="H35" s="19"/>
      <c r="I35" s="14"/>
      <c r="J35" s="14"/>
      <c r="K35" s="14"/>
      <c r="O35" s="16">
        <f>6*O27*O26</f>
        <v>149584.82399999999</v>
      </c>
      <c r="P35" s="13" t="s">
        <v>59</v>
      </c>
      <c r="W35" s="14"/>
      <c r="X35" s="16"/>
      <c r="Y35" s="16"/>
      <c r="AA35" s="14"/>
    </row>
    <row r="36" spans="1:27" s="16" customFormat="1" ht="11.25" x14ac:dyDescent="0.2">
      <c r="B36" s="14" t="s">
        <v>15</v>
      </c>
      <c r="C36" s="14"/>
      <c r="D36" s="14"/>
      <c r="E36" s="14"/>
      <c r="F36" s="30">
        <v>0.85</v>
      </c>
      <c r="G36" s="14"/>
      <c r="H36" s="14"/>
      <c r="I36" s="14"/>
      <c r="J36" s="14"/>
      <c r="K36" s="14"/>
      <c r="O36" s="16">
        <f>6*O27*G59</f>
        <v>45746.689697494658</v>
      </c>
      <c r="P36" s="16" t="s">
        <v>60</v>
      </c>
    </row>
    <row r="37" spans="1:27" s="16" customFormat="1" ht="11.25" x14ac:dyDescent="0.2">
      <c r="B37" s="14"/>
      <c r="C37" s="14" t="str">
        <f>"Customers from "&amp;TEXT($A$8,"mm/yy")&amp;" - "&amp;TEXT($A$10,"mm/yy")</f>
        <v>Customers from 05/17 - 07/17</v>
      </c>
      <c r="D37" s="14"/>
      <c r="E37" s="14"/>
      <c r="F37" s="31">
        <f>+B12</f>
        <v>54068</v>
      </c>
      <c r="G37" s="19" t="s">
        <v>8</v>
      </c>
      <c r="H37" s="14"/>
      <c r="I37" s="14"/>
      <c r="J37" s="14"/>
      <c r="K37" s="14"/>
      <c r="O37" s="90">
        <f>+O36/O35</f>
        <v>0.30582440433592822</v>
      </c>
    </row>
    <row r="38" spans="1:27" s="16" customFormat="1" ht="11.25" x14ac:dyDescent="0.2">
      <c r="B38" s="14"/>
      <c r="C38" s="14" t="s">
        <v>16</v>
      </c>
      <c r="D38" s="14"/>
      <c r="E38" s="14"/>
      <c r="F38" s="20">
        <f>ROUND(F36*F37,0)</f>
        <v>45958</v>
      </c>
      <c r="G38" s="19"/>
      <c r="H38" s="14"/>
      <c r="I38" s="14"/>
      <c r="J38" s="14"/>
      <c r="K38" s="14"/>
    </row>
    <row r="39" spans="1:27" s="16" customFormat="1" ht="11.25" x14ac:dyDescent="0.2">
      <c r="B39" s="14"/>
      <c r="C39" s="14"/>
      <c r="D39" s="14"/>
      <c r="E39" s="14"/>
      <c r="F39" s="31"/>
      <c r="G39" s="19"/>
      <c r="H39" s="14"/>
      <c r="I39" s="14"/>
      <c r="J39" s="14"/>
      <c r="K39" s="14"/>
    </row>
    <row r="40" spans="1:27" s="16" customFormat="1" ht="11.25" x14ac:dyDescent="0.2">
      <c r="B40" s="14" t="s">
        <v>15</v>
      </c>
      <c r="C40" s="14"/>
      <c r="D40" s="14"/>
      <c r="E40" s="14"/>
      <c r="F40" s="30">
        <v>1.0349999999999999</v>
      </c>
      <c r="G40" s="14"/>
      <c r="H40" s="14"/>
      <c r="I40" s="14"/>
      <c r="J40" s="14"/>
      <c r="K40" s="14"/>
    </row>
    <row r="41" spans="1:27" s="16" customFormat="1" ht="11.25" x14ac:dyDescent="0.2">
      <c r="B41" s="14"/>
      <c r="C41" s="14" t="str">
        <f>"Customers from "&amp;TEXT($A$14,"mm/yy")&amp;" - "&amp;TEXT($A$22,"mm/yy")</f>
        <v>Customers from 08/17 - 04/18</v>
      </c>
      <c r="D41" s="14"/>
      <c r="E41" s="14"/>
      <c r="F41" s="14">
        <f>+B24</f>
        <v>164246</v>
      </c>
      <c r="G41" s="19" t="s">
        <v>9</v>
      </c>
      <c r="H41" s="14"/>
      <c r="I41" s="14"/>
      <c r="J41" s="14"/>
      <c r="K41" s="14"/>
    </row>
    <row r="42" spans="1:27" s="16" customFormat="1" ht="11.25" x14ac:dyDescent="0.2">
      <c r="B42" s="14"/>
      <c r="C42" s="14" t="s">
        <v>16</v>
      </c>
      <c r="D42" s="14"/>
      <c r="E42" s="14"/>
      <c r="F42" s="20">
        <f>ROUND(F40*F41,0)</f>
        <v>169995</v>
      </c>
      <c r="G42" s="19"/>
      <c r="H42" s="14"/>
      <c r="I42" s="14"/>
      <c r="J42" s="14"/>
      <c r="K42" s="14"/>
    </row>
    <row r="43" spans="1:27" s="16" customFormat="1" ht="11.25" x14ac:dyDescent="0.2">
      <c r="B43" s="14"/>
      <c r="C43" s="14"/>
      <c r="D43" s="14"/>
      <c r="E43" s="14"/>
      <c r="F43" s="32"/>
      <c r="G43" s="19"/>
      <c r="H43" s="14"/>
      <c r="I43" s="14"/>
      <c r="J43" s="14"/>
      <c r="K43" s="14"/>
    </row>
    <row r="44" spans="1:27" s="16" customFormat="1" ht="12" thickBot="1" x14ac:dyDescent="0.25">
      <c r="B44" s="14"/>
      <c r="C44" s="14" t="s">
        <v>17</v>
      </c>
      <c r="D44" s="14"/>
      <c r="E44" s="14"/>
      <c r="F44" s="24">
        <f>+F38+F42</f>
        <v>215953</v>
      </c>
      <c r="G44" s="33">
        <f>+F44</f>
        <v>215953</v>
      </c>
      <c r="H44" s="14"/>
      <c r="I44" s="14"/>
      <c r="J44" s="14"/>
      <c r="K44" s="14"/>
    </row>
    <row r="45" spans="1:27" s="16" customFormat="1" ht="12" thickTop="1" x14ac:dyDescent="0.2">
      <c r="B45" s="14"/>
      <c r="C45" s="14"/>
      <c r="D45" s="14"/>
      <c r="E45" s="14"/>
      <c r="F45" s="14"/>
      <c r="G45" s="14"/>
      <c r="H45" s="14"/>
      <c r="I45" s="14"/>
      <c r="J45" s="14"/>
      <c r="K45" s="14"/>
    </row>
    <row r="46" spans="1:27" s="16" customFormat="1" ht="11.25" x14ac:dyDescent="0.2">
      <c r="B46" s="14"/>
      <c r="C46" s="14"/>
      <c r="D46" s="14"/>
      <c r="E46" s="14"/>
      <c r="F46" s="14"/>
      <c r="G46" s="14"/>
      <c r="H46" s="14"/>
      <c r="I46" s="14"/>
      <c r="J46" s="14"/>
      <c r="K46" s="14"/>
    </row>
    <row r="47" spans="1:27" s="16" customFormat="1" ht="12" thickBot="1" x14ac:dyDescent="0.25">
      <c r="B47" s="14"/>
      <c r="C47" s="14"/>
      <c r="D47" s="14"/>
      <c r="E47" s="14"/>
      <c r="F47" s="28" t="s">
        <v>109</v>
      </c>
      <c r="G47" s="34">
        <f>+G34-G44</f>
        <v>-67858</v>
      </c>
      <c r="H47" s="14"/>
      <c r="I47" s="14"/>
      <c r="J47" s="14"/>
      <c r="K47" s="14"/>
    </row>
    <row r="48" spans="1:27" s="16" customFormat="1" ht="12" thickTop="1" x14ac:dyDescent="0.2">
      <c r="B48" s="14"/>
      <c r="C48" s="14"/>
      <c r="D48" s="14"/>
      <c r="E48" s="14"/>
      <c r="F48" s="14"/>
      <c r="G48" s="14"/>
      <c r="H48" s="14"/>
      <c r="I48" s="14"/>
      <c r="J48" s="14"/>
      <c r="K48" s="14"/>
      <c r="Y48" s="14"/>
    </row>
    <row r="49" spans="2:27" s="16" customFormat="1" ht="11.25" x14ac:dyDescent="0.2">
      <c r="B49" s="14"/>
      <c r="C49" s="14"/>
      <c r="D49" s="14"/>
      <c r="E49" s="14"/>
      <c r="F49" s="14"/>
      <c r="G49" s="14"/>
      <c r="H49" s="14"/>
      <c r="I49" s="14"/>
      <c r="J49" s="14"/>
      <c r="K49" s="14"/>
    </row>
    <row r="50" spans="2:27" s="16" customFormat="1" ht="12" thickBot="1" x14ac:dyDescent="0.25">
      <c r="B50" s="25" t="str">
        <f>$K$22+1&amp;" Recycle Adjustment Calculation"</f>
        <v>2019 Recycle Adjustment Calculation</v>
      </c>
      <c r="C50" s="26"/>
      <c r="D50" s="26"/>
      <c r="E50" s="26"/>
      <c r="F50" s="26"/>
      <c r="G50" s="14"/>
      <c r="H50" s="14"/>
      <c r="I50" s="14"/>
      <c r="J50" s="14"/>
      <c r="K50" s="14"/>
    </row>
    <row r="51" spans="2:27" s="16" customFormat="1" ht="12" thickTop="1" x14ac:dyDescent="0.2">
      <c r="B51" s="27"/>
      <c r="C51" s="14"/>
      <c r="D51" s="14"/>
      <c r="E51" s="14"/>
      <c r="F51" s="14"/>
      <c r="G51" s="14"/>
      <c r="H51" s="14"/>
      <c r="I51" s="14"/>
      <c r="J51" s="14"/>
      <c r="K51" s="14"/>
      <c r="L51" s="14"/>
      <c r="M51" s="14"/>
      <c r="N51" s="14"/>
      <c r="O51" s="14"/>
      <c r="P51" s="14"/>
      <c r="Q51" s="14"/>
      <c r="R51" s="14"/>
      <c r="S51" s="14"/>
      <c r="T51" s="14"/>
      <c r="U51" s="14"/>
      <c r="V51" s="14"/>
      <c r="W51" s="14"/>
      <c r="AA51" s="14"/>
    </row>
    <row r="52" spans="2:27" s="16" customFormat="1" ht="11.25" x14ac:dyDescent="0.2">
      <c r="B52" s="14" t="str">
        <f>$K$10&amp;"/"&amp;$K$22&amp;" True-up Computation"</f>
        <v>2017/2018 True-up Computation</v>
      </c>
      <c r="C52" s="14"/>
      <c r="D52" s="14"/>
      <c r="E52" s="14"/>
      <c r="F52" s="14"/>
      <c r="G52" s="14"/>
      <c r="H52" s="14"/>
      <c r="I52" s="14"/>
      <c r="J52" s="14"/>
      <c r="K52" s="14"/>
    </row>
    <row r="53" spans="2:27" s="16" customFormat="1" ht="11.25" x14ac:dyDescent="0.2">
      <c r="B53" s="14"/>
      <c r="C53" s="14"/>
      <c r="D53" s="14"/>
      <c r="E53" s="14"/>
      <c r="F53" s="28" t="s">
        <v>18</v>
      </c>
      <c r="G53" s="14">
        <f>+J26</f>
        <v>218314</v>
      </c>
      <c r="H53" s="19" t="s">
        <v>12</v>
      </c>
      <c r="I53" s="14"/>
      <c r="J53" s="14"/>
      <c r="K53" s="14"/>
    </row>
    <row r="54" spans="2:27" s="16" customFormat="1" ht="11.25" x14ac:dyDescent="0.2">
      <c r="B54" s="14"/>
      <c r="C54" s="14"/>
      <c r="D54" s="14"/>
      <c r="E54" s="14"/>
      <c r="F54" s="28" t="s">
        <v>109</v>
      </c>
      <c r="G54" s="14">
        <f>G47</f>
        <v>-67858</v>
      </c>
      <c r="H54" s="14"/>
      <c r="I54" s="14"/>
      <c r="J54" s="14"/>
      <c r="K54" s="14"/>
    </row>
    <row r="55" spans="2:27" s="16" customFormat="1" ht="11.25" x14ac:dyDescent="0.2">
      <c r="B55" s="14"/>
      <c r="C55" s="14"/>
      <c r="D55" s="14"/>
      <c r="E55" s="14"/>
      <c r="F55" s="28"/>
      <c r="G55" s="14"/>
      <c r="H55" s="14"/>
      <c r="I55" s="14"/>
      <c r="J55" s="14"/>
      <c r="K55" s="14"/>
    </row>
    <row r="56" spans="2:27" s="16" customFormat="1" ht="12" thickBot="1" x14ac:dyDescent="0.25">
      <c r="B56" s="14"/>
      <c r="C56" s="14"/>
      <c r="D56" s="14"/>
      <c r="E56" s="14"/>
      <c r="F56" s="28" t="s">
        <v>108</v>
      </c>
      <c r="G56" s="35">
        <f>ROUND(G54/G53,3)</f>
        <v>-0.311</v>
      </c>
      <c r="H56" s="14"/>
      <c r="I56" s="21">
        <f>+G56</f>
        <v>-0.311</v>
      </c>
      <c r="J56" s="14"/>
      <c r="K56" s="14"/>
    </row>
    <row r="57" spans="2:27" s="16" customFormat="1" ht="12" thickTop="1" x14ac:dyDescent="0.2">
      <c r="B57" s="14"/>
      <c r="C57" s="14"/>
      <c r="D57" s="14"/>
      <c r="E57" s="14"/>
      <c r="F57" s="28"/>
      <c r="G57" s="14"/>
      <c r="H57" s="14"/>
      <c r="I57" s="21"/>
      <c r="J57" s="14"/>
      <c r="K57" s="14"/>
      <c r="Y57" s="14"/>
    </row>
    <row r="58" spans="2:27" s="16" customFormat="1" ht="11.25" x14ac:dyDescent="0.2">
      <c r="B58" s="14" t="str">
        <f>$K$22+1&amp;" Projected Credit"</f>
        <v>2019 Projected Credit</v>
      </c>
      <c r="C58" s="14"/>
      <c r="D58" s="14"/>
      <c r="E58" s="14"/>
      <c r="F58" s="28"/>
      <c r="G58" s="14"/>
      <c r="H58" s="14"/>
      <c r="I58" s="21"/>
      <c r="J58" s="14"/>
      <c r="K58" s="14"/>
      <c r="M58" s="197" t="s">
        <v>61</v>
      </c>
    </row>
    <row r="59" spans="2:27" s="16" customFormat="1" ht="12" thickBot="1" x14ac:dyDescent="0.25">
      <c r="B59" s="27"/>
      <c r="C59" s="14"/>
      <c r="D59" s="14"/>
      <c r="E59" s="14"/>
      <c r="F59" s="28" t="s">
        <v>107</v>
      </c>
      <c r="G59" s="202">
        <f>+F28/'Value (3)'!P18*M59</f>
        <v>0.41500371668385455</v>
      </c>
      <c r="H59" s="14"/>
      <c r="I59" s="21">
        <f>+G59</f>
        <v>0.41500371668385455</v>
      </c>
      <c r="J59" s="19" t="s">
        <v>11</v>
      </c>
      <c r="K59" s="14"/>
      <c r="M59" s="213">
        <v>0.5</v>
      </c>
    </row>
    <row r="60" spans="2:27" s="14" customFormat="1" ht="12" thickTop="1" x14ac:dyDescent="0.2">
      <c r="B60" s="27"/>
      <c r="I60" s="21"/>
      <c r="M60" s="14" t="s">
        <v>29</v>
      </c>
      <c r="X60" s="16"/>
      <c r="Y60" s="16"/>
    </row>
    <row r="61" spans="2:27" s="16" customFormat="1" ht="12" thickBot="1" x14ac:dyDescent="0.25">
      <c r="B61" s="14"/>
      <c r="C61" s="14"/>
      <c r="D61" s="14"/>
      <c r="E61" s="14"/>
      <c r="F61" s="14"/>
      <c r="G61" s="28" t="str">
        <f>$K$22+1&amp;" Adjusted Credit"</f>
        <v>2019 Adjusted Credit</v>
      </c>
      <c r="H61" s="24"/>
      <c r="I61" s="35">
        <f>+I56+I59</f>
        <v>0.10400371668385455</v>
      </c>
      <c r="J61" s="14"/>
      <c r="K61" s="14"/>
    </row>
    <row r="62" spans="2:27" s="16" customFormat="1" ht="12" thickTop="1" x14ac:dyDescent="0.2">
      <c r="I62" s="21"/>
    </row>
    <row r="63" spans="2:27" s="16" customFormat="1" ht="11.25" x14ac:dyDescent="0.2"/>
    <row r="64" spans="2:27" s="16" customFormat="1" ht="11.25" x14ac:dyDescent="0.2">
      <c r="B64" s="16" t="s">
        <v>106</v>
      </c>
      <c r="G64" s="78" t="s">
        <v>52</v>
      </c>
      <c r="I64" s="212">
        <f>'[4]2014-2015'!$C$14</f>
        <v>0</v>
      </c>
    </row>
    <row r="65" spans="1:27" s="16" customFormat="1" ht="11.25" x14ac:dyDescent="0.2">
      <c r="A65" s="84"/>
      <c r="B65" s="84"/>
      <c r="C65" s="84"/>
      <c r="D65" s="84"/>
      <c r="E65" s="84"/>
      <c r="F65" s="84"/>
    </row>
    <row r="66" spans="1:27" s="16" customFormat="1" ht="11.25" hidden="1" x14ac:dyDescent="0.2">
      <c r="A66" s="100"/>
      <c r="B66" s="211"/>
      <c r="C66" s="210"/>
      <c r="D66" s="208"/>
      <c r="E66" s="84"/>
      <c r="F66" s="84"/>
      <c r="G66" s="78" t="s">
        <v>105</v>
      </c>
      <c r="I66" s="209">
        <v>292961.99994565477</v>
      </c>
    </row>
    <row r="67" spans="1:27" s="16" customFormat="1" ht="11.25" hidden="1" x14ac:dyDescent="0.2">
      <c r="A67" s="100"/>
      <c r="B67" s="211"/>
      <c r="C67" s="210"/>
      <c r="D67" s="208"/>
      <c r="E67" s="84"/>
      <c r="F67" s="84"/>
      <c r="G67" s="78" t="s">
        <v>104</v>
      </c>
      <c r="I67" s="209">
        <v>56929</v>
      </c>
    </row>
    <row r="68" spans="1:27" s="16" customFormat="1" ht="11.25" x14ac:dyDescent="0.2">
      <c r="A68" s="100"/>
      <c r="B68" s="101"/>
      <c r="C68" s="103"/>
      <c r="D68" s="208"/>
      <c r="E68" s="84"/>
      <c r="F68" s="84"/>
    </row>
    <row r="69" spans="1:27" s="16" customFormat="1" ht="11.25" x14ac:dyDescent="0.2">
      <c r="A69" s="100"/>
      <c r="B69" s="101"/>
      <c r="C69" s="31"/>
      <c r="D69" s="208"/>
      <c r="E69" s="84"/>
      <c r="F69" s="84"/>
      <c r="G69" s="78" t="s">
        <v>103</v>
      </c>
      <c r="I69" s="207"/>
    </row>
    <row r="70" spans="1:27" s="14" customFormat="1" ht="11.25" x14ac:dyDescent="0.2">
      <c r="A70" s="100"/>
      <c r="B70" s="31"/>
      <c r="C70" s="31"/>
      <c r="D70" s="84"/>
      <c r="E70" s="31"/>
      <c r="F70" s="84"/>
      <c r="X70" s="16"/>
      <c r="Y70" s="16"/>
    </row>
    <row r="71" spans="1:27" s="16" customFormat="1" ht="11.25" x14ac:dyDescent="0.2">
      <c r="A71" s="100"/>
      <c r="B71" s="31"/>
      <c r="C71" s="103"/>
      <c r="D71" s="84"/>
      <c r="E71" s="84"/>
      <c r="F71" s="84"/>
      <c r="G71" s="78" t="s">
        <v>53</v>
      </c>
      <c r="I71" s="79">
        <f>I69/(B17*12)</f>
        <v>0</v>
      </c>
    </row>
    <row r="72" spans="1:27" s="16" customFormat="1" ht="11.25" x14ac:dyDescent="0.2">
      <c r="A72" s="100"/>
      <c r="B72" s="31"/>
      <c r="C72" s="31"/>
      <c r="D72" s="84"/>
      <c r="E72" s="84"/>
      <c r="F72" s="84"/>
    </row>
    <row r="73" spans="1:27" s="16" customFormat="1" ht="12" thickBot="1" x14ac:dyDescent="0.25">
      <c r="A73" s="100"/>
      <c r="B73" s="101"/>
      <c r="C73" s="31"/>
      <c r="D73" s="84"/>
      <c r="E73" s="84"/>
      <c r="F73" s="84"/>
      <c r="G73" s="28" t="str">
        <f>$K$22+1&amp;" Net Credit"</f>
        <v>2019 Net Credit</v>
      </c>
      <c r="H73" s="24"/>
      <c r="I73" s="161">
        <f>+I61+I71</f>
        <v>0.10400371668385455</v>
      </c>
    </row>
    <row r="74" spans="1:27" s="16" customFormat="1" ht="12" thickTop="1" x14ac:dyDescent="0.2">
      <c r="A74" s="100"/>
      <c r="B74" s="101"/>
      <c r="C74" s="31"/>
      <c r="D74" s="84"/>
      <c r="E74" s="84"/>
      <c r="F74" s="84"/>
    </row>
    <row r="75" spans="1:27" s="16" customFormat="1" ht="11.25" x14ac:dyDescent="0.2">
      <c r="A75" s="100"/>
      <c r="B75" s="101"/>
      <c r="C75" s="31"/>
      <c r="D75" s="84"/>
      <c r="E75" s="84"/>
      <c r="F75" s="84"/>
    </row>
    <row r="76" spans="1:27" s="16" customFormat="1" ht="11.25" x14ac:dyDescent="0.2">
      <c r="A76" s="100"/>
      <c r="B76" s="101"/>
      <c r="C76" s="31"/>
      <c r="D76" s="84"/>
      <c r="E76" s="84"/>
      <c r="F76" s="84"/>
      <c r="Y76" s="14"/>
    </row>
    <row r="77" spans="1:27" s="16" customFormat="1" ht="11.25" x14ac:dyDescent="0.2">
      <c r="A77" s="100"/>
      <c r="B77" s="101"/>
      <c r="C77" s="31"/>
      <c r="D77" s="84"/>
      <c r="E77" s="84"/>
      <c r="F77" s="84"/>
    </row>
    <row r="78" spans="1:27" s="16" customFormat="1" ht="11.25" x14ac:dyDescent="0.2">
      <c r="A78" s="100"/>
      <c r="B78" s="101"/>
      <c r="C78" s="31"/>
      <c r="D78" s="84"/>
      <c r="E78" s="84"/>
      <c r="F78" s="84"/>
    </row>
    <row r="79" spans="1:27" s="16" customFormat="1" ht="11.25" x14ac:dyDescent="0.2">
      <c r="A79" s="100"/>
      <c r="B79" s="101"/>
      <c r="C79" s="31"/>
      <c r="D79" s="84"/>
      <c r="E79" s="84"/>
      <c r="F79" s="84"/>
    </row>
    <row r="80" spans="1:27" s="16" customFormat="1" ht="11.25" x14ac:dyDescent="0.2">
      <c r="A80" s="100"/>
      <c r="B80" s="101"/>
      <c r="C80" s="31"/>
      <c r="D80" s="84"/>
      <c r="E80" s="206"/>
      <c r="F80" s="84"/>
      <c r="G80" s="14"/>
      <c r="H80" s="13"/>
      <c r="I80" s="14"/>
      <c r="J80" s="14"/>
      <c r="K80" s="13"/>
      <c r="L80" s="14"/>
      <c r="M80" s="14"/>
      <c r="N80" s="14"/>
      <c r="O80" s="14"/>
      <c r="P80" s="14"/>
      <c r="Q80" s="14"/>
      <c r="R80" s="14"/>
      <c r="S80" s="14"/>
      <c r="T80" s="14"/>
      <c r="U80" s="14"/>
      <c r="V80" s="13"/>
      <c r="W80" s="14"/>
      <c r="AA80" s="14"/>
    </row>
    <row r="81" spans="1:25" s="16" customFormat="1" ht="11.25" x14ac:dyDescent="0.2">
      <c r="A81" s="100"/>
      <c r="B81" s="101"/>
      <c r="C81" s="31"/>
      <c r="D81" s="84"/>
      <c r="E81" s="84"/>
      <c r="F81" s="84"/>
    </row>
    <row r="82" spans="1:25" s="16" customFormat="1" ht="11.25" x14ac:dyDescent="0.2">
      <c r="A82" s="100"/>
      <c r="B82" s="31"/>
      <c r="C82" s="31"/>
      <c r="D82" s="84"/>
      <c r="E82" s="84"/>
      <c r="F82" s="84"/>
    </row>
    <row r="83" spans="1:25" s="16" customFormat="1" ht="11.25" x14ac:dyDescent="0.2">
      <c r="A83" s="100"/>
      <c r="B83" s="31"/>
      <c r="C83" s="103"/>
      <c r="D83" s="84"/>
      <c r="E83" s="84"/>
      <c r="F83" s="84"/>
    </row>
    <row r="84" spans="1:25" s="16" customFormat="1" x14ac:dyDescent="0.2">
      <c r="A84" s="88"/>
      <c r="B84" s="88"/>
      <c r="C84" s="88"/>
      <c r="D84" s="104"/>
      <c r="E84" s="84"/>
      <c r="F84" s="88"/>
    </row>
    <row r="85" spans="1:25" s="16" customFormat="1" ht="11.25" x14ac:dyDescent="0.2">
      <c r="A85" s="105"/>
      <c r="B85" s="31"/>
      <c r="C85" s="103"/>
      <c r="D85" s="84"/>
      <c r="E85" s="84"/>
      <c r="F85" s="106"/>
      <c r="Y85" s="14"/>
    </row>
    <row r="86" spans="1:25" s="16" customFormat="1" ht="11.25" x14ac:dyDescent="0.2"/>
    <row r="87" spans="1:25" s="16" customFormat="1" ht="11.25" x14ac:dyDescent="0.2"/>
    <row r="88" spans="1:25" s="16" customFormat="1" ht="11.25" x14ac:dyDescent="0.2"/>
    <row r="89" spans="1:25" s="16" customFormat="1" ht="11.25" x14ac:dyDescent="0.2">
      <c r="B89" s="8"/>
    </row>
    <row r="90" spans="1:25" s="14" customFormat="1" ht="11.25" x14ac:dyDescent="0.2">
      <c r="B90" s="27"/>
      <c r="X90" s="16"/>
      <c r="Y90" s="16"/>
    </row>
    <row r="91" spans="1:25" s="16" customFormat="1" ht="11.25" x14ac:dyDescent="0.2"/>
    <row r="92" spans="1:25" s="16" customFormat="1" ht="11.25" x14ac:dyDescent="0.2"/>
    <row r="93" spans="1:25" s="16" customFormat="1" ht="11.25" x14ac:dyDescent="0.2"/>
    <row r="94" spans="1:25" s="16" customFormat="1" ht="11.25" x14ac:dyDescent="0.2"/>
    <row r="95" spans="1:25" s="16" customFormat="1" ht="11.25" x14ac:dyDescent="0.2"/>
    <row r="96" spans="1:25" s="16" customFormat="1" ht="11.25" x14ac:dyDescent="0.2"/>
    <row r="97" spans="1:27" s="16" customFormat="1" ht="11.25" x14ac:dyDescent="0.2"/>
    <row r="98" spans="1:27" s="16" customFormat="1" ht="11.25" x14ac:dyDescent="0.2"/>
    <row r="99" spans="1:27" s="16" customFormat="1" ht="11.25" x14ac:dyDescent="0.2">
      <c r="A99" s="6"/>
    </row>
    <row r="100" spans="1:27" s="16" customFormat="1" x14ac:dyDescent="0.2">
      <c r="AA100" s="5"/>
    </row>
    <row r="101" spans="1:27" s="16" customFormat="1" x14ac:dyDescent="0.2">
      <c r="AA101" s="5"/>
    </row>
    <row r="102" spans="1:27" s="16" customFormat="1" x14ac:dyDescent="0.2">
      <c r="AA102" s="5"/>
    </row>
    <row r="103" spans="1:27" s="16" customFormat="1" x14ac:dyDescent="0.2">
      <c r="AA103" s="5"/>
    </row>
    <row r="104" spans="1:27" s="16" customFormat="1" x14ac:dyDescent="0.2">
      <c r="G104" s="36"/>
      <c r="I104" s="36"/>
      <c r="J104" s="36"/>
      <c r="L104" s="36"/>
      <c r="M104" s="36"/>
      <c r="N104" s="36"/>
      <c r="O104" s="36"/>
      <c r="P104" s="36"/>
      <c r="Q104" s="36"/>
      <c r="R104" s="36"/>
      <c r="S104" s="36"/>
      <c r="T104" s="36"/>
      <c r="U104" s="36"/>
      <c r="V104" s="36"/>
      <c r="W104" s="36"/>
      <c r="X104" s="36"/>
      <c r="Y104" s="36"/>
      <c r="AA104" s="5"/>
    </row>
    <row r="105" spans="1:27" s="16" customFormat="1" x14ac:dyDescent="0.2">
      <c r="AA105" s="5"/>
    </row>
    <row r="106" spans="1:27" s="16" customFormat="1" ht="13.5" thickBot="1" x14ac:dyDescent="0.25">
      <c r="G106" s="37"/>
      <c r="I106" s="37"/>
      <c r="J106" s="37"/>
      <c r="L106" s="37"/>
      <c r="M106" s="37"/>
      <c r="N106" s="37"/>
      <c r="O106" s="37"/>
      <c r="P106" s="37"/>
      <c r="Q106" s="37"/>
      <c r="R106" s="37"/>
      <c r="S106" s="37"/>
      <c r="T106" s="37"/>
      <c r="U106" s="37"/>
      <c r="V106" s="37"/>
      <c r="W106" s="37"/>
      <c r="X106" s="37"/>
      <c r="Y106" s="37"/>
      <c r="AA106" s="5"/>
    </row>
    <row r="107" spans="1:27" ht="13.5" thickTop="1" x14ac:dyDescent="0.2"/>
    <row r="108" spans="1:27" x14ac:dyDescent="0.2">
      <c r="W108" s="38"/>
      <c r="X108" s="38"/>
      <c r="Y108" s="38"/>
    </row>
    <row r="109" spans="1:27" x14ac:dyDescent="0.2">
      <c r="W109" s="38"/>
      <c r="AA109" s="38"/>
    </row>
  </sheetData>
  <printOptions horizontalCentered="1"/>
  <pageMargins left="0" right="0" top="0.52" bottom="0.44" header="0" footer="0"/>
  <pageSetup scale="58" orientation="portrait" horizontalDpi="4294967292" verticalDpi="4294967292" r:id="rId1"/>
  <headerFooter alignWithMargins="0">
    <oddFooter>&amp;R&amp;"Helv,Regular"&amp;6\\SERVER1\PUBLIC\EXCEL&amp;F,&amp;A</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8"/>
  <sheetViews>
    <sheetView showGridLines="0" topLeftCell="D1" zoomScaleNormal="100" workbookViewId="0">
      <selection activeCell="P18" sqref="P18"/>
    </sheetView>
  </sheetViews>
  <sheetFormatPr defaultRowHeight="12.75" x14ac:dyDescent="0.2"/>
  <cols>
    <col min="1" max="1" width="8.140625" style="123" customWidth="1"/>
    <col min="2" max="2" width="2.140625" style="123" customWidth="1"/>
    <col min="3" max="13" width="11.7109375" style="123" customWidth="1"/>
    <col min="14" max="14" width="3" style="123" customWidth="1"/>
    <col min="15" max="15" width="11.7109375" style="162" customWidth="1"/>
    <col min="16" max="16" width="14.5703125" style="123" bestFit="1" customWidth="1"/>
    <col min="17" max="16384" width="9.140625" style="123"/>
  </cols>
  <sheetData>
    <row r="1" spans="1:17" x14ac:dyDescent="0.2">
      <c r="A1" s="176" t="s">
        <v>112</v>
      </c>
      <c r="B1" s="175"/>
    </row>
    <row r="2" spans="1:17" x14ac:dyDescent="0.2">
      <c r="A2" s="174" t="str">
        <f>'WUTC_AW of Lynnwood_SF'!A1</f>
        <v>Rabanco Ltd (dba Allied Waste of Lynnwood)</v>
      </c>
      <c r="B2" s="174"/>
    </row>
    <row r="3" spans="1:17" x14ac:dyDescent="0.2">
      <c r="A3" s="174"/>
      <c r="B3" s="174"/>
      <c r="O3" s="173"/>
    </row>
    <row r="4" spans="1:17" x14ac:dyDescent="0.2">
      <c r="A4" s="174"/>
      <c r="B4" s="174"/>
      <c r="O4" s="173" t="str">
        <f>+TEXT(P18,"00.0%")&amp;" of"</f>
        <v>50.0% of</v>
      </c>
    </row>
    <row r="5" spans="1:17" x14ac:dyDescent="0.2">
      <c r="B5" s="171"/>
      <c r="C5" s="172" t="s">
        <v>19</v>
      </c>
      <c r="D5" s="172" t="s">
        <v>20</v>
      </c>
      <c r="E5" s="172" t="s">
        <v>111</v>
      </c>
      <c r="F5" s="172" t="s">
        <v>21</v>
      </c>
      <c r="G5" s="172" t="s">
        <v>22</v>
      </c>
      <c r="H5" s="172" t="s">
        <v>23</v>
      </c>
      <c r="I5" s="172" t="s">
        <v>24</v>
      </c>
      <c r="J5" s="172" t="s">
        <v>25</v>
      </c>
      <c r="K5" s="172" t="s">
        <v>26</v>
      </c>
      <c r="L5" s="172" t="s">
        <v>27</v>
      </c>
      <c r="M5" s="172" t="s">
        <v>28</v>
      </c>
      <c r="O5" s="173" t="s">
        <v>28</v>
      </c>
      <c r="P5" s="172" t="s">
        <v>62</v>
      </c>
    </row>
    <row r="6" spans="1:17" ht="15.75" customHeight="1" x14ac:dyDescent="0.2">
      <c r="A6" s="170">
        <f>+'Pricing (3)'!A6</f>
        <v>42856</v>
      </c>
      <c r="B6" s="163"/>
      <c r="C6" s="165">
        <f>'Commodity Tonnages (3)'!C6*'Pricing (3)'!C6</f>
        <v>3809.5317299999997</v>
      </c>
      <c r="D6" s="169">
        <f>'Commodity Tonnages (3)'!D6*'Pricing (3)'!D6</f>
        <v>-1578.14268352</v>
      </c>
      <c r="E6" s="169">
        <f>'Commodity Tonnages (3)'!E6*'Pricing (3)'!E6</f>
        <v>0</v>
      </c>
      <c r="F6" s="169">
        <f>'Commodity Tonnages (3)'!F6*'Pricing (3)'!F6</f>
        <v>666.4229484</v>
      </c>
      <c r="G6" s="169">
        <f>'Commodity Tonnages (3)'!G6*'Pricing (3)'!G6</f>
        <v>7144.0028399999992</v>
      </c>
      <c r="H6" s="169">
        <f>'Commodity Tonnages (3)'!H6*'Pricing (3)'!H6</f>
        <v>10857.83629408</v>
      </c>
      <c r="I6" s="169">
        <f>'Commodity Tonnages (3)'!I6*'Pricing (3)'!I6</f>
        <v>1165.1956434799999</v>
      </c>
      <c r="J6" s="169">
        <f>'Commodity Tonnages (3)'!J6*'Pricing (3)'!J6</f>
        <v>1165.1956434799999</v>
      </c>
      <c r="K6" s="169">
        <f>'Commodity Tonnages (3)'!K6*'Pricing (3)'!K6</f>
        <v>13264.991879039999</v>
      </c>
      <c r="L6" s="169">
        <f>'Commodity Tonnages (3)'!L6*'Pricing (3)'!L6</f>
        <v>-4477.7651544800101</v>
      </c>
      <c r="M6" s="224">
        <f t="shared" ref="M6:M18" si="0">SUM(C6:L6)</f>
        <v>32017.269140479992</v>
      </c>
      <c r="O6" s="58">
        <f t="shared" ref="O6:O17" si="1">M6*P6</f>
        <v>16008.634570239996</v>
      </c>
      <c r="P6" s="223">
        <v>0.5</v>
      </c>
      <c r="Q6" s="55"/>
    </row>
    <row r="7" spans="1:17" ht="15.75" customHeight="1" x14ac:dyDescent="0.2">
      <c r="A7" s="170">
        <f>+'Pricing (3)'!A7</f>
        <v>42916</v>
      </c>
      <c r="B7" s="163"/>
      <c r="C7" s="165">
        <f>'Commodity Tonnages (3)'!C7*'Pricing (3)'!C7</f>
        <v>3666.5480564999998</v>
      </c>
      <c r="D7" s="169">
        <f>'Commodity Tonnages (3)'!D7*'Pricing (3)'!D7</f>
        <v>-618.52277760000015</v>
      </c>
      <c r="E7" s="169">
        <f>'Commodity Tonnages (3)'!E7*'Pricing (3)'!E7</f>
        <v>0</v>
      </c>
      <c r="F7" s="169">
        <f>'Commodity Tonnages (3)'!F7*'Pricing (3)'!F7</f>
        <v>623.05980660000012</v>
      </c>
      <c r="G7" s="169">
        <f>'Commodity Tonnages (3)'!G7*'Pricing (3)'!G7</f>
        <v>9066.7878209999999</v>
      </c>
      <c r="H7" s="169">
        <f>'Commodity Tonnages (3)'!H7*'Pricing (3)'!H7</f>
        <v>13875.428521919999</v>
      </c>
      <c r="I7" s="169">
        <f>'Commodity Tonnages (3)'!I7*'Pricing (3)'!I7</f>
        <v>866.39215109999998</v>
      </c>
      <c r="J7" s="169">
        <f>'Commodity Tonnages (3)'!J7*'Pricing (3)'!J7</f>
        <v>866.39215109999998</v>
      </c>
      <c r="K7" s="169">
        <f>'Commodity Tonnages (3)'!K7*'Pricing (3)'!K7</f>
        <v>15538.75801632</v>
      </c>
      <c r="L7" s="169">
        <f>'Commodity Tonnages (3)'!L7*'Pricing (3)'!L7</f>
        <v>-4362.7562498100096</v>
      </c>
      <c r="M7" s="224">
        <f t="shared" si="0"/>
        <v>39522.087497129993</v>
      </c>
      <c r="O7" s="58">
        <f t="shared" si="1"/>
        <v>19761.043748564996</v>
      </c>
      <c r="P7" s="223">
        <v>0.5</v>
      </c>
      <c r="Q7" s="55"/>
    </row>
    <row r="8" spans="1:17" ht="15.75" customHeight="1" x14ac:dyDescent="0.2">
      <c r="A8" s="170">
        <f>+'Pricing (3)'!A8</f>
        <v>42947</v>
      </c>
      <c r="B8" s="163"/>
      <c r="C8" s="165">
        <f>'Commodity Tonnages (3)'!C8*'Pricing (3)'!C8</f>
        <v>3417.7390725</v>
      </c>
      <c r="D8" s="169">
        <f>'Commodity Tonnages (3)'!D8*'Pricing (3)'!D8</f>
        <v>-611.35482824000007</v>
      </c>
      <c r="E8" s="169">
        <f>'Commodity Tonnages (3)'!E8*'Pricing (3)'!E8</f>
        <v>0</v>
      </c>
      <c r="F8" s="169">
        <f>'Commodity Tonnages (3)'!F8*'Pricing (3)'!F8</f>
        <v>583.75815135000005</v>
      </c>
      <c r="G8" s="169">
        <f>'Commodity Tonnages (3)'!G8*'Pricing (3)'!G8</f>
        <v>10054.140096000001</v>
      </c>
      <c r="H8" s="169">
        <f>'Commodity Tonnages (3)'!H8*'Pricing (3)'!H8</f>
        <v>15729.991784959999</v>
      </c>
      <c r="I8" s="169">
        <f>'Commodity Tonnages (3)'!I8*'Pricing (3)'!I8</f>
        <v>734.60399467499997</v>
      </c>
      <c r="J8" s="169">
        <f>'Commodity Tonnages (3)'!J8*'Pricing (3)'!J8</f>
        <v>734.60399467499997</v>
      </c>
      <c r="K8" s="169">
        <f>'Commodity Tonnages (3)'!K8*'Pricing (3)'!K8</f>
        <v>15222.18217014</v>
      </c>
      <c r="L8" s="169">
        <f>'Commodity Tonnages (3)'!L8*'Pricing (3)'!L8</f>
        <v>-4175.198355310009</v>
      </c>
      <c r="M8" s="224">
        <f t="shared" si="0"/>
        <v>41690.466080749989</v>
      </c>
      <c r="O8" s="58">
        <f t="shared" si="1"/>
        <v>20845.233040374995</v>
      </c>
      <c r="P8" s="223">
        <v>0.5</v>
      </c>
      <c r="Q8" s="55"/>
    </row>
    <row r="9" spans="1:17" ht="15.75" customHeight="1" x14ac:dyDescent="0.2">
      <c r="A9" s="170">
        <f>+'Pricing (3)'!A9</f>
        <v>42978</v>
      </c>
      <c r="B9" s="163"/>
      <c r="C9" s="165">
        <f>'Commodity Tonnages (3)'!C9*'Pricing (3)'!C9</f>
        <v>3906.3341579999997</v>
      </c>
      <c r="D9" s="169">
        <f>'Commodity Tonnages (3)'!D9*'Pricing (3)'!D9</f>
        <v>-441.42692047999998</v>
      </c>
      <c r="E9" s="169">
        <f>'Commodity Tonnages (3)'!E9*'Pricing (3)'!E9</f>
        <v>0</v>
      </c>
      <c r="F9" s="169">
        <f>'Commodity Tonnages (3)'!F9*'Pricing (3)'!F9</f>
        <v>741.44238134999989</v>
      </c>
      <c r="G9" s="169">
        <f>'Commodity Tonnages (3)'!G9*'Pricing (3)'!G9</f>
        <v>9157.3799264999998</v>
      </c>
      <c r="H9" s="169">
        <f>'Commodity Tonnages (3)'!H9*'Pricing (3)'!H9</f>
        <v>14293.757741619997</v>
      </c>
      <c r="I9" s="169">
        <f>'Commodity Tonnages (3)'!I9*'Pricing (3)'!I9</f>
        <v>1072.354079315</v>
      </c>
      <c r="J9" s="169">
        <f>'Commodity Tonnages (3)'!J9*'Pricing (3)'!J9</f>
        <v>1072.354079315</v>
      </c>
      <c r="K9" s="169">
        <f>'Commodity Tonnages (3)'!K9*'Pricing (3)'!K9</f>
        <v>14939.755484939998</v>
      </c>
      <c r="L9" s="169">
        <f>'Commodity Tonnages (3)'!L9*'Pricing (3)'!L9</f>
        <v>-4591.4970692300094</v>
      </c>
      <c r="M9" s="224">
        <f t="shared" si="0"/>
        <v>40150.453861329981</v>
      </c>
      <c r="O9" s="58">
        <f t="shared" si="1"/>
        <v>20075.226930664991</v>
      </c>
      <c r="P9" s="223">
        <v>0.5</v>
      </c>
      <c r="Q9" s="55"/>
    </row>
    <row r="10" spans="1:17" ht="15.75" customHeight="1" x14ac:dyDescent="0.2">
      <c r="A10" s="170">
        <f>+'Pricing (3)'!A10</f>
        <v>43008</v>
      </c>
      <c r="B10" s="163"/>
      <c r="C10" s="165">
        <f>'Commodity Tonnages (3)'!C10*'Pricing (3)'!C10</f>
        <v>3675.5257484999997</v>
      </c>
      <c r="D10" s="169">
        <f>'Commodity Tonnages (3)'!D10*'Pricing (3)'!D10</f>
        <v>-509.98840464</v>
      </c>
      <c r="E10" s="169">
        <f>'Commodity Tonnages (3)'!E10*'Pricing (3)'!E10</f>
        <v>0</v>
      </c>
      <c r="F10" s="169">
        <f>'Commodity Tonnages (3)'!F10*'Pricing (3)'!F10</f>
        <v>734.11792409999998</v>
      </c>
      <c r="G10" s="169">
        <f>'Commodity Tonnages (3)'!G10*'Pricing (3)'!G10</f>
        <v>6318.7066019999993</v>
      </c>
      <c r="H10" s="169">
        <f>'Commodity Tonnages (3)'!H10*'Pricing (3)'!H10</f>
        <v>9572.0417233999979</v>
      </c>
      <c r="I10" s="169">
        <f>'Commodity Tonnages (3)'!I10*'Pricing (3)'!I10</f>
        <v>832.27488609999989</v>
      </c>
      <c r="J10" s="169">
        <f>'Commodity Tonnages (3)'!J10*'Pricing (3)'!J10</f>
        <v>832.27488609999989</v>
      </c>
      <c r="K10" s="169">
        <f>'Commodity Tonnages (3)'!K10*'Pricing (3)'!K10</f>
        <v>10141.262635680001</v>
      </c>
      <c r="L10" s="169">
        <f>'Commodity Tonnages (3)'!L10*'Pricing (3)'!L10</f>
        <v>-4103.7667316600091</v>
      </c>
      <c r="M10" s="224">
        <f t="shared" si="0"/>
        <v>27492.449269579989</v>
      </c>
      <c r="O10" s="58">
        <f t="shared" si="1"/>
        <v>13746.224634789995</v>
      </c>
      <c r="P10" s="223">
        <v>0.5</v>
      </c>
      <c r="Q10" s="55"/>
    </row>
    <row r="11" spans="1:17" ht="15.75" customHeight="1" x14ac:dyDescent="0.2">
      <c r="A11" s="170">
        <f>+'Pricing (3)'!A11</f>
        <v>43039</v>
      </c>
      <c r="B11" s="163"/>
      <c r="C11" s="165">
        <f>'Commodity Tonnages (3)'!C11*'Pricing (3)'!C11</f>
        <v>3926.7138044999997</v>
      </c>
      <c r="D11" s="169">
        <f>'Commodity Tonnages (3)'!D11*'Pricing (3)'!D11</f>
        <v>-828.71301344000005</v>
      </c>
      <c r="E11" s="169">
        <f>'Commodity Tonnages (3)'!E11*'Pricing (3)'!E11</f>
        <v>0</v>
      </c>
      <c r="F11" s="169">
        <f>'Commodity Tonnages (3)'!F11*'Pricing (3)'!F11</f>
        <v>669.98896139999999</v>
      </c>
      <c r="G11" s="169">
        <f>'Commodity Tonnages (3)'!G11*'Pricing (3)'!G11</f>
        <v>6280.5158910000009</v>
      </c>
      <c r="H11" s="169">
        <f>'Commodity Tonnages (3)'!H11*'Pricing (3)'!H11</f>
        <v>9486.5832925599989</v>
      </c>
      <c r="I11" s="169">
        <f>'Commodity Tonnages (3)'!I11*'Pricing (3)'!I11</f>
        <v>578.76323152999998</v>
      </c>
      <c r="J11" s="169">
        <f>'Commodity Tonnages (3)'!J11*'Pricing (3)'!J11</f>
        <v>578.76323152999998</v>
      </c>
      <c r="K11" s="169">
        <f>'Commodity Tonnages (3)'!K11*'Pricing (3)'!K11</f>
        <v>7779.0950780399999</v>
      </c>
      <c r="L11" s="169">
        <f>'Commodity Tonnages (3)'!L11*'Pricing (3)'!L11</f>
        <v>-4260.8364918200095</v>
      </c>
      <c r="M11" s="224">
        <f t="shared" si="0"/>
        <v>24210.873985299993</v>
      </c>
      <c r="O11" s="58">
        <f t="shared" si="1"/>
        <v>12105.436992649997</v>
      </c>
      <c r="P11" s="223">
        <v>0.5</v>
      </c>
      <c r="Q11" s="55"/>
    </row>
    <row r="12" spans="1:17" ht="15.75" customHeight="1" x14ac:dyDescent="0.2">
      <c r="A12" s="170">
        <f>+'Pricing (3)'!A12</f>
        <v>43069</v>
      </c>
      <c r="B12" s="163"/>
      <c r="C12" s="165">
        <f>'Commodity Tonnages (3)'!C12*'Pricing (3)'!C12</f>
        <v>4200.0489329999991</v>
      </c>
      <c r="D12" s="169">
        <f>'Commodity Tonnages (3)'!D12*'Pricing (3)'!D12</f>
        <v>-255.76124912</v>
      </c>
      <c r="E12" s="169">
        <f>'Commodity Tonnages (3)'!E12*'Pricing (3)'!E12</f>
        <v>0</v>
      </c>
      <c r="F12" s="169">
        <f>'Commodity Tonnages (3)'!F12*'Pricing (3)'!F12</f>
        <v>742.51034879999997</v>
      </c>
      <c r="G12" s="169">
        <f>'Commodity Tonnages (3)'!G12*'Pricing (3)'!G12</f>
        <v>7409.6287590000011</v>
      </c>
      <c r="H12" s="169">
        <f>'Commodity Tonnages (3)'!H12*'Pricing (3)'!H12</f>
        <v>9801.8893042</v>
      </c>
      <c r="I12" s="169">
        <f>'Commodity Tonnages (3)'!I12*'Pricing (3)'!I12</f>
        <v>647.58859165000001</v>
      </c>
      <c r="J12" s="169">
        <f>'Commodity Tonnages (3)'!J12*'Pricing (3)'!J12</f>
        <v>647.58859165000001</v>
      </c>
      <c r="K12" s="169">
        <f>'Commodity Tonnages (3)'!K12*'Pricing (3)'!K12</f>
        <v>11726.718513840002</v>
      </c>
      <c r="L12" s="169">
        <f>'Commodity Tonnages (3)'!L12*'Pricing (3)'!L12</f>
        <v>-4599.87731558001</v>
      </c>
      <c r="M12" s="224">
        <f t="shared" si="0"/>
        <v>30320.334477439996</v>
      </c>
      <c r="O12" s="58">
        <f t="shared" si="1"/>
        <v>15160.167238719998</v>
      </c>
      <c r="P12" s="223">
        <v>0.5</v>
      </c>
      <c r="Q12" s="55"/>
    </row>
    <row r="13" spans="1:17" ht="15.75" customHeight="1" x14ac:dyDescent="0.2">
      <c r="A13" s="170">
        <f>+'Pricing (3)'!A13</f>
        <v>43100</v>
      </c>
      <c r="B13" s="163"/>
      <c r="C13" s="165">
        <f>'Commodity Tonnages (3)'!C13*'Pricing (3)'!C13</f>
        <v>4241.7812099999992</v>
      </c>
      <c r="D13" s="169">
        <f>'Commodity Tonnages (3)'!D13*'Pricing (3)'!D13</f>
        <v>-971.82239440000012</v>
      </c>
      <c r="E13" s="169">
        <f>'Commodity Tonnages (3)'!E13*'Pricing (3)'!E13</f>
        <v>0</v>
      </c>
      <c r="F13" s="169">
        <f>'Commodity Tonnages (3)'!F13*'Pricing (3)'!F13</f>
        <v>849.53286824999998</v>
      </c>
      <c r="G13" s="169">
        <f>'Commodity Tonnages (3)'!G13*'Pricing (3)'!G13</f>
        <v>7216.3795274999993</v>
      </c>
      <c r="H13" s="169">
        <f>'Commodity Tonnages (3)'!H13*'Pricing (3)'!H13</f>
        <v>9326.6566731999992</v>
      </c>
      <c r="I13" s="169">
        <f>'Commodity Tonnages (3)'!I13*'Pricing (3)'!I13</f>
        <v>674.013061075</v>
      </c>
      <c r="J13" s="169">
        <f>'Commodity Tonnages (3)'!J13*'Pricing (3)'!J13</f>
        <v>674.013061075</v>
      </c>
      <c r="K13" s="169">
        <f>'Commodity Tonnages (3)'!K13*'Pricing (3)'!K13</f>
        <v>11138.132342699997</v>
      </c>
      <c r="L13" s="169">
        <f>'Commodity Tonnages (3)'!L13*'Pricing (3)'!L13</f>
        <v>-4637.4687063500096</v>
      </c>
      <c r="M13" s="224">
        <f t="shared" si="0"/>
        <v>28511.217643049982</v>
      </c>
      <c r="O13" s="58">
        <f t="shared" si="1"/>
        <v>14255.608821524991</v>
      </c>
      <c r="P13" s="223">
        <v>0.5</v>
      </c>
      <c r="Q13" s="55"/>
    </row>
    <row r="14" spans="1:17" ht="15.75" customHeight="1" x14ac:dyDescent="0.2">
      <c r="A14" s="170">
        <f>+'Pricing (3)'!A14</f>
        <v>43131</v>
      </c>
      <c r="B14" s="163"/>
      <c r="C14" s="165">
        <f>'Commodity Tonnages (3)'!C14*'Pricing (3)'!C14</f>
        <v>4775.3509544999997</v>
      </c>
      <c r="D14" s="169">
        <f>'Commodity Tonnages (3)'!D14*'Pricing (3)'!D14</f>
        <v>-1109.0185579200001</v>
      </c>
      <c r="E14" s="169">
        <f>'Commodity Tonnages (3)'!E14*'Pricing (3)'!E14</f>
        <v>0</v>
      </c>
      <c r="F14" s="169">
        <f>'Commodity Tonnages (3)'!F14*'Pricing (3)'!F14</f>
        <v>1067.7719051999998</v>
      </c>
      <c r="G14" s="169">
        <f>'Commodity Tonnages (3)'!G14*'Pricing (3)'!G14</f>
        <v>4878.0213299999996</v>
      </c>
      <c r="H14" s="169">
        <f>'Commodity Tonnages (3)'!H14*'Pricing (3)'!H14</f>
        <v>8124.8225221799994</v>
      </c>
      <c r="I14" s="169">
        <f>'Commodity Tonnages (3)'!I14*'Pricing (3)'!I14</f>
        <v>754.06503983999994</v>
      </c>
      <c r="J14" s="169">
        <f>'Commodity Tonnages (3)'!J14*'Pricing (3)'!J14</f>
        <v>754.06503983999994</v>
      </c>
      <c r="K14" s="169">
        <f>'Commodity Tonnages (3)'!K14*'Pricing (3)'!K14</f>
        <v>11770.50519414</v>
      </c>
      <c r="L14" s="169">
        <f>'Commodity Tonnages (3)'!L14*'Pricing (3)'!L14</f>
        <v>-5016.4154651100116</v>
      </c>
      <c r="M14" s="224">
        <f t="shared" si="0"/>
        <v>25999.167962669984</v>
      </c>
      <c r="O14" s="58">
        <f t="shared" si="1"/>
        <v>12999.583981334992</v>
      </c>
      <c r="P14" s="223">
        <v>0.5</v>
      </c>
      <c r="Q14" s="55"/>
    </row>
    <row r="15" spans="1:17" ht="15.75" customHeight="1" x14ac:dyDescent="0.2">
      <c r="A15" s="170">
        <f>+'Pricing (3)'!A15</f>
        <v>43159</v>
      </c>
      <c r="B15" s="163"/>
      <c r="C15" s="165">
        <f>'Commodity Tonnages (3)'!C15*'Pricing (3)'!C15</f>
        <v>3566.5259385000004</v>
      </c>
      <c r="D15" s="169">
        <f>'Commodity Tonnages (3)'!D15*'Pricing (3)'!D15</f>
        <v>-681.48836496000013</v>
      </c>
      <c r="E15" s="169">
        <f>'Commodity Tonnages (3)'!E15*'Pricing (3)'!E15</f>
        <v>0</v>
      </c>
      <c r="F15" s="169">
        <f>'Commodity Tonnages (3)'!F15*'Pricing (3)'!F15</f>
        <v>736.20885360000011</v>
      </c>
      <c r="G15" s="169">
        <f>'Commodity Tonnages (3)'!G15*'Pricing (3)'!G15</f>
        <v>-1701.281127</v>
      </c>
      <c r="H15" s="169">
        <f>'Commodity Tonnages (3)'!H15*'Pricing (3)'!H15</f>
        <v>-3377.4223587599995</v>
      </c>
      <c r="I15" s="169">
        <f>'Commodity Tonnages (3)'!I15*'Pricing (3)'!I15</f>
        <v>921.85318337000012</v>
      </c>
      <c r="J15" s="169">
        <f>'Commodity Tonnages (3)'!J15*'Pricing (3)'!J15</f>
        <v>921.85318337000012</v>
      </c>
      <c r="K15" s="169">
        <f>'Commodity Tonnages (3)'!K15*'Pricing (3)'!K15</f>
        <v>5381.8836350399997</v>
      </c>
      <c r="L15" s="169">
        <f>'Commodity Tonnages (3)'!L15*'Pricing (3)'!L15</f>
        <v>-3840.7068081400089</v>
      </c>
      <c r="M15" s="224">
        <f t="shared" si="0"/>
        <v>1927.4261350199918</v>
      </c>
      <c r="O15" s="58">
        <f t="shared" si="1"/>
        <v>963.71306750999588</v>
      </c>
      <c r="P15" s="223">
        <v>0.5</v>
      </c>
      <c r="Q15" s="55"/>
    </row>
    <row r="16" spans="1:17" ht="15.75" customHeight="1" x14ac:dyDescent="0.2">
      <c r="A16" s="170">
        <f>+'Pricing (3)'!A16</f>
        <v>43190</v>
      </c>
      <c r="B16" s="163"/>
      <c r="C16" s="165">
        <f>'Commodity Tonnages (3)'!C16*'Pricing (3)'!C16</f>
        <v>3865.6293344999995</v>
      </c>
      <c r="D16" s="169">
        <f>'Commodity Tonnages (3)'!D16*'Pricing (3)'!D16</f>
        <v>-838.657872</v>
      </c>
      <c r="E16" s="169">
        <f>'Commodity Tonnages (3)'!E16*'Pricing (3)'!E16</f>
        <v>0</v>
      </c>
      <c r="F16" s="169">
        <f>'Commodity Tonnages (3)'!F16*'Pricing (3)'!F16</f>
        <v>927.91548299999988</v>
      </c>
      <c r="G16" s="169">
        <f>'Commodity Tonnages (3)'!G16*'Pricing (3)'!G16</f>
        <v>-1668.0658409999999</v>
      </c>
      <c r="H16" s="169">
        <f>'Commodity Tonnages (3)'!H16*'Pricing (3)'!H16</f>
        <v>-3627.9131521199997</v>
      </c>
      <c r="I16" s="169">
        <f>'Commodity Tonnages (3)'!I16*'Pricing (3)'!I16</f>
        <v>1245.25198428</v>
      </c>
      <c r="J16" s="169">
        <f>'Commodity Tonnages (3)'!J16*'Pricing (3)'!J16</f>
        <v>1245.25198428</v>
      </c>
      <c r="K16" s="169">
        <f>'Commodity Tonnages (3)'!K16*'Pricing (3)'!K16</f>
        <v>5324.4433954799997</v>
      </c>
      <c r="L16" s="169">
        <f>'Commodity Tonnages (3)'!L16*'Pricing (3)'!L16</f>
        <v>-4206.5644202200092</v>
      </c>
      <c r="M16" s="224">
        <f t="shared" si="0"/>
        <v>2267.290896199991</v>
      </c>
      <c r="O16" s="58">
        <f t="shared" si="1"/>
        <v>1133.6454480999955</v>
      </c>
      <c r="P16" s="223">
        <v>0.5</v>
      </c>
      <c r="Q16" s="55"/>
    </row>
    <row r="17" spans="1:18" ht="15.75" customHeight="1" x14ac:dyDescent="0.2">
      <c r="A17" s="170">
        <f>+'Pricing (3)'!A17</f>
        <v>43220</v>
      </c>
      <c r="B17" s="163"/>
      <c r="C17" s="165">
        <f>'Commodity Tonnages (3)'!C17*'Pricing (3)'!C17</f>
        <v>3950.1009817500003</v>
      </c>
      <c r="D17" s="169">
        <f>'Commodity Tonnages (3)'!D17*'Pricing (3)'!D17</f>
        <v>-962.33585448000019</v>
      </c>
      <c r="E17" s="169">
        <f>'Commodity Tonnages (3)'!E17*'Pricing (3)'!E17</f>
        <v>0</v>
      </c>
      <c r="F17" s="169">
        <f>'Commodity Tonnages (3)'!F17*'Pricing (3)'!F17</f>
        <v>961.40526405000014</v>
      </c>
      <c r="G17" s="169">
        <f>'Commodity Tonnages (3)'!G17*'Pricing (3)'!G17</f>
        <v>0</v>
      </c>
      <c r="H17" s="169">
        <f>'Commodity Tonnages (3)'!H17*'Pricing (3)'!H17</f>
        <v>-5661.7100478400007</v>
      </c>
      <c r="I17" s="169">
        <f>'Commodity Tonnages (3)'!I17*'Pricing (3)'!I17</f>
        <v>1288.981874565</v>
      </c>
      <c r="J17" s="169">
        <f>'Commodity Tonnages (3)'!J17*'Pricing (3)'!J17</f>
        <v>1288.981874565</v>
      </c>
      <c r="K17" s="169">
        <f>'Commodity Tonnages (3)'!K17*'Pricing (3)'!K17</f>
        <v>5462.2848911400006</v>
      </c>
      <c r="L17" s="169">
        <f>'Commodity Tonnages (3)'!L17*'Pricing (3)'!L17</f>
        <v>-4246.5501670900103</v>
      </c>
      <c r="M17" s="224">
        <f t="shared" si="0"/>
        <v>2081.1588166599895</v>
      </c>
      <c r="O17" s="58">
        <f t="shared" si="1"/>
        <v>1040.5794083299947</v>
      </c>
      <c r="P17" s="223">
        <v>0.5</v>
      </c>
      <c r="Q17" s="55"/>
    </row>
    <row r="18" spans="1:18" ht="15.75" customHeight="1" x14ac:dyDescent="0.2">
      <c r="A18" s="168" t="s">
        <v>30</v>
      </c>
      <c r="B18" s="163"/>
      <c r="C18" s="166">
        <f t="shared" ref="C18:L18" si="2">SUM(C6:C17)</f>
        <v>47001.829922249999</v>
      </c>
      <c r="D18" s="167">
        <f t="shared" si="2"/>
        <v>-9407.2329207999992</v>
      </c>
      <c r="E18" s="167">
        <f t="shared" si="2"/>
        <v>0</v>
      </c>
      <c r="F18" s="166">
        <f t="shared" si="2"/>
        <v>9304.1348960999985</v>
      </c>
      <c r="G18" s="166">
        <f t="shared" si="2"/>
        <v>64156.215825000007</v>
      </c>
      <c r="H18" s="166">
        <f t="shared" si="2"/>
        <v>88401.96229939998</v>
      </c>
      <c r="I18" s="166">
        <f t="shared" si="2"/>
        <v>10781.337720979998</v>
      </c>
      <c r="J18" s="166">
        <f t="shared" si="2"/>
        <v>10781.337720979998</v>
      </c>
      <c r="K18" s="166">
        <f t="shared" si="2"/>
        <v>127690.0132365</v>
      </c>
      <c r="L18" s="167">
        <f t="shared" si="2"/>
        <v>-52519.40293480012</v>
      </c>
      <c r="M18" s="196">
        <f t="shared" si="0"/>
        <v>296190.19576560985</v>
      </c>
      <c r="O18" s="222">
        <f>SUM(O6:O17)</f>
        <v>148095.0978828049</v>
      </c>
      <c r="P18" s="80">
        <f>+O18/M18</f>
        <v>0.49999999999999989</v>
      </c>
      <c r="R18" s="162"/>
    </row>
    <row r="19" spans="1:18" x14ac:dyDescent="0.2">
      <c r="A19" s="163"/>
      <c r="B19" s="163"/>
      <c r="C19" s="165"/>
      <c r="D19" s="165"/>
      <c r="E19" s="165"/>
      <c r="F19" s="165"/>
      <c r="G19" s="165"/>
      <c r="H19" s="165"/>
      <c r="I19" s="165"/>
      <c r="J19" s="165"/>
      <c r="K19" s="165"/>
      <c r="L19" s="165"/>
      <c r="M19" s="165"/>
      <c r="O19" s="160"/>
    </row>
    <row r="20" spans="1:18" x14ac:dyDescent="0.2">
      <c r="A20" s="163"/>
      <c r="B20" s="163"/>
      <c r="C20" s="163"/>
      <c r="D20" s="163"/>
      <c r="E20" s="163"/>
      <c r="F20" s="163"/>
      <c r="G20" s="163"/>
      <c r="H20" s="163"/>
      <c r="I20" s="163"/>
      <c r="J20" s="163"/>
      <c r="K20" s="163"/>
      <c r="L20" s="163"/>
      <c r="M20" s="164"/>
      <c r="O20" s="221"/>
    </row>
    <row r="21" spans="1:18" x14ac:dyDescent="0.2">
      <c r="A21" s="163"/>
      <c r="B21" s="163"/>
      <c r="C21" s="163"/>
      <c r="D21" s="163"/>
      <c r="E21" s="163"/>
      <c r="F21" s="163"/>
      <c r="G21" s="163"/>
      <c r="H21" s="163"/>
      <c r="I21" s="163"/>
      <c r="J21" s="163"/>
      <c r="K21" s="163"/>
      <c r="L21" s="163"/>
      <c r="M21" s="164"/>
      <c r="O21" s="220"/>
    </row>
    <row r="22" spans="1:18" x14ac:dyDescent="0.2">
      <c r="A22" s="163"/>
      <c r="B22" s="163"/>
      <c r="C22" s="163"/>
      <c r="D22" s="163"/>
      <c r="E22" s="163"/>
      <c r="F22" s="163"/>
      <c r="G22" s="163"/>
      <c r="H22" s="163"/>
      <c r="I22" s="163"/>
      <c r="J22" s="163"/>
      <c r="K22" s="163"/>
      <c r="L22" s="163"/>
      <c r="M22" s="164"/>
    </row>
    <row r="23" spans="1:18" x14ac:dyDescent="0.2">
      <c r="A23" s="163"/>
      <c r="B23" s="163"/>
      <c r="C23" s="163"/>
      <c r="D23" s="163"/>
      <c r="E23" s="163"/>
      <c r="F23" s="163"/>
      <c r="G23" s="163"/>
      <c r="H23" s="163"/>
      <c r="I23" s="163"/>
      <c r="J23" s="163"/>
      <c r="K23" s="163"/>
      <c r="L23" s="163"/>
      <c r="M23" s="164"/>
    </row>
    <row r="24" spans="1:18" x14ac:dyDescent="0.2">
      <c r="A24" s="163"/>
      <c r="B24" s="163"/>
      <c r="C24" s="163"/>
      <c r="D24" s="163"/>
      <c r="E24" s="163"/>
      <c r="F24" s="163"/>
      <c r="G24" s="163"/>
      <c r="H24" s="163"/>
      <c r="I24" s="163"/>
      <c r="J24" s="163"/>
      <c r="K24" s="163"/>
      <c r="L24" s="163"/>
      <c r="M24" s="164"/>
    </row>
    <row r="25" spans="1:18" x14ac:dyDescent="0.2">
      <c r="A25" s="163"/>
      <c r="B25" s="163"/>
      <c r="C25" s="163"/>
      <c r="D25" s="163"/>
      <c r="E25" s="163"/>
      <c r="F25" s="163"/>
      <c r="G25" s="163"/>
      <c r="H25" s="163"/>
      <c r="I25" s="163"/>
      <c r="J25" s="163"/>
      <c r="K25" s="163"/>
      <c r="L25" s="163"/>
      <c r="M25" s="164"/>
    </row>
    <row r="26" spans="1:18" x14ac:dyDescent="0.2">
      <c r="A26" s="163"/>
      <c r="B26" s="163"/>
      <c r="C26" s="163"/>
      <c r="D26" s="163"/>
      <c r="E26" s="163"/>
      <c r="F26" s="163"/>
      <c r="G26" s="163"/>
      <c r="H26" s="163"/>
      <c r="I26" s="163"/>
      <c r="J26" s="163"/>
      <c r="K26" s="163"/>
      <c r="L26" s="163"/>
      <c r="M26" s="164"/>
    </row>
    <row r="27" spans="1:18" x14ac:dyDescent="0.2">
      <c r="A27" s="163"/>
      <c r="B27" s="163"/>
      <c r="C27" s="163"/>
      <c r="D27" s="163"/>
      <c r="E27" s="163"/>
      <c r="F27" s="163"/>
      <c r="G27" s="163"/>
      <c r="H27" s="163"/>
      <c r="I27" s="163"/>
      <c r="J27" s="163"/>
      <c r="K27" s="163"/>
      <c r="L27" s="163"/>
      <c r="M27" s="164"/>
    </row>
    <row r="28" spans="1:18" x14ac:dyDescent="0.2">
      <c r="A28" s="163"/>
      <c r="B28" s="163"/>
      <c r="C28" s="163"/>
      <c r="D28" s="163"/>
      <c r="E28" s="163"/>
      <c r="F28" s="163"/>
      <c r="G28" s="163"/>
      <c r="H28" s="163"/>
      <c r="I28" s="163"/>
      <c r="J28" s="163"/>
      <c r="K28" s="163"/>
      <c r="L28" s="163"/>
      <c r="M28" s="163"/>
    </row>
    <row r="29" spans="1:18" x14ac:dyDescent="0.2">
      <c r="A29" s="163"/>
      <c r="B29" s="163"/>
      <c r="C29" s="163"/>
      <c r="D29" s="163"/>
      <c r="E29" s="163"/>
      <c r="F29" s="163"/>
      <c r="G29" s="163"/>
      <c r="H29" s="163"/>
      <c r="I29" s="163"/>
      <c r="J29" s="163"/>
      <c r="K29" s="163"/>
      <c r="L29" s="163"/>
      <c r="M29" s="163"/>
    </row>
    <row r="30" spans="1:18" x14ac:dyDescent="0.2">
      <c r="A30" s="163"/>
      <c r="B30" s="163"/>
      <c r="C30" s="163"/>
      <c r="D30" s="163"/>
      <c r="E30" s="163"/>
      <c r="F30" s="163"/>
      <c r="G30" s="163"/>
      <c r="H30" s="163"/>
      <c r="I30" s="163"/>
      <c r="J30" s="163"/>
      <c r="K30" s="163"/>
      <c r="L30" s="163"/>
      <c r="M30" s="163"/>
    </row>
    <row r="31" spans="1:18" x14ac:dyDescent="0.2">
      <c r="A31" s="163"/>
      <c r="B31" s="163"/>
      <c r="C31" s="163"/>
      <c r="D31" s="163"/>
      <c r="E31" s="163"/>
      <c r="F31" s="163"/>
      <c r="G31" s="163"/>
      <c r="H31" s="163"/>
      <c r="I31" s="163"/>
      <c r="J31" s="163"/>
      <c r="K31" s="163"/>
      <c r="L31" s="163"/>
      <c r="M31" s="163"/>
    </row>
    <row r="32" spans="1:18" x14ac:dyDescent="0.2">
      <c r="A32" s="163"/>
      <c r="B32" s="163"/>
      <c r="C32" s="163"/>
      <c r="D32" s="163"/>
      <c r="E32" s="163"/>
      <c r="F32" s="163"/>
      <c r="G32" s="163"/>
      <c r="H32" s="163"/>
      <c r="I32" s="163"/>
      <c r="J32" s="163"/>
      <c r="K32" s="163"/>
      <c r="L32" s="163"/>
      <c r="M32" s="163"/>
    </row>
    <row r="33" spans="1:13" x14ac:dyDescent="0.2">
      <c r="A33" s="163"/>
      <c r="B33" s="163"/>
      <c r="C33" s="163"/>
      <c r="D33" s="163"/>
      <c r="E33" s="163"/>
      <c r="F33" s="163"/>
      <c r="G33" s="163"/>
      <c r="H33" s="163"/>
      <c r="I33" s="163"/>
      <c r="J33" s="163"/>
      <c r="K33" s="163"/>
      <c r="L33" s="163"/>
      <c r="M33" s="163"/>
    </row>
    <row r="34" spans="1:13" x14ac:dyDescent="0.2">
      <c r="A34" s="163"/>
      <c r="B34" s="163"/>
      <c r="C34" s="163"/>
      <c r="D34" s="163"/>
      <c r="E34" s="163"/>
      <c r="F34" s="163"/>
      <c r="G34" s="163"/>
      <c r="H34" s="163"/>
      <c r="I34" s="163"/>
      <c r="J34" s="163"/>
      <c r="K34" s="163"/>
      <c r="L34" s="163"/>
      <c r="M34" s="163"/>
    </row>
    <row r="35" spans="1:13" x14ac:dyDescent="0.2">
      <c r="A35" s="163"/>
      <c r="B35" s="163"/>
      <c r="C35" s="163"/>
      <c r="D35" s="163"/>
      <c r="E35" s="163"/>
      <c r="F35" s="163"/>
      <c r="G35" s="163"/>
      <c r="H35" s="163"/>
      <c r="I35" s="163"/>
      <c r="J35" s="163"/>
      <c r="K35" s="163"/>
      <c r="L35" s="163"/>
      <c r="M35" s="163"/>
    </row>
    <row r="36" spans="1:13" x14ac:dyDescent="0.2">
      <c r="A36" s="163"/>
      <c r="B36" s="163"/>
      <c r="C36" s="163"/>
      <c r="D36" s="163"/>
      <c r="E36" s="163"/>
      <c r="F36" s="163"/>
      <c r="G36" s="163"/>
      <c r="H36" s="163"/>
      <c r="I36" s="163"/>
      <c r="J36" s="163"/>
      <c r="K36" s="163"/>
      <c r="L36" s="163"/>
      <c r="M36" s="163"/>
    </row>
    <row r="37" spans="1:13" x14ac:dyDescent="0.2">
      <c r="A37" s="163"/>
      <c r="B37" s="163"/>
      <c r="C37" s="163"/>
      <c r="D37" s="163"/>
      <c r="E37" s="163"/>
      <c r="F37" s="163"/>
      <c r="G37" s="163"/>
      <c r="H37" s="163"/>
      <c r="I37" s="163"/>
      <c r="J37" s="163"/>
      <c r="K37" s="163"/>
      <c r="L37" s="163"/>
      <c r="M37" s="163"/>
    </row>
    <row r="38" spans="1:13" x14ac:dyDescent="0.2">
      <c r="A38" s="163"/>
      <c r="B38" s="163"/>
      <c r="C38" s="163"/>
      <c r="D38" s="163"/>
      <c r="E38" s="163"/>
      <c r="F38" s="163"/>
      <c r="G38" s="163"/>
      <c r="H38" s="163"/>
      <c r="I38" s="163"/>
      <c r="J38" s="163"/>
      <c r="K38" s="163"/>
      <c r="L38" s="163"/>
      <c r="M38" s="163"/>
    </row>
    <row r="39" spans="1:13" x14ac:dyDescent="0.2">
      <c r="A39" s="163"/>
      <c r="B39" s="163"/>
      <c r="C39" s="163"/>
      <c r="D39" s="163"/>
      <c r="E39" s="163"/>
      <c r="F39" s="163"/>
      <c r="G39" s="163"/>
      <c r="H39" s="163"/>
      <c r="I39" s="163"/>
      <c r="J39" s="163"/>
      <c r="K39" s="163"/>
      <c r="L39" s="163"/>
      <c r="M39" s="163"/>
    </row>
    <row r="40" spans="1:13" x14ac:dyDescent="0.2">
      <c r="A40" s="163"/>
      <c r="B40" s="163"/>
      <c r="C40" s="163"/>
      <c r="D40" s="163"/>
      <c r="E40" s="163"/>
      <c r="F40" s="163"/>
      <c r="G40" s="163"/>
      <c r="H40" s="163"/>
      <c r="I40" s="163"/>
      <c r="J40" s="163"/>
      <c r="K40" s="163"/>
      <c r="L40" s="163"/>
      <c r="M40" s="163"/>
    </row>
    <row r="41" spans="1:13" x14ac:dyDescent="0.2">
      <c r="A41" s="163"/>
      <c r="B41" s="163"/>
      <c r="C41" s="163"/>
      <c r="D41" s="163"/>
      <c r="E41" s="163"/>
      <c r="F41" s="163"/>
      <c r="G41" s="163"/>
      <c r="H41" s="163"/>
      <c r="I41" s="163"/>
      <c r="J41" s="163"/>
      <c r="K41" s="163"/>
      <c r="L41" s="163"/>
      <c r="M41" s="163"/>
    </row>
    <row r="42" spans="1:13" x14ac:dyDescent="0.2">
      <c r="A42" s="163"/>
      <c r="B42" s="163"/>
      <c r="C42" s="163"/>
      <c r="D42" s="163"/>
      <c r="E42" s="163"/>
      <c r="F42" s="163"/>
      <c r="G42" s="163"/>
      <c r="H42" s="163"/>
      <c r="I42" s="163"/>
      <c r="J42" s="163"/>
      <c r="K42" s="163"/>
      <c r="L42" s="163"/>
      <c r="M42" s="163"/>
    </row>
    <row r="43" spans="1:13" x14ac:dyDescent="0.2">
      <c r="A43" s="163"/>
      <c r="B43" s="163"/>
      <c r="C43" s="163"/>
      <c r="D43" s="163"/>
      <c r="E43" s="163"/>
      <c r="F43" s="163"/>
      <c r="G43" s="163"/>
      <c r="H43" s="163"/>
      <c r="I43" s="163"/>
      <c r="J43" s="163"/>
      <c r="K43" s="163"/>
      <c r="L43" s="163"/>
      <c r="M43" s="163"/>
    </row>
    <row r="44" spans="1:13" x14ac:dyDescent="0.2">
      <c r="A44" s="163"/>
      <c r="B44" s="163"/>
      <c r="C44" s="163"/>
      <c r="D44" s="163"/>
      <c r="E44" s="163"/>
      <c r="F44" s="163"/>
      <c r="G44" s="163"/>
      <c r="H44" s="163"/>
      <c r="I44" s="163"/>
      <c r="J44" s="163"/>
      <c r="K44" s="163"/>
      <c r="L44" s="163"/>
      <c r="M44" s="163"/>
    </row>
    <row r="45" spans="1:13" x14ac:dyDescent="0.2">
      <c r="A45" s="163"/>
      <c r="B45" s="163"/>
      <c r="C45" s="163"/>
      <c r="D45" s="163"/>
      <c r="E45" s="163"/>
      <c r="F45" s="163"/>
      <c r="G45" s="163"/>
      <c r="H45" s="163"/>
      <c r="I45" s="163"/>
      <c r="J45" s="163"/>
      <c r="K45" s="163"/>
      <c r="L45" s="163"/>
      <c r="M45" s="163"/>
    </row>
    <row r="46" spans="1:13" x14ac:dyDescent="0.2">
      <c r="A46" s="163"/>
      <c r="B46" s="163"/>
      <c r="C46" s="163"/>
      <c r="D46" s="163"/>
      <c r="E46" s="163"/>
      <c r="F46" s="163"/>
      <c r="G46" s="163"/>
      <c r="H46" s="163"/>
      <c r="I46" s="163"/>
      <c r="J46" s="163"/>
      <c r="K46" s="163"/>
      <c r="L46" s="163"/>
      <c r="M46" s="163"/>
    </row>
    <row r="47" spans="1:13" x14ac:dyDescent="0.2">
      <c r="A47" s="163"/>
      <c r="B47" s="163"/>
      <c r="C47" s="163"/>
      <c r="D47" s="163"/>
      <c r="E47" s="163"/>
      <c r="F47" s="163"/>
      <c r="G47" s="163"/>
      <c r="H47" s="163"/>
      <c r="I47" s="163"/>
      <c r="J47" s="163"/>
      <c r="K47" s="163"/>
      <c r="L47" s="163"/>
      <c r="M47" s="163"/>
    </row>
    <row r="48" spans="1:13" x14ac:dyDescent="0.2">
      <c r="A48" s="163"/>
      <c r="B48" s="163"/>
      <c r="C48" s="163"/>
      <c r="D48" s="163"/>
      <c r="E48" s="163"/>
      <c r="F48" s="163"/>
      <c r="G48" s="163"/>
      <c r="H48" s="163"/>
      <c r="I48" s="163"/>
      <c r="J48" s="163"/>
      <c r="K48" s="163"/>
      <c r="L48" s="163"/>
      <c r="M48" s="163"/>
    </row>
    <row r="49" spans="1:13" x14ac:dyDescent="0.2">
      <c r="A49" s="163"/>
      <c r="B49" s="163"/>
      <c r="C49" s="163"/>
      <c r="D49" s="163"/>
      <c r="E49" s="163"/>
      <c r="F49" s="163"/>
      <c r="G49" s="163"/>
      <c r="H49" s="163"/>
      <c r="I49" s="163"/>
      <c r="J49" s="163"/>
      <c r="K49" s="163"/>
      <c r="L49" s="163"/>
      <c r="M49" s="163"/>
    </row>
    <row r="50" spans="1:13" x14ac:dyDescent="0.2">
      <c r="A50" s="163"/>
      <c r="B50" s="163"/>
      <c r="C50" s="163"/>
      <c r="D50" s="163"/>
      <c r="E50" s="163"/>
      <c r="F50" s="163"/>
      <c r="G50" s="163"/>
      <c r="H50" s="163"/>
      <c r="I50" s="163"/>
      <c r="J50" s="163"/>
      <c r="K50" s="163"/>
      <c r="L50" s="163"/>
      <c r="M50" s="163"/>
    </row>
    <row r="51" spans="1:13" x14ac:dyDescent="0.2">
      <c r="A51" s="163"/>
      <c r="B51" s="163"/>
      <c r="C51" s="163"/>
      <c r="D51" s="163"/>
      <c r="E51" s="163"/>
      <c r="F51" s="163"/>
      <c r="G51" s="163"/>
      <c r="H51" s="163"/>
      <c r="I51" s="163"/>
      <c r="J51" s="163"/>
      <c r="K51" s="163"/>
      <c r="L51" s="163"/>
      <c r="M51" s="163"/>
    </row>
    <row r="52" spans="1:13" x14ac:dyDescent="0.2">
      <c r="A52" s="163"/>
      <c r="B52" s="163"/>
      <c r="C52" s="163"/>
      <c r="D52" s="163"/>
      <c r="E52" s="163"/>
      <c r="F52" s="163"/>
      <c r="G52" s="163"/>
      <c r="H52" s="163"/>
      <c r="I52" s="163"/>
      <c r="J52" s="163"/>
      <c r="K52" s="163"/>
      <c r="L52" s="163"/>
      <c r="M52" s="163"/>
    </row>
    <row r="53" spans="1:13" x14ac:dyDescent="0.2">
      <c r="A53" s="163"/>
      <c r="B53" s="163"/>
      <c r="C53" s="163"/>
      <c r="D53" s="163"/>
      <c r="E53" s="163"/>
      <c r="F53" s="163"/>
      <c r="G53" s="163"/>
      <c r="H53" s="163"/>
      <c r="I53" s="163"/>
      <c r="J53" s="163"/>
      <c r="K53" s="163"/>
      <c r="L53" s="163"/>
      <c r="M53" s="163"/>
    </row>
    <row r="54" spans="1:13" x14ac:dyDescent="0.2">
      <c r="A54" s="163"/>
      <c r="B54" s="163"/>
      <c r="C54" s="163"/>
      <c r="D54" s="163"/>
      <c r="E54" s="163"/>
      <c r="F54" s="163"/>
      <c r="G54" s="163"/>
      <c r="H54" s="163"/>
      <c r="I54" s="163"/>
      <c r="J54" s="163"/>
      <c r="K54" s="163"/>
      <c r="L54" s="163"/>
      <c r="M54" s="163"/>
    </row>
    <row r="55" spans="1:13" x14ac:dyDescent="0.2">
      <c r="A55" s="163"/>
      <c r="B55" s="163"/>
      <c r="C55" s="163"/>
      <c r="D55" s="163"/>
      <c r="E55" s="163"/>
      <c r="F55" s="163"/>
      <c r="G55" s="163"/>
      <c r="H55" s="163"/>
      <c r="I55" s="163"/>
      <c r="J55" s="163"/>
      <c r="K55" s="163"/>
      <c r="L55" s="163"/>
      <c r="M55" s="163"/>
    </row>
    <row r="56" spans="1:13" x14ac:dyDescent="0.2">
      <c r="A56" s="163"/>
      <c r="B56" s="163"/>
      <c r="C56" s="163"/>
      <c r="D56" s="163"/>
      <c r="E56" s="163"/>
      <c r="F56" s="163"/>
      <c r="G56" s="163"/>
      <c r="H56" s="163"/>
      <c r="I56" s="163"/>
      <c r="J56" s="163"/>
      <c r="K56" s="163"/>
      <c r="L56" s="163"/>
      <c r="M56" s="163"/>
    </row>
    <row r="57" spans="1:13" x14ac:dyDescent="0.2">
      <c r="A57" s="163"/>
      <c r="B57" s="163"/>
      <c r="C57" s="163"/>
      <c r="D57" s="163"/>
      <c r="E57" s="163"/>
      <c r="F57" s="163"/>
      <c r="G57" s="163"/>
      <c r="H57" s="163"/>
      <c r="I57" s="163"/>
      <c r="J57" s="163"/>
      <c r="K57" s="163"/>
      <c r="L57" s="163"/>
      <c r="M57" s="163"/>
    </row>
    <row r="58" spans="1:13" x14ac:dyDescent="0.2">
      <c r="A58" s="163"/>
      <c r="B58" s="163"/>
      <c r="C58" s="163"/>
      <c r="D58" s="163"/>
      <c r="E58" s="163"/>
      <c r="F58" s="163"/>
      <c r="G58" s="163"/>
      <c r="H58" s="163"/>
      <c r="I58" s="163"/>
      <c r="J58" s="163"/>
      <c r="K58" s="163"/>
      <c r="L58" s="163"/>
      <c r="M58" s="163"/>
    </row>
    <row r="59" spans="1:13" x14ac:dyDescent="0.2">
      <c r="A59" s="163"/>
      <c r="B59" s="163"/>
      <c r="C59" s="163"/>
      <c r="D59" s="163"/>
      <c r="E59" s="163"/>
      <c r="F59" s="163"/>
      <c r="G59" s="163"/>
      <c r="H59" s="163"/>
      <c r="I59" s="163"/>
      <c r="J59" s="163"/>
      <c r="K59" s="163"/>
      <c r="L59" s="163"/>
      <c r="M59" s="163"/>
    </row>
    <row r="60" spans="1:13" x14ac:dyDescent="0.2">
      <c r="A60" s="163"/>
      <c r="B60" s="163"/>
      <c r="C60" s="163"/>
      <c r="D60" s="163"/>
      <c r="E60" s="163"/>
      <c r="F60" s="163"/>
      <c r="G60" s="163"/>
      <c r="H60" s="163"/>
      <c r="I60" s="163"/>
      <c r="J60" s="163"/>
      <c r="K60" s="163"/>
      <c r="L60" s="163"/>
      <c r="M60" s="163"/>
    </row>
    <row r="61" spans="1:13" x14ac:dyDescent="0.2">
      <c r="A61" s="163"/>
      <c r="B61" s="163"/>
      <c r="C61" s="163"/>
      <c r="D61" s="163"/>
      <c r="E61" s="163"/>
      <c r="F61" s="163"/>
      <c r="G61" s="163"/>
      <c r="H61" s="163"/>
      <c r="I61" s="163"/>
      <c r="J61" s="163"/>
      <c r="K61" s="163"/>
      <c r="L61" s="163"/>
      <c r="M61" s="163"/>
    </row>
    <row r="62" spans="1:13" x14ac:dyDescent="0.2">
      <c r="A62" s="163"/>
      <c r="B62" s="163"/>
      <c r="C62" s="163"/>
      <c r="D62" s="163"/>
      <c r="E62" s="163"/>
      <c r="F62" s="163"/>
      <c r="G62" s="163"/>
      <c r="H62" s="163"/>
      <c r="I62" s="163"/>
      <c r="J62" s="163"/>
      <c r="K62" s="163"/>
      <c r="L62" s="163"/>
      <c r="M62" s="163"/>
    </row>
    <row r="63" spans="1:13" x14ac:dyDescent="0.2">
      <c r="A63" s="163"/>
      <c r="B63" s="163"/>
      <c r="C63" s="163"/>
      <c r="D63" s="163"/>
      <c r="E63" s="163"/>
      <c r="F63" s="163"/>
      <c r="G63" s="163"/>
      <c r="H63" s="163"/>
      <c r="I63" s="163"/>
      <c r="J63" s="163"/>
      <c r="K63" s="163"/>
      <c r="L63" s="163"/>
      <c r="M63" s="163"/>
    </row>
    <row r="64" spans="1:13" x14ac:dyDescent="0.2">
      <c r="A64" s="163"/>
      <c r="B64" s="163"/>
      <c r="C64" s="163"/>
      <c r="D64" s="163"/>
      <c r="E64" s="163"/>
      <c r="F64" s="163"/>
      <c r="G64" s="163"/>
      <c r="H64" s="163"/>
      <c r="I64" s="163"/>
      <c r="J64" s="163"/>
      <c r="K64" s="163"/>
      <c r="L64" s="163"/>
      <c r="M64" s="163"/>
    </row>
    <row r="65" spans="1:13" x14ac:dyDescent="0.2">
      <c r="A65" s="163"/>
      <c r="B65" s="163"/>
      <c r="C65" s="163"/>
      <c r="D65" s="163"/>
      <c r="E65" s="163"/>
      <c r="F65" s="163"/>
      <c r="G65" s="163"/>
      <c r="H65" s="163"/>
      <c r="I65" s="163"/>
      <c r="J65" s="163"/>
      <c r="K65" s="163"/>
      <c r="L65" s="163"/>
      <c r="M65" s="163"/>
    </row>
    <row r="66" spans="1:13" x14ac:dyDescent="0.2">
      <c r="A66" s="163"/>
      <c r="B66" s="163"/>
      <c r="C66" s="163"/>
      <c r="D66" s="163"/>
      <c r="E66" s="163"/>
      <c r="F66" s="163"/>
      <c r="G66" s="163"/>
      <c r="H66" s="163"/>
      <c r="I66" s="163"/>
      <c r="J66" s="163"/>
      <c r="K66" s="163"/>
      <c r="L66" s="163"/>
      <c r="M66" s="163"/>
    </row>
    <row r="67" spans="1:13" x14ac:dyDescent="0.2">
      <c r="A67" s="163"/>
      <c r="B67" s="163"/>
      <c r="C67" s="163"/>
      <c r="D67" s="163"/>
      <c r="E67" s="163"/>
      <c r="F67" s="163"/>
      <c r="G67" s="163"/>
      <c r="H67" s="163"/>
      <c r="I67" s="163"/>
      <c r="J67" s="163"/>
      <c r="K67" s="163"/>
      <c r="L67" s="163"/>
      <c r="M67" s="163"/>
    </row>
    <row r="68" spans="1:13" x14ac:dyDescent="0.2">
      <c r="A68" s="163"/>
      <c r="B68" s="163"/>
      <c r="C68" s="163"/>
      <c r="D68" s="163"/>
      <c r="E68" s="163"/>
      <c r="F68" s="163"/>
      <c r="G68" s="163"/>
      <c r="H68" s="163"/>
      <c r="I68" s="163"/>
      <c r="J68" s="163"/>
      <c r="K68" s="163"/>
      <c r="L68" s="163"/>
      <c r="M68" s="163"/>
    </row>
    <row r="69" spans="1:13" x14ac:dyDescent="0.2">
      <c r="A69" s="163"/>
      <c r="B69" s="163"/>
      <c r="C69" s="163"/>
      <c r="D69" s="163"/>
      <c r="E69" s="163"/>
      <c r="F69" s="163"/>
      <c r="G69" s="163"/>
      <c r="H69" s="163"/>
      <c r="I69" s="163"/>
      <c r="J69" s="163"/>
      <c r="K69" s="163"/>
      <c r="L69" s="163"/>
      <c r="M69" s="163"/>
    </row>
    <row r="70" spans="1:13" x14ac:dyDescent="0.2">
      <c r="A70" s="163"/>
      <c r="B70" s="163"/>
      <c r="C70" s="163"/>
      <c r="D70" s="163"/>
      <c r="E70" s="163"/>
      <c r="F70" s="163"/>
      <c r="G70" s="163"/>
      <c r="H70" s="163"/>
      <c r="I70" s="163"/>
      <c r="J70" s="163"/>
      <c r="K70" s="163"/>
      <c r="L70" s="163"/>
      <c r="M70" s="163"/>
    </row>
    <row r="71" spans="1:13" x14ac:dyDescent="0.2">
      <c r="A71" s="163"/>
      <c r="B71" s="163"/>
      <c r="C71" s="163"/>
      <c r="D71" s="163"/>
      <c r="E71" s="163"/>
      <c r="F71" s="163"/>
      <c r="G71" s="163"/>
      <c r="H71" s="163"/>
      <c r="I71" s="163"/>
      <c r="J71" s="163"/>
      <c r="K71" s="163"/>
      <c r="L71" s="163"/>
      <c r="M71" s="163"/>
    </row>
    <row r="72" spans="1:13" x14ac:dyDescent="0.2">
      <c r="A72" s="163"/>
      <c r="B72" s="163"/>
      <c r="C72" s="163"/>
      <c r="D72" s="163"/>
      <c r="E72" s="163"/>
      <c r="F72" s="163"/>
      <c r="G72" s="163"/>
      <c r="H72" s="163"/>
      <c r="I72" s="163"/>
      <c r="J72" s="163"/>
      <c r="K72" s="163"/>
      <c r="L72" s="163"/>
      <c r="M72" s="163"/>
    </row>
    <row r="73" spans="1:13" x14ac:dyDescent="0.2">
      <c r="A73" s="163"/>
      <c r="B73" s="163"/>
      <c r="C73" s="163"/>
      <c r="D73" s="163"/>
      <c r="E73" s="163"/>
      <c r="F73" s="163"/>
      <c r="G73" s="163"/>
      <c r="H73" s="163"/>
      <c r="I73" s="163"/>
      <c r="J73" s="163"/>
      <c r="K73" s="163"/>
      <c r="L73" s="163"/>
      <c r="M73" s="163"/>
    </row>
    <row r="74" spans="1:13" x14ac:dyDescent="0.2">
      <c r="A74" s="163"/>
      <c r="B74" s="163"/>
      <c r="C74" s="163"/>
      <c r="D74" s="163"/>
      <c r="E74" s="163"/>
      <c r="F74" s="163"/>
      <c r="G74" s="163"/>
      <c r="H74" s="163"/>
      <c r="I74" s="163"/>
      <c r="J74" s="163"/>
      <c r="K74" s="163"/>
      <c r="L74" s="163"/>
      <c r="M74" s="163"/>
    </row>
    <row r="75" spans="1:13" x14ac:dyDescent="0.2">
      <c r="A75" s="163"/>
      <c r="B75" s="163"/>
      <c r="C75" s="163"/>
      <c r="D75" s="163"/>
      <c r="E75" s="163"/>
      <c r="F75" s="163"/>
      <c r="G75" s="163"/>
      <c r="H75" s="163"/>
      <c r="I75" s="163"/>
      <c r="J75" s="163"/>
      <c r="K75" s="163"/>
      <c r="L75" s="163"/>
      <c r="M75" s="163"/>
    </row>
    <row r="76" spans="1:13" x14ac:dyDescent="0.2">
      <c r="A76" s="163"/>
      <c r="B76" s="163"/>
      <c r="C76" s="163"/>
      <c r="D76" s="163"/>
      <c r="E76" s="163"/>
      <c r="F76" s="163"/>
      <c r="G76" s="163"/>
      <c r="H76" s="163"/>
      <c r="I76" s="163"/>
      <c r="J76" s="163"/>
      <c r="K76" s="163"/>
      <c r="L76" s="163"/>
      <c r="M76" s="163"/>
    </row>
    <row r="77" spans="1:13" x14ac:dyDescent="0.2">
      <c r="A77" s="163"/>
      <c r="B77" s="163"/>
      <c r="C77" s="163"/>
      <c r="D77" s="163"/>
      <c r="E77" s="163"/>
      <c r="F77" s="163"/>
      <c r="G77" s="163"/>
      <c r="H77" s="163"/>
      <c r="I77" s="163"/>
      <c r="J77" s="163"/>
      <c r="K77" s="163"/>
      <c r="L77" s="163"/>
      <c r="M77" s="163"/>
    </row>
    <row r="78" spans="1:13" x14ac:dyDescent="0.2">
      <c r="A78" s="163"/>
      <c r="B78" s="163"/>
      <c r="C78" s="163"/>
      <c r="D78" s="163"/>
      <c r="E78" s="163"/>
      <c r="F78" s="163"/>
      <c r="G78" s="163"/>
      <c r="H78" s="163"/>
      <c r="I78" s="163"/>
      <c r="J78" s="163"/>
      <c r="K78" s="163"/>
      <c r="L78" s="163"/>
      <c r="M78" s="163"/>
    </row>
    <row r="79" spans="1:13" x14ac:dyDescent="0.2">
      <c r="A79" s="163"/>
      <c r="B79" s="163"/>
      <c r="C79" s="163"/>
      <c r="D79" s="163"/>
      <c r="E79" s="163"/>
      <c r="F79" s="163"/>
      <c r="G79" s="163"/>
      <c r="H79" s="163"/>
      <c r="I79" s="163"/>
      <c r="J79" s="163"/>
      <c r="K79" s="163"/>
      <c r="L79" s="163"/>
      <c r="M79" s="163"/>
    </row>
    <row r="80" spans="1:13" x14ac:dyDescent="0.2">
      <c r="A80" s="163"/>
      <c r="B80" s="163"/>
      <c r="C80" s="163"/>
      <c r="D80" s="163"/>
      <c r="E80" s="163"/>
      <c r="F80" s="163"/>
      <c r="G80" s="163"/>
      <c r="H80" s="163"/>
      <c r="I80" s="163"/>
      <c r="J80" s="163"/>
      <c r="K80" s="163"/>
      <c r="L80" s="163"/>
      <c r="M80" s="163"/>
    </row>
    <row r="81" spans="1:13" x14ac:dyDescent="0.2">
      <c r="A81" s="163"/>
      <c r="B81" s="163"/>
      <c r="C81" s="163"/>
      <c r="D81" s="163"/>
      <c r="E81" s="163"/>
      <c r="F81" s="163"/>
      <c r="G81" s="163"/>
      <c r="H81" s="163"/>
      <c r="I81" s="163"/>
      <c r="J81" s="163"/>
      <c r="K81" s="163"/>
      <c r="L81" s="163"/>
      <c r="M81" s="163"/>
    </row>
    <row r="82" spans="1:13" x14ac:dyDescent="0.2">
      <c r="A82" s="163"/>
      <c r="B82" s="163"/>
      <c r="C82" s="163"/>
      <c r="D82" s="163"/>
      <c r="E82" s="163"/>
      <c r="F82" s="163"/>
      <c r="G82" s="163"/>
      <c r="H82" s="163"/>
      <c r="I82" s="163"/>
      <c r="J82" s="163"/>
      <c r="K82" s="163"/>
      <c r="L82" s="163"/>
      <c r="M82" s="163"/>
    </row>
    <row r="83" spans="1:13" x14ac:dyDescent="0.2">
      <c r="A83" s="163"/>
      <c r="B83" s="163"/>
      <c r="C83" s="163"/>
      <c r="D83" s="163"/>
      <c r="E83" s="163"/>
      <c r="F83" s="163"/>
      <c r="G83" s="163"/>
      <c r="H83" s="163"/>
      <c r="I83" s="163"/>
      <c r="J83" s="163"/>
      <c r="K83" s="163"/>
      <c r="L83" s="163"/>
      <c r="M83" s="163"/>
    </row>
    <row r="84" spans="1:13" x14ac:dyDescent="0.2">
      <c r="A84" s="163"/>
      <c r="B84" s="163"/>
      <c r="C84" s="163"/>
      <c r="D84" s="163"/>
      <c r="E84" s="163"/>
      <c r="F84" s="163"/>
      <c r="G84" s="163"/>
      <c r="H84" s="163"/>
      <c r="I84" s="163"/>
      <c r="J84" s="163"/>
      <c r="K84" s="163"/>
      <c r="L84" s="163"/>
      <c r="M84" s="163"/>
    </row>
    <row r="85" spans="1:13" x14ac:dyDescent="0.2">
      <c r="A85" s="163"/>
      <c r="B85" s="163"/>
      <c r="C85" s="163"/>
      <c r="D85" s="163"/>
      <c r="E85" s="163"/>
      <c r="F85" s="163"/>
      <c r="G85" s="163"/>
      <c r="H85" s="163"/>
      <c r="I85" s="163"/>
      <c r="J85" s="163"/>
      <c r="K85" s="163"/>
      <c r="L85" s="163"/>
      <c r="M85" s="163"/>
    </row>
    <row r="86" spans="1:13" x14ac:dyDescent="0.2">
      <c r="A86" s="163"/>
      <c r="B86" s="163"/>
      <c r="C86" s="163"/>
      <c r="D86" s="163"/>
      <c r="E86" s="163"/>
      <c r="F86" s="163"/>
      <c r="G86" s="163"/>
      <c r="H86" s="163"/>
      <c r="I86" s="163"/>
      <c r="J86" s="163"/>
      <c r="K86" s="163"/>
      <c r="L86" s="163"/>
      <c r="M86" s="163"/>
    </row>
    <row r="87" spans="1:13" x14ac:dyDescent="0.2">
      <c r="A87" s="163"/>
      <c r="B87" s="163"/>
      <c r="C87" s="163"/>
      <c r="D87" s="163"/>
      <c r="E87" s="163"/>
      <c r="F87" s="163"/>
      <c r="G87" s="163"/>
      <c r="H87" s="163"/>
      <c r="I87" s="163"/>
      <c r="J87" s="163"/>
      <c r="K87" s="163"/>
      <c r="L87" s="163"/>
      <c r="M87" s="163"/>
    </row>
    <row r="88" spans="1:13" x14ac:dyDescent="0.2">
      <c r="A88" s="163"/>
      <c r="B88" s="163"/>
      <c r="C88" s="163"/>
      <c r="D88" s="163"/>
      <c r="E88" s="163"/>
      <c r="F88" s="163"/>
      <c r="G88" s="163"/>
      <c r="H88" s="163"/>
      <c r="I88" s="163"/>
      <c r="J88" s="163"/>
      <c r="K88" s="163"/>
      <c r="L88" s="163"/>
      <c r="M88" s="163"/>
    </row>
    <row r="89" spans="1:13" x14ac:dyDescent="0.2">
      <c r="A89" s="163"/>
      <c r="B89" s="163"/>
      <c r="C89" s="163"/>
      <c r="D89" s="163"/>
      <c r="E89" s="163"/>
      <c r="F89" s="163"/>
      <c r="G89" s="163"/>
      <c r="H89" s="163"/>
      <c r="I89" s="163"/>
      <c r="J89" s="163"/>
      <c r="K89" s="163"/>
      <c r="L89" s="163"/>
      <c r="M89" s="163"/>
    </row>
    <row r="90" spans="1:13" x14ac:dyDescent="0.2">
      <c r="A90" s="163"/>
      <c r="B90" s="163"/>
      <c r="C90" s="163"/>
      <c r="D90" s="163"/>
      <c r="E90" s="163"/>
      <c r="F90" s="163"/>
      <c r="G90" s="163"/>
      <c r="H90" s="163"/>
      <c r="I90" s="163"/>
      <c r="J90" s="163"/>
      <c r="K90" s="163"/>
      <c r="L90" s="163"/>
      <c r="M90" s="163"/>
    </row>
    <row r="91" spans="1:13" x14ac:dyDescent="0.2">
      <c r="A91" s="163"/>
      <c r="B91" s="163"/>
      <c r="C91" s="163"/>
      <c r="D91" s="163"/>
      <c r="E91" s="163"/>
      <c r="F91" s="163"/>
      <c r="G91" s="163"/>
      <c r="H91" s="163"/>
      <c r="I91" s="163"/>
      <c r="J91" s="163"/>
      <c r="K91" s="163"/>
      <c r="L91" s="163"/>
      <c r="M91" s="163"/>
    </row>
    <row r="92" spans="1:13" x14ac:dyDescent="0.2">
      <c r="A92" s="163"/>
      <c r="B92" s="163"/>
      <c r="C92" s="163"/>
      <c r="D92" s="163"/>
      <c r="E92" s="163"/>
      <c r="F92" s="163"/>
      <c r="G92" s="163"/>
      <c r="H92" s="163"/>
      <c r="I92" s="163"/>
      <c r="J92" s="163"/>
      <c r="K92" s="163"/>
      <c r="L92" s="163"/>
      <c r="M92" s="163"/>
    </row>
    <row r="93" spans="1:13" x14ac:dyDescent="0.2">
      <c r="A93" s="163"/>
      <c r="B93" s="163"/>
      <c r="C93" s="163"/>
      <c r="D93" s="163"/>
      <c r="E93" s="163"/>
      <c r="F93" s="163"/>
      <c r="G93" s="163"/>
      <c r="H93" s="163"/>
      <c r="I93" s="163"/>
      <c r="J93" s="163"/>
      <c r="K93" s="163"/>
      <c r="L93" s="163"/>
      <c r="M93" s="163"/>
    </row>
    <row r="94" spans="1:13" x14ac:dyDescent="0.2">
      <c r="A94" s="163"/>
      <c r="B94" s="163"/>
      <c r="C94" s="163"/>
      <c r="D94" s="163"/>
      <c r="E94" s="163"/>
      <c r="F94" s="163"/>
      <c r="G94" s="163"/>
      <c r="H94" s="163"/>
      <c r="I94" s="163"/>
      <c r="J94" s="163"/>
      <c r="K94" s="163"/>
      <c r="L94" s="163"/>
      <c r="M94" s="163"/>
    </row>
    <row r="95" spans="1:13" x14ac:dyDescent="0.2">
      <c r="A95" s="163"/>
      <c r="B95" s="163"/>
      <c r="C95" s="163"/>
      <c r="D95" s="163"/>
      <c r="E95" s="163"/>
      <c r="F95" s="163"/>
      <c r="G95" s="163"/>
      <c r="H95" s="163"/>
      <c r="I95" s="163"/>
      <c r="J95" s="163"/>
      <c r="K95" s="163"/>
      <c r="L95" s="163"/>
      <c r="M95" s="163"/>
    </row>
    <row r="96" spans="1:13" x14ac:dyDescent="0.2">
      <c r="A96" s="163"/>
      <c r="B96" s="163"/>
      <c r="C96" s="163"/>
      <c r="D96" s="163"/>
      <c r="E96" s="163"/>
      <c r="F96" s="163"/>
      <c r="G96" s="163"/>
      <c r="H96" s="163"/>
      <c r="I96" s="163"/>
      <c r="J96" s="163"/>
      <c r="K96" s="163"/>
      <c r="L96" s="163"/>
      <c r="M96" s="163"/>
    </row>
    <row r="97" spans="1:13" x14ac:dyDescent="0.2">
      <c r="A97" s="163"/>
      <c r="B97" s="163"/>
      <c r="C97" s="163"/>
      <c r="D97" s="163"/>
      <c r="E97" s="163"/>
      <c r="F97" s="163"/>
      <c r="G97" s="163"/>
      <c r="H97" s="163"/>
      <c r="I97" s="163"/>
      <c r="J97" s="163"/>
      <c r="K97" s="163"/>
      <c r="L97" s="163"/>
      <c r="M97" s="163"/>
    </row>
    <row r="98" spans="1:13" x14ac:dyDescent="0.2">
      <c r="A98" s="163"/>
      <c r="B98" s="163"/>
      <c r="C98" s="163"/>
      <c r="D98" s="163"/>
      <c r="E98" s="163"/>
      <c r="F98" s="163"/>
      <c r="G98" s="163"/>
      <c r="H98" s="163"/>
      <c r="I98" s="163"/>
      <c r="J98" s="163"/>
      <c r="K98" s="163"/>
      <c r="L98" s="163"/>
      <c r="M98" s="163"/>
    </row>
    <row r="99" spans="1:13" x14ac:dyDescent="0.2">
      <c r="A99" s="163"/>
      <c r="B99" s="163"/>
      <c r="C99" s="163"/>
      <c r="D99" s="163"/>
      <c r="E99" s="163"/>
      <c r="F99" s="163"/>
      <c r="G99" s="163"/>
      <c r="H99" s="163"/>
      <c r="I99" s="163"/>
      <c r="J99" s="163"/>
      <c r="K99" s="163"/>
      <c r="L99" s="163"/>
      <c r="M99" s="163"/>
    </row>
    <row r="100" spans="1:13" x14ac:dyDescent="0.2">
      <c r="A100" s="163"/>
      <c r="B100" s="163"/>
      <c r="C100" s="163"/>
      <c r="D100" s="163"/>
      <c r="E100" s="163"/>
      <c r="F100" s="163"/>
      <c r="G100" s="163"/>
      <c r="H100" s="163"/>
      <c r="I100" s="163"/>
      <c r="J100" s="163"/>
      <c r="K100" s="163"/>
      <c r="L100" s="163"/>
      <c r="M100" s="163"/>
    </row>
    <row r="101" spans="1:13" x14ac:dyDescent="0.2">
      <c r="A101" s="163"/>
      <c r="B101" s="163"/>
      <c r="C101" s="163"/>
      <c r="D101" s="163"/>
      <c r="E101" s="163"/>
      <c r="F101" s="163"/>
      <c r="G101" s="163"/>
      <c r="H101" s="163"/>
      <c r="I101" s="163"/>
      <c r="J101" s="163"/>
      <c r="K101" s="163"/>
      <c r="L101" s="163"/>
      <c r="M101" s="163"/>
    </row>
    <row r="102" spans="1:13" x14ac:dyDescent="0.2">
      <c r="A102" s="163"/>
      <c r="B102" s="163"/>
      <c r="C102" s="163"/>
      <c r="D102" s="163"/>
      <c r="E102" s="163"/>
      <c r="F102" s="163"/>
      <c r="G102" s="163"/>
      <c r="H102" s="163"/>
      <c r="I102" s="163"/>
      <c r="J102" s="163"/>
      <c r="K102" s="163"/>
      <c r="L102" s="163"/>
      <c r="M102" s="163"/>
    </row>
    <row r="103" spans="1:13" x14ac:dyDescent="0.2">
      <c r="A103" s="163"/>
      <c r="B103" s="163"/>
      <c r="C103" s="163"/>
      <c r="D103" s="163"/>
      <c r="E103" s="163"/>
      <c r="F103" s="163"/>
      <c r="G103" s="163"/>
      <c r="H103" s="163"/>
      <c r="I103" s="163"/>
      <c r="J103" s="163"/>
      <c r="K103" s="163"/>
      <c r="L103" s="163"/>
      <c r="M103" s="163"/>
    </row>
    <row r="104" spans="1:13" x14ac:dyDescent="0.2">
      <c r="A104" s="163"/>
      <c r="B104" s="163"/>
      <c r="C104" s="163"/>
      <c r="D104" s="163"/>
      <c r="E104" s="163"/>
      <c r="F104" s="163"/>
      <c r="G104" s="163"/>
      <c r="H104" s="163"/>
      <c r="I104" s="163"/>
      <c r="J104" s="163"/>
      <c r="K104" s="163"/>
      <c r="L104" s="163"/>
      <c r="M104" s="163"/>
    </row>
    <row r="105" spans="1:13" x14ac:dyDescent="0.2">
      <c r="A105" s="163"/>
      <c r="B105" s="163"/>
      <c r="C105" s="163"/>
      <c r="D105" s="163"/>
      <c r="E105" s="163"/>
      <c r="F105" s="163"/>
      <c r="G105" s="163"/>
      <c r="H105" s="163"/>
      <c r="I105" s="163"/>
      <c r="J105" s="163"/>
      <c r="K105" s="163"/>
      <c r="L105" s="163"/>
      <c r="M105" s="163"/>
    </row>
    <row r="106" spans="1:13" x14ac:dyDescent="0.2">
      <c r="A106" s="163"/>
      <c r="B106" s="163"/>
      <c r="C106" s="163"/>
      <c r="D106" s="163"/>
      <c r="E106" s="163"/>
      <c r="F106" s="163"/>
      <c r="G106" s="163"/>
      <c r="H106" s="163"/>
      <c r="I106" s="163"/>
      <c r="J106" s="163"/>
      <c r="K106" s="163"/>
      <c r="L106" s="163"/>
      <c r="M106" s="163"/>
    </row>
    <row r="107" spans="1:13" x14ac:dyDescent="0.2">
      <c r="A107" s="163"/>
      <c r="B107" s="163"/>
      <c r="C107" s="163"/>
      <c r="D107" s="163"/>
      <c r="E107" s="163"/>
      <c r="F107" s="163"/>
      <c r="G107" s="163"/>
      <c r="H107" s="163"/>
      <c r="I107" s="163"/>
      <c r="J107" s="163"/>
      <c r="K107" s="163"/>
      <c r="L107" s="163"/>
      <c r="M107" s="163"/>
    </row>
    <row r="108" spans="1:13" x14ac:dyDescent="0.2">
      <c r="A108" s="163"/>
      <c r="B108" s="163"/>
      <c r="C108" s="163"/>
      <c r="D108" s="163"/>
      <c r="E108" s="163"/>
      <c r="F108" s="163"/>
      <c r="G108" s="163"/>
      <c r="H108" s="163"/>
      <c r="I108" s="163"/>
      <c r="J108" s="163"/>
      <c r="K108" s="163"/>
      <c r="L108" s="163"/>
      <c r="M108" s="163"/>
    </row>
    <row r="109" spans="1:13" x14ac:dyDescent="0.2">
      <c r="A109" s="163"/>
      <c r="B109" s="163"/>
      <c r="C109" s="163"/>
      <c r="D109" s="163"/>
      <c r="E109" s="163"/>
      <c r="F109" s="163"/>
      <c r="G109" s="163"/>
      <c r="H109" s="163"/>
      <c r="I109" s="163"/>
      <c r="J109" s="163"/>
      <c r="K109" s="163"/>
      <c r="L109" s="163"/>
      <c r="M109" s="163"/>
    </row>
    <row r="110" spans="1:13" x14ac:dyDescent="0.2">
      <c r="A110" s="163"/>
      <c r="B110" s="163"/>
      <c r="C110" s="163"/>
      <c r="D110" s="163"/>
      <c r="E110" s="163"/>
      <c r="F110" s="163"/>
      <c r="G110" s="163"/>
      <c r="H110" s="163"/>
      <c r="I110" s="163"/>
      <c r="J110" s="163"/>
      <c r="K110" s="163"/>
      <c r="L110" s="163"/>
      <c r="M110" s="163"/>
    </row>
    <row r="111" spans="1:13" x14ac:dyDescent="0.2">
      <c r="A111" s="163"/>
      <c r="B111" s="163"/>
      <c r="C111" s="163"/>
      <c r="D111" s="163"/>
      <c r="E111" s="163"/>
      <c r="F111" s="163"/>
      <c r="G111" s="163"/>
      <c r="H111" s="163"/>
      <c r="I111" s="163"/>
      <c r="J111" s="163"/>
      <c r="K111" s="163"/>
      <c r="L111" s="163"/>
      <c r="M111" s="163"/>
    </row>
    <row r="112" spans="1:13" x14ac:dyDescent="0.2">
      <c r="A112" s="163"/>
      <c r="B112" s="163"/>
      <c r="C112" s="163"/>
      <c r="D112" s="163"/>
      <c r="E112" s="163"/>
      <c r="F112" s="163"/>
      <c r="G112" s="163"/>
      <c r="H112" s="163"/>
      <c r="I112" s="163"/>
      <c r="J112" s="163"/>
      <c r="K112" s="163"/>
      <c r="L112" s="163"/>
      <c r="M112" s="163"/>
    </row>
    <row r="113" spans="1:13" x14ac:dyDescent="0.2">
      <c r="A113" s="163"/>
      <c r="B113" s="163"/>
      <c r="C113" s="163"/>
      <c r="D113" s="163"/>
      <c r="E113" s="163"/>
      <c r="F113" s="163"/>
      <c r="G113" s="163"/>
      <c r="H113" s="163"/>
      <c r="I113" s="163"/>
      <c r="J113" s="163"/>
      <c r="K113" s="163"/>
      <c r="L113" s="163"/>
      <c r="M113" s="163"/>
    </row>
    <row r="114" spans="1:13" x14ac:dyDescent="0.2">
      <c r="A114" s="163"/>
      <c r="B114" s="163"/>
      <c r="C114" s="163"/>
      <c r="D114" s="163"/>
      <c r="E114" s="163"/>
      <c r="F114" s="163"/>
      <c r="G114" s="163"/>
      <c r="H114" s="163"/>
      <c r="I114" s="163"/>
      <c r="J114" s="163"/>
      <c r="K114" s="163"/>
      <c r="L114" s="163"/>
      <c r="M114" s="163"/>
    </row>
    <row r="115" spans="1:13" x14ac:dyDescent="0.2">
      <c r="A115" s="163"/>
      <c r="B115" s="163"/>
      <c r="C115" s="163"/>
      <c r="D115" s="163"/>
      <c r="E115" s="163"/>
      <c r="F115" s="163"/>
      <c r="G115" s="163"/>
      <c r="H115" s="163"/>
      <c r="I115" s="163"/>
      <c r="J115" s="163"/>
      <c r="K115" s="163"/>
      <c r="L115" s="163"/>
      <c r="M115" s="163"/>
    </row>
    <row r="116" spans="1:13" x14ac:dyDescent="0.2">
      <c r="A116" s="163"/>
      <c r="B116" s="163"/>
      <c r="C116" s="163"/>
      <c r="D116" s="163"/>
      <c r="E116" s="163"/>
      <c r="F116" s="163"/>
      <c r="G116" s="163"/>
      <c r="H116" s="163"/>
      <c r="I116" s="163"/>
      <c r="J116" s="163"/>
      <c r="K116" s="163"/>
      <c r="L116" s="163"/>
      <c r="M116" s="163"/>
    </row>
    <row r="117" spans="1:13" x14ac:dyDescent="0.2">
      <c r="A117" s="163"/>
      <c r="B117" s="163"/>
      <c r="C117" s="163"/>
      <c r="D117" s="163"/>
      <c r="E117" s="163"/>
      <c r="F117" s="163"/>
      <c r="G117" s="163"/>
      <c r="H117" s="163"/>
      <c r="I117" s="163"/>
      <c r="J117" s="163"/>
      <c r="K117" s="163"/>
      <c r="L117" s="163"/>
      <c r="M117" s="163"/>
    </row>
    <row r="118" spans="1:13" x14ac:dyDescent="0.2">
      <c r="A118" s="163"/>
      <c r="B118" s="163"/>
      <c r="C118" s="163"/>
      <c r="D118" s="163"/>
      <c r="E118" s="163"/>
      <c r="F118" s="163"/>
      <c r="G118" s="163"/>
      <c r="H118" s="163"/>
      <c r="I118" s="163"/>
      <c r="J118" s="163"/>
      <c r="K118" s="163"/>
      <c r="L118" s="163"/>
      <c r="M118" s="163"/>
    </row>
  </sheetData>
  <pageMargins left="0.5" right="0.5" top="0.75" bottom="0.75" header="0.5" footer="0.5"/>
  <pageSetup scale="73"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8"/>
  <sheetViews>
    <sheetView showGridLines="0" zoomScaleNormal="100" workbookViewId="0">
      <selection activeCell="F12" sqref="F12"/>
    </sheetView>
  </sheetViews>
  <sheetFormatPr defaultRowHeight="12.75" x14ac:dyDescent="0.2"/>
  <cols>
    <col min="1" max="1" width="9.140625" style="123"/>
    <col min="2" max="2" width="2.5703125" style="123" customWidth="1"/>
    <col min="3" max="12" width="11.7109375" style="123" customWidth="1"/>
    <col min="13" max="13" width="2.7109375" style="123" customWidth="1"/>
    <col min="14" max="14" width="11.7109375" style="123" customWidth="1"/>
    <col min="15" max="15" width="14.85546875" style="123" bestFit="1" customWidth="1"/>
    <col min="16" max="16384" width="9.140625" style="123"/>
  </cols>
  <sheetData>
    <row r="1" spans="1:16" x14ac:dyDescent="0.2">
      <c r="A1" s="176" t="str">
        <f>"Single-Family Tonnages by Commodity ("&amp;TEXT(A6,"mmmm yyyy")&amp;" through "&amp;TEXT(A17,"mmmm yyyy")&amp;")"</f>
        <v>Single-Family Tonnages by Commodity (May 2017 through April 2018)</v>
      </c>
      <c r="B1" s="175"/>
    </row>
    <row r="2" spans="1:16" x14ac:dyDescent="0.2">
      <c r="A2" s="174" t="str">
        <f>'WUTC_AW of Lynnwood_SF'!A1</f>
        <v>Rabanco Ltd (dba Allied Waste of Lynnwood)</v>
      </c>
      <c r="B2" s="174"/>
    </row>
    <row r="3" spans="1:16" x14ac:dyDescent="0.2">
      <c r="A3" s="174"/>
      <c r="B3" s="174"/>
    </row>
    <row r="4" spans="1:16" x14ac:dyDescent="0.2">
      <c r="A4" s="174"/>
      <c r="B4" s="174"/>
    </row>
    <row r="5" spans="1:16" x14ac:dyDescent="0.2">
      <c r="A5" s="175"/>
      <c r="B5" s="179"/>
      <c r="C5" s="172" t="s">
        <v>19</v>
      </c>
      <c r="D5" s="172" t="s">
        <v>20</v>
      </c>
      <c r="E5" s="172" t="s">
        <v>111</v>
      </c>
      <c r="F5" s="172" t="s">
        <v>21</v>
      </c>
      <c r="G5" s="172" t="s">
        <v>22</v>
      </c>
      <c r="H5" s="172" t="s">
        <v>23</v>
      </c>
      <c r="I5" s="172" t="s">
        <v>24</v>
      </c>
      <c r="J5" s="172" t="s">
        <v>25</v>
      </c>
      <c r="K5" s="172" t="s">
        <v>26</v>
      </c>
      <c r="L5" s="172" t="s">
        <v>27</v>
      </c>
      <c r="M5" s="172"/>
      <c r="N5" s="172" t="s">
        <v>28</v>
      </c>
    </row>
    <row r="6" spans="1:16" ht="15.75" customHeight="1" x14ac:dyDescent="0.2">
      <c r="A6" s="228">
        <f>'Single Family (3)'!$C$6</f>
        <v>42856</v>
      </c>
      <c r="B6" s="163" t="s">
        <v>124</v>
      </c>
      <c r="C6" s="226">
        <f>'Single Family (3)'!C32</f>
        <v>4.2077999999999998</v>
      </c>
      <c r="D6" s="227">
        <f>'Single Family (3)'!C34</f>
        <v>99.191872000000004</v>
      </c>
      <c r="E6" s="226">
        <f>'Single Family (3)'!C35</f>
        <v>0</v>
      </c>
      <c r="F6" s="226">
        <f>'Single Family (3)'!C30</f>
        <v>9.2571600000000007</v>
      </c>
      <c r="G6" s="226">
        <f>'Single Family (3)'!C27</f>
        <v>109.4028</v>
      </c>
      <c r="H6" s="226">
        <f>'Single Family (3)'!C37</f>
        <v>180.54267199999998</v>
      </c>
      <c r="I6" s="226">
        <f>'Single Family (3)'!C31/2</f>
        <v>12.595348</v>
      </c>
      <c r="J6" s="226">
        <f>'Single Family (3)'!C31/2</f>
        <v>12.595348</v>
      </c>
      <c r="K6" s="226">
        <f>'Single Family (3)'!C28</f>
        <v>99.977327999999986</v>
      </c>
      <c r="L6" s="226">
        <f>'Single Family (3)'!C36</f>
        <v>33.269672000000071</v>
      </c>
      <c r="M6" s="178"/>
      <c r="N6" s="117">
        <f t="shared" ref="N6:N17" si="0">SUM(C6:L6)</f>
        <v>561.04</v>
      </c>
      <c r="O6" s="57"/>
      <c r="P6" s="177"/>
    </row>
    <row r="7" spans="1:16" ht="15.75" customHeight="1" x14ac:dyDescent="0.2">
      <c r="A7" s="170">
        <f t="shared" ref="A7:A17" si="1">EOMONTH(A6,1)</f>
        <v>42916</v>
      </c>
      <c r="B7" s="163" t="s">
        <v>123</v>
      </c>
      <c r="C7" s="226">
        <f>'Single Family (3)'!D32</f>
        <v>4.0997249999999994</v>
      </c>
      <c r="D7" s="227">
        <f>'Single Family (3)'!D34</f>
        <v>96.64418400000001</v>
      </c>
      <c r="E7" s="226">
        <f>'Single Family (3)'!D35</f>
        <v>0</v>
      </c>
      <c r="F7" s="226">
        <f>'Single Family (3)'!D30</f>
        <v>9.0193950000000012</v>
      </c>
      <c r="G7" s="226">
        <f>'Single Family (3)'!D27</f>
        <v>106.59285</v>
      </c>
      <c r="H7" s="226">
        <f>'Single Family (3)'!D37</f>
        <v>175.90553399999999</v>
      </c>
      <c r="I7" s="226">
        <f>'Single Family (3)'!D31/2</f>
        <v>12.271843500000001</v>
      </c>
      <c r="J7" s="226">
        <f>'Single Family (3)'!D31/2</f>
        <v>12.271843500000001</v>
      </c>
      <c r="K7" s="226">
        <f>'Single Family (3)'!D28</f>
        <v>97.409465999999995</v>
      </c>
      <c r="L7" s="226">
        <f>'Single Family (3)'!D36</f>
        <v>32.415159000000074</v>
      </c>
      <c r="M7" s="178"/>
      <c r="N7" s="117">
        <f t="shared" si="0"/>
        <v>546.63000000000011</v>
      </c>
      <c r="P7" s="177"/>
    </row>
    <row r="8" spans="1:16" ht="15.75" customHeight="1" x14ac:dyDescent="0.2">
      <c r="A8" s="170">
        <f t="shared" si="1"/>
        <v>42947</v>
      </c>
      <c r="B8" s="163" t="s">
        <v>122</v>
      </c>
      <c r="C8" s="226">
        <f>'Single Family (3)'!E32</f>
        <v>3.9234749999999998</v>
      </c>
      <c r="D8" s="227">
        <f>'Single Family (3)'!E34</f>
        <v>92.489384000000001</v>
      </c>
      <c r="E8" s="226">
        <f>'Single Family (3)'!E35</f>
        <v>0</v>
      </c>
      <c r="F8" s="226">
        <f>'Single Family (3)'!E30</f>
        <v>8.6316450000000007</v>
      </c>
      <c r="G8" s="226">
        <f>'Single Family (3)'!E27</f>
        <v>102.01035</v>
      </c>
      <c r="H8" s="226">
        <f>'Single Family (3)'!E37</f>
        <v>168.343234</v>
      </c>
      <c r="I8" s="226">
        <f>'Single Family (3)'!E31/2</f>
        <v>11.7442685</v>
      </c>
      <c r="J8" s="226">
        <f>'Single Family (3)'!E31/2</f>
        <v>11.7442685</v>
      </c>
      <c r="K8" s="226">
        <f>'Single Family (3)'!E28</f>
        <v>93.221766000000002</v>
      </c>
      <c r="L8" s="226">
        <f>'Single Family (3)'!E36</f>
        <v>31.021609000000069</v>
      </c>
      <c r="M8" s="178"/>
      <c r="N8" s="117">
        <f t="shared" si="0"/>
        <v>523.13000000000011</v>
      </c>
      <c r="P8" s="177"/>
    </row>
    <row r="9" spans="1:16" ht="15.75" customHeight="1" x14ac:dyDescent="0.2">
      <c r="A9" s="170">
        <f t="shared" si="1"/>
        <v>42978</v>
      </c>
      <c r="B9" s="163" t="s">
        <v>121</v>
      </c>
      <c r="C9" s="226">
        <f>'Single Family (3)'!F32</f>
        <v>4.3146749999999994</v>
      </c>
      <c r="D9" s="227">
        <f>'Single Family (3)'!F34</f>
        <v>101.71127199999999</v>
      </c>
      <c r="E9" s="226">
        <f>'Single Family (3)'!F35</f>
        <v>0</v>
      </c>
      <c r="F9" s="226">
        <f>'Single Family (3)'!F30</f>
        <v>9.492284999999999</v>
      </c>
      <c r="G9" s="226">
        <f>'Single Family (3)'!F27</f>
        <v>112.18155</v>
      </c>
      <c r="H9" s="226">
        <f>'Single Family (3)'!F37</f>
        <v>185.12832199999997</v>
      </c>
      <c r="I9" s="226">
        <f>'Single Family (3)'!F31/2</f>
        <v>12.9152605</v>
      </c>
      <c r="J9" s="226">
        <f>'Single Family (3)'!F31/2</f>
        <v>12.9152605</v>
      </c>
      <c r="K9" s="226">
        <f>'Single Family (3)'!F28</f>
        <v>102.516678</v>
      </c>
      <c r="L9" s="226">
        <f>'Single Family (3)'!F36</f>
        <v>34.114697000000071</v>
      </c>
      <c r="M9" s="178"/>
      <c r="N9" s="117">
        <f t="shared" si="0"/>
        <v>575.29</v>
      </c>
      <c r="P9" s="177"/>
    </row>
    <row r="10" spans="1:16" ht="15.75" customHeight="1" x14ac:dyDescent="0.2">
      <c r="A10" s="170">
        <f t="shared" si="1"/>
        <v>43008</v>
      </c>
      <c r="B10" s="163" t="s">
        <v>120</v>
      </c>
      <c r="C10" s="226">
        <f>'Single Family (3)'!G32</f>
        <v>3.8563499999999995</v>
      </c>
      <c r="D10" s="227">
        <f>'Single Family (3)'!G34</f>
        <v>90.907023999999993</v>
      </c>
      <c r="E10" s="226">
        <f>'Single Family (3)'!G35</f>
        <v>0</v>
      </c>
      <c r="F10" s="226">
        <f>'Single Family (3)'!G30</f>
        <v>8.4839699999999993</v>
      </c>
      <c r="G10" s="226">
        <f>'Single Family (3)'!G27</f>
        <v>100.26509999999999</v>
      </c>
      <c r="H10" s="226">
        <f>'Single Family (3)'!G37</f>
        <v>165.46312399999997</v>
      </c>
      <c r="I10" s="226">
        <f>'Single Family (3)'!G31/2</f>
        <v>11.543341</v>
      </c>
      <c r="J10" s="226">
        <f>'Single Family (3)'!G31/2</f>
        <v>11.543341</v>
      </c>
      <c r="K10" s="226">
        <f>'Single Family (3)'!G28</f>
        <v>91.626875999999996</v>
      </c>
      <c r="L10" s="226">
        <f>'Single Family (3)'!G36</f>
        <v>30.490874000000066</v>
      </c>
      <c r="M10" s="178"/>
      <c r="N10" s="117">
        <f t="shared" si="0"/>
        <v>514.17999999999995</v>
      </c>
      <c r="P10" s="177"/>
    </row>
    <row r="11" spans="1:16" ht="15.75" customHeight="1" x14ac:dyDescent="0.2">
      <c r="A11" s="170">
        <f t="shared" si="1"/>
        <v>43039</v>
      </c>
      <c r="B11" s="163" t="s">
        <v>119</v>
      </c>
      <c r="C11" s="226">
        <f>'Single Family (3)'!H32</f>
        <v>4.0039499999999997</v>
      </c>
      <c r="D11" s="227">
        <f>'Single Family (3)'!H34</f>
        <v>94.386448000000016</v>
      </c>
      <c r="E11" s="226">
        <f>'Single Family (3)'!H35</f>
        <v>0</v>
      </c>
      <c r="F11" s="226">
        <f>'Single Family (3)'!H30</f>
        <v>8.8086900000000004</v>
      </c>
      <c r="G11" s="226">
        <f>'Single Family (3)'!H27</f>
        <v>104.10270000000001</v>
      </c>
      <c r="H11" s="226">
        <f>'Single Family (3)'!H37</f>
        <v>171.79614799999999</v>
      </c>
      <c r="I11" s="226">
        <f>'Single Family (3)'!H31/2</f>
        <v>11.985157000000001</v>
      </c>
      <c r="J11" s="226">
        <f>'Single Family (3)'!H31/2</f>
        <v>11.985157000000001</v>
      </c>
      <c r="K11" s="226">
        <f>'Single Family (3)'!H28</f>
        <v>95.133852000000005</v>
      </c>
      <c r="L11" s="226">
        <f>'Single Family (3)'!H36</f>
        <v>31.65789800000007</v>
      </c>
      <c r="M11" s="178"/>
      <c r="N11" s="117">
        <f t="shared" si="0"/>
        <v>533.86000000000013</v>
      </c>
      <c r="P11" s="177"/>
    </row>
    <row r="12" spans="1:16" ht="15.75" customHeight="1" x14ac:dyDescent="0.2">
      <c r="A12" s="170">
        <f t="shared" si="1"/>
        <v>43069</v>
      </c>
      <c r="B12" s="163" t="s">
        <v>118</v>
      </c>
      <c r="C12" s="226">
        <f>'Single Family (3)'!I32</f>
        <v>4.3225499999999997</v>
      </c>
      <c r="D12" s="227">
        <f>'Single Family (3)'!I34</f>
        <v>101.89691200000001</v>
      </c>
      <c r="E12" s="226">
        <f>'Single Family (3)'!I35</f>
        <v>0</v>
      </c>
      <c r="F12" s="226">
        <f>'Single Family (3)'!I30</f>
        <v>9.5096100000000003</v>
      </c>
      <c r="G12" s="226">
        <f>'Single Family (3)'!I27</f>
        <v>112.38630000000001</v>
      </c>
      <c r="H12" s="226">
        <f>'Single Family (3)'!I37</f>
        <v>185.46621199999998</v>
      </c>
      <c r="I12" s="226">
        <f>'Single Family (3)'!I31/2</f>
        <v>12.938833000000001</v>
      </c>
      <c r="J12" s="226">
        <f>'Single Family (3)'!I31/2</f>
        <v>12.938833000000001</v>
      </c>
      <c r="K12" s="226">
        <f>'Single Family (3)'!I28</f>
        <v>102.703788</v>
      </c>
      <c r="L12" s="226">
        <f>'Single Family (3)'!I36</f>
        <v>34.176962000000074</v>
      </c>
      <c r="M12" s="178"/>
      <c r="N12" s="117">
        <f t="shared" si="0"/>
        <v>576.34000000000015</v>
      </c>
      <c r="P12" s="177"/>
    </row>
    <row r="13" spans="1:16" ht="15.75" customHeight="1" x14ac:dyDescent="0.2">
      <c r="A13" s="170">
        <f t="shared" si="1"/>
        <v>43100</v>
      </c>
      <c r="B13" s="163" t="s">
        <v>117</v>
      </c>
      <c r="C13" s="226">
        <f>'Single Family (3)'!J32</f>
        <v>4.3578749999999991</v>
      </c>
      <c r="D13" s="227">
        <f>'Single Family (3)'!J34</f>
        <v>102.72964</v>
      </c>
      <c r="E13" s="226">
        <f>'Single Family (3)'!J35</f>
        <v>0</v>
      </c>
      <c r="F13" s="226">
        <f>'Single Family (3)'!J30</f>
        <v>9.5873249999999999</v>
      </c>
      <c r="G13" s="226">
        <f>'Single Family (3)'!J27</f>
        <v>113.30475</v>
      </c>
      <c r="H13" s="226">
        <f>'Single Family (3)'!J37</f>
        <v>186.98188999999996</v>
      </c>
      <c r="I13" s="226">
        <f>'Single Family (3)'!J31/2</f>
        <v>13.044572499999999</v>
      </c>
      <c r="J13" s="226">
        <f>'Single Family (3)'!J31/2</f>
        <v>13.044572499999999</v>
      </c>
      <c r="K13" s="226">
        <f>'Single Family (3)'!J28</f>
        <v>103.54310999999998</v>
      </c>
      <c r="L13" s="226">
        <f>'Single Family (3)'!J36</f>
        <v>34.456265000000073</v>
      </c>
      <c r="M13" s="178"/>
      <c r="N13" s="117">
        <f t="shared" si="0"/>
        <v>581.04999999999995</v>
      </c>
      <c r="P13" s="177"/>
    </row>
    <row r="14" spans="1:16" ht="15.75" customHeight="1" x14ac:dyDescent="0.2">
      <c r="A14" s="170">
        <f t="shared" si="1"/>
        <v>43131</v>
      </c>
      <c r="B14" s="163" t="s">
        <v>116</v>
      </c>
      <c r="C14" s="226">
        <f>'Single Family (3)'!K32</f>
        <v>4.7139749999999996</v>
      </c>
      <c r="D14" s="227">
        <f>'Single Family (3)'!K34</f>
        <v>111.124104</v>
      </c>
      <c r="E14" s="226">
        <f>'Single Family (3)'!K35</f>
        <v>0</v>
      </c>
      <c r="F14" s="226">
        <f>'Single Family (3)'!K30</f>
        <v>10.370744999999999</v>
      </c>
      <c r="G14" s="226">
        <f>'Single Family (3)'!K27</f>
        <v>122.56335</v>
      </c>
      <c r="H14" s="226">
        <f>'Single Family (3)'!K37</f>
        <v>202.26095399999997</v>
      </c>
      <c r="I14" s="226">
        <f>'Single Family (3)'!K31/2</f>
        <v>14.1104985</v>
      </c>
      <c r="J14" s="226">
        <f>'Single Family (3)'!K31/2</f>
        <v>14.1104985</v>
      </c>
      <c r="K14" s="226">
        <f>'Single Family (3)'!K28</f>
        <v>112.00404599999999</v>
      </c>
      <c r="L14" s="226">
        <f>'Single Family (3)'!K36</f>
        <v>37.271829000000082</v>
      </c>
      <c r="M14" s="178"/>
      <c r="N14" s="117">
        <f t="shared" si="0"/>
        <v>628.53</v>
      </c>
      <c r="P14" s="177"/>
    </row>
    <row r="15" spans="1:16" ht="15.75" customHeight="1" x14ac:dyDescent="0.2">
      <c r="A15" s="170">
        <f t="shared" si="1"/>
        <v>43159</v>
      </c>
      <c r="B15" s="163" t="s">
        <v>115</v>
      </c>
      <c r="C15" s="226">
        <f>'Single Family (3)'!L32</f>
        <v>3.6091500000000001</v>
      </c>
      <c r="D15" s="227">
        <f>'Single Family (3)'!L34</f>
        <v>85.079696000000013</v>
      </c>
      <c r="E15" s="226">
        <f>'Single Family (3)'!L35</f>
        <v>0</v>
      </c>
      <c r="F15" s="226">
        <f>'Single Family (3)'!L30</f>
        <v>7.9401300000000008</v>
      </c>
      <c r="G15" s="226">
        <f>'Single Family (3)'!L27</f>
        <v>93.837900000000005</v>
      </c>
      <c r="H15" s="226">
        <f>'Single Family (3)'!L37</f>
        <v>154.856596</v>
      </c>
      <c r="I15" s="226">
        <f>'Single Family (3)'!L31/2</f>
        <v>10.803389000000001</v>
      </c>
      <c r="J15" s="226">
        <f>'Single Family (3)'!L31/2</f>
        <v>10.803389000000001</v>
      </c>
      <c r="K15" s="226">
        <f>'Single Family (3)'!L28</f>
        <v>85.753404000000003</v>
      </c>
      <c r="L15" s="226">
        <f>'Single Family (3)'!L36</f>
        <v>28.536346000000066</v>
      </c>
      <c r="M15" s="178"/>
      <c r="N15" s="117">
        <f t="shared" si="0"/>
        <v>481.22</v>
      </c>
      <c r="P15" s="177"/>
    </row>
    <row r="16" spans="1:16" ht="15.75" customHeight="1" x14ac:dyDescent="0.2">
      <c r="A16" s="170">
        <f t="shared" si="1"/>
        <v>43190</v>
      </c>
      <c r="B16" s="163" t="s">
        <v>114</v>
      </c>
      <c r="C16" s="226">
        <f>'Single Family (3)'!M32</f>
        <v>3.9529499999999995</v>
      </c>
      <c r="D16" s="227">
        <f>'Single Family (3)'!M34</f>
        <v>93.184207999999998</v>
      </c>
      <c r="E16" s="226">
        <f>'Single Family (3)'!M35</f>
        <v>0</v>
      </c>
      <c r="F16" s="226">
        <f>'Single Family (3)'!M30</f>
        <v>8.6964899999999989</v>
      </c>
      <c r="G16" s="226">
        <f>'Single Family (3)'!M27</f>
        <v>102.77669999999999</v>
      </c>
      <c r="H16" s="226">
        <f>'Single Family (3)'!M37</f>
        <v>169.60790799999998</v>
      </c>
      <c r="I16" s="226">
        <f>'Single Family (3)'!M31/2</f>
        <v>11.832497</v>
      </c>
      <c r="J16" s="226">
        <f>'Single Family (3)'!M31/2</f>
        <v>11.832497</v>
      </c>
      <c r="K16" s="226">
        <f>'Single Family (3)'!M28</f>
        <v>93.922091999999992</v>
      </c>
      <c r="L16" s="226">
        <f>'Single Family (3)'!M36</f>
        <v>31.254658000000067</v>
      </c>
      <c r="M16" s="178"/>
      <c r="N16" s="117">
        <f t="shared" si="0"/>
        <v>527.06000000000006</v>
      </c>
      <c r="P16" s="177"/>
    </row>
    <row r="17" spans="1:16" ht="15.75" customHeight="1" x14ac:dyDescent="0.2">
      <c r="A17" s="170">
        <f t="shared" si="1"/>
        <v>43220</v>
      </c>
      <c r="B17" s="163" t="s">
        <v>113</v>
      </c>
      <c r="C17" s="226">
        <f>'Single Family (3)'!N32</f>
        <v>3.9905250000000003</v>
      </c>
      <c r="D17" s="227">
        <f>'Single Family (3)'!N34</f>
        <v>94.069976000000011</v>
      </c>
      <c r="E17" s="226">
        <f>'Single Family (3)'!N35</f>
        <v>0</v>
      </c>
      <c r="F17" s="226">
        <f>'Single Family (3)'!N30</f>
        <v>8.7791550000000012</v>
      </c>
      <c r="G17" s="226">
        <f>'Single Family (3)'!N27</f>
        <v>0</v>
      </c>
      <c r="H17" s="226">
        <f>'Single Family (3)'!N37</f>
        <v>274.97377600000004</v>
      </c>
      <c r="I17" s="226">
        <f>'Single Family (3)'!N31/2</f>
        <v>11.944971500000001</v>
      </c>
      <c r="J17" s="226">
        <f>'Single Family (3)'!N31/2</f>
        <v>11.944971500000001</v>
      </c>
      <c r="K17" s="226">
        <f>'Single Family (3)'!N28</f>
        <v>94.814874000000003</v>
      </c>
      <c r="L17" s="226">
        <f>'Single Family (3)'!N36</f>
        <v>31.551751000000074</v>
      </c>
      <c r="M17" s="178"/>
      <c r="N17" s="117">
        <f t="shared" si="0"/>
        <v>532.07000000000016</v>
      </c>
      <c r="P17" s="177"/>
    </row>
    <row r="18" spans="1:16" ht="15.75" customHeight="1" x14ac:dyDescent="0.2">
      <c r="A18" s="168" t="s">
        <v>30</v>
      </c>
      <c r="B18" s="163"/>
      <c r="C18" s="61">
        <f t="shared" ref="C18:L18" si="2">SUM(C6:C17)</f>
        <v>49.352999999999987</v>
      </c>
      <c r="D18" s="61">
        <f t="shared" si="2"/>
        <v>1163.41472</v>
      </c>
      <c r="E18" s="61">
        <f t="shared" si="2"/>
        <v>0</v>
      </c>
      <c r="F18" s="61">
        <f t="shared" si="2"/>
        <v>108.5766</v>
      </c>
      <c r="G18" s="61">
        <f t="shared" si="2"/>
        <v>1179.42435</v>
      </c>
      <c r="H18" s="61">
        <f t="shared" si="2"/>
        <v>2221.3263699999998</v>
      </c>
      <c r="I18" s="61">
        <f t="shared" si="2"/>
        <v>147.72998000000001</v>
      </c>
      <c r="J18" s="61">
        <f t="shared" si="2"/>
        <v>147.72998000000001</v>
      </c>
      <c r="K18" s="61">
        <f t="shared" si="2"/>
        <v>1172.6272799999999</v>
      </c>
      <c r="L18" s="61">
        <f t="shared" si="2"/>
        <v>390.2177200000009</v>
      </c>
      <c r="M18" s="178"/>
      <c r="N18" s="225">
        <f>SUM(N6:N17)</f>
        <v>6580.4000000000015</v>
      </c>
      <c r="O18" s="164"/>
    </row>
    <row r="19" spans="1:16" x14ac:dyDescent="0.2">
      <c r="A19" s="170"/>
      <c r="B19" s="163"/>
      <c r="C19" s="163"/>
      <c r="D19" s="163"/>
      <c r="E19" s="163"/>
      <c r="F19" s="163"/>
      <c r="G19" s="163"/>
      <c r="H19" s="163"/>
      <c r="I19" s="163"/>
      <c r="J19" s="163"/>
      <c r="K19" s="163"/>
      <c r="L19" s="163"/>
      <c r="M19" s="178"/>
      <c r="N19" s="164"/>
    </row>
    <row r="20" spans="1:16" x14ac:dyDescent="0.2">
      <c r="A20" s="176"/>
      <c r="B20" s="163"/>
      <c r="C20" s="163"/>
      <c r="D20" s="163"/>
      <c r="E20" s="163"/>
      <c r="F20" s="163"/>
      <c r="G20" s="163"/>
      <c r="H20" s="163"/>
      <c r="I20" s="163"/>
      <c r="J20" s="163"/>
      <c r="K20" s="163"/>
      <c r="L20" s="163"/>
      <c r="M20" s="178"/>
      <c r="N20" s="164"/>
    </row>
    <row r="21" spans="1:16" x14ac:dyDescent="0.2">
      <c r="A21" s="170"/>
      <c r="B21" s="163"/>
      <c r="C21" s="163"/>
      <c r="D21" s="163"/>
      <c r="E21" s="163"/>
      <c r="F21" s="163"/>
      <c r="G21" s="163"/>
      <c r="H21" s="163"/>
      <c r="I21" s="163"/>
      <c r="J21" s="163"/>
      <c r="K21" s="163"/>
      <c r="L21" s="163"/>
      <c r="M21" s="178"/>
      <c r="N21" s="164"/>
    </row>
    <row r="22" spans="1:16" x14ac:dyDescent="0.2">
      <c r="A22" s="170"/>
      <c r="B22" s="163"/>
      <c r="C22" s="163"/>
      <c r="D22" s="163"/>
      <c r="E22" s="163"/>
      <c r="F22" s="163"/>
      <c r="G22" s="163"/>
      <c r="H22" s="163"/>
      <c r="I22" s="163"/>
      <c r="J22" s="163"/>
      <c r="K22" s="163"/>
      <c r="L22" s="163"/>
      <c r="M22" s="178"/>
      <c r="N22" s="164"/>
    </row>
    <row r="23" spans="1:16" x14ac:dyDescent="0.2">
      <c r="A23" s="163"/>
      <c r="B23" s="163"/>
      <c r="C23" s="163"/>
      <c r="D23" s="163"/>
      <c r="E23" s="163"/>
      <c r="F23" s="163"/>
      <c r="G23" s="163"/>
      <c r="H23" s="163"/>
      <c r="I23" s="163"/>
      <c r="J23" s="163"/>
      <c r="K23" s="163"/>
      <c r="L23" s="163"/>
      <c r="M23" s="178"/>
      <c r="N23" s="164"/>
    </row>
    <row r="24" spans="1:16" x14ac:dyDescent="0.2">
      <c r="A24" s="163"/>
      <c r="B24" s="163"/>
      <c r="C24" s="163"/>
      <c r="D24" s="163"/>
      <c r="E24" s="163"/>
      <c r="F24" s="163"/>
      <c r="G24" s="163"/>
      <c r="H24" s="163"/>
      <c r="I24" s="163"/>
      <c r="J24" s="163"/>
      <c r="K24" s="163"/>
      <c r="L24" s="163"/>
      <c r="M24" s="178"/>
      <c r="N24" s="164"/>
    </row>
    <row r="25" spans="1:16" x14ac:dyDescent="0.2">
      <c r="A25" s="163"/>
      <c r="B25" s="163"/>
      <c r="C25" s="163"/>
      <c r="E25" s="163"/>
      <c r="F25" s="163"/>
      <c r="G25" s="163"/>
      <c r="H25" s="163"/>
      <c r="I25" s="163"/>
      <c r="J25" s="163"/>
      <c r="K25" s="163"/>
      <c r="L25" s="163"/>
      <c r="M25" s="178"/>
      <c r="N25" s="164"/>
    </row>
    <row r="26" spans="1:16" x14ac:dyDescent="0.2">
      <c r="A26" s="163"/>
      <c r="B26" s="163"/>
      <c r="C26" s="163"/>
      <c r="D26" s="163"/>
      <c r="E26" s="163"/>
      <c r="F26" s="163"/>
      <c r="G26" s="163"/>
      <c r="H26" s="163"/>
      <c r="I26" s="163"/>
      <c r="J26" s="163"/>
      <c r="K26" s="163"/>
      <c r="L26" s="163"/>
      <c r="M26" s="178"/>
      <c r="N26" s="164"/>
    </row>
    <row r="27" spans="1:16" x14ac:dyDescent="0.2">
      <c r="A27" s="163"/>
      <c r="B27" s="163"/>
      <c r="C27" s="163"/>
      <c r="D27" s="163"/>
      <c r="E27" s="163"/>
      <c r="F27" s="163"/>
      <c r="G27" s="163"/>
      <c r="H27" s="163"/>
      <c r="I27" s="163"/>
      <c r="J27" s="163"/>
      <c r="K27" s="163"/>
      <c r="L27" s="163"/>
      <c r="M27" s="178"/>
      <c r="N27" s="164"/>
    </row>
    <row r="28" spans="1:16" x14ac:dyDescent="0.2">
      <c r="A28" s="163"/>
      <c r="B28" s="163"/>
      <c r="C28" s="163"/>
      <c r="D28" s="163"/>
      <c r="E28" s="163"/>
      <c r="F28" s="163"/>
      <c r="G28" s="163"/>
      <c r="H28" s="163"/>
      <c r="I28" s="163"/>
      <c r="J28" s="163"/>
      <c r="K28" s="163"/>
      <c r="L28" s="163"/>
      <c r="M28" s="178"/>
      <c r="N28" s="163"/>
    </row>
    <row r="29" spans="1:16" x14ac:dyDescent="0.2">
      <c r="A29" s="163"/>
      <c r="B29" s="163"/>
      <c r="C29" s="163"/>
      <c r="D29" s="163"/>
      <c r="E29" s="163"/>
      <c r="F29" s="163"/>
      <c r="G29" s="163"/>
      <c r="H29" s="163"/>
      <c r="I29" s="163"/>
      <c r="J29" s="163"/>
      <c r="K29" s="163"/>
      <c r="L29" s="163"/>
      <c r="M29" s="178"/>
      <c r="N29" s="163"/>
    </row>
    <row r="30" spans="1:16" x14ac:dyDescent="0.2">
      <c r="A30" s="163"/>
      <c r="B30" s="163"/>
      <c r="C30" s="163"/>
      <c r="D30" s="163"/>
      <c r="E30" s="163"/>
      <c r="F30" s="163"/>
      <c r="G30" s="163"/>
      <c r="H30" s="163"/>
      <c r="I30" s="163"/>
      <c r="J30" s="163"/>
      <c r="K30" s="163"/>
      <c r="L30" s="163"/>
      <c r="M30" s="178"/>
      <c r="N30" s="163"/>
    </row>
    <row r="31" spans="1:16" x14ac:dyDescent="0.2">
      <c r="A31" s="163"/>
      <c r="B31" s="163"/>
      <c r="C31" s="163"/>
      <c r="D31" s="163"/>
      <c r="E31" s="163"/>
      <c r="F31" s="163"/>
      <c r="G31" s="163"/>
      <c r="H31" s="163"/>
      <c r="I31" s="163"/>
      <c r="J31" s="163"/>
      <c r="K31" s="163"/>
      <c r="L31" s="163"/>
      <c r="M31" s="178"/>
      <c r="N31" s="163"/>
    </row>
    <row r="32" spans="1:16" x14ac:dyDescent="0.2">
      <c r="A32" s="163"/>
      <c r="B32" s="163"/>
      <c r="C32" s="163"/>
      <c r="D32" s="163"/>
      <c r="E32" s="163"/>
      <c r="F32" s="163"/>
      <c r="G32" s="163"/>
      <c r="H32" s="163"/>
      <c r="I32" s="163"/>
      <c r="J32" s="163"/>
      <c r="K32" s="163"/>
      <c r="L32" s="163"/>
      <c r="M32" s="178"/>
      <c r="N32" s="163"/>
    </row>
    <row r="33" spans="1:14" x14ac:dyDescent="0.2">
      <c r="A33" s="163"/>
      <c r="B33" s="163"/>
      <c r="C33" s="163"/>
      <c r="D33" s="163"/>
      <c r="E33" s="163"/>
      <c r="F33" s="163"/>
      <c r="G33" s="163"/>
      <c r="H33" s="163"/>
      <c r="I33" s="163"/>
      <c r="J33" s="163"/>
      <c r="K33" s="163"/>
      <c r="L33" s="163"/>
      <c r="M33" s="178"/>
      <c r="N33" s="163"/>
    </row>
    <row r="34" spans="1:14" x14ac:dyDescent="0.2">
      <c r="A34" s="163"/>
      <c r="B34" s="163"/>
      <c r="C34" s="163"/>
      <c r="D34" s="163"/>
      <c r="E34" s="163"/>
      <c r="F34" s="163"/>
      <c r="G34" s="163"/>
      <c r="H34" s="163"/>
      <c r="I34" s="163"/>
      <c r="J34" s="163"/>
      <c r="K34" s="163"/>
      <c r="L34" s="163"/>
      <c r="M34" s="178"/>
      <c r="N34" s="163"/>
    </row>
    <row r="35" spans="1:14" x14ac:dyDescent="0.2">
      <c r="A35" s="163"/>
      <c r="B35" s="163"/>
      <c r="C35" s="163"/>
      <c r="D35" s="163"/>
      <c r="E35" s="163"/>
      <c r="F35" s="163"/>
      <c r="G35" s="163"/>
      <c r="H35" s="163"/>
      <c r="I35" s="163"/>
      <c r="J35" s="163"/>
      <c r="K35" s="163"/>
      <c r="L35" s="163"/>
      <c r="M35" s="178"/>
      <c r="N35" s="163"/>
    </row>
    <row r="36" spans="1:14" x14ac:dyDescent="0.2">
      <c r="A36" s="163"/>
      <c r="B36" s="163"/>
      <c r="C36" s="163"/>
      <c r="D36" s="163"/>
      <c r="E36" s="163"/>
      <c r="F36" s="163"/>
      <c r="G36" s="163"/>
      <c r="H36" s="163"/>
      <c r="I36" s="163"/>
      <c r="J36" s="163"/>
      <c r="K36" s="163"/>
      <c r="L36" s="163"/>
      <c r="M36" s="178"/>
      <c r="N36" s="163"/>
    </row>
    <row r="37" spans="1:14" x14ac:dyDescent="0.2">
      <c r="A37" s="163"/>
      <c r="B37" s="163"/>
      <c r="C37" s="163"/>
      <c r="D37" s="163"/>
      <c r="E37" s="163"/>
      <c r="F37" s="163"/>
      <c r="G37" s="163"/>
      <c r="H37" s="163"/>
      <c r="I37" s="163"/>
      <c r="J37" s="163"/>
      <c r="K37" s="163"/>
      <c r="L37" s="163"/>
      <c r="M37" s="178"/>
      <c r="N37" s="163"/>
    </row>
    <row r="38" spans="1:14" x14ac:dyDescent="0.2">
      <c r="A38" s="163"/>
      <c r="B38" s="163"/>
      <c r="C38" s="163"/>
      <c r="D38" s="163"/>
      <c r="E38" s="163"/>
      <c r="F38" s="163"/>
      <c r="G38" s="163"/>
      <c r="H38" s="163"/>
      <c r="I38" s="163"/>
      <c r="J38" s="163"/>
      <c r="K38" s="163"/>
      <c r="L38" s="163"/>
      <c r="M38" s="178"/>
      <c r="N38" s="163"/>
    </row>
    <row r="39" spans="1:14" x14ac:dyDescent="0.2">
      <c r="A39" s="163"/>
      <c r="B39" s="163"/>
      <c r="C39" s="163"/>
      <c r="D39" s="163"/>
      <c r="E39" s="163"/>
      <c r="F39" s="163"/>
      <c r="G39" s="163"/>
      <c r="H39" s="163"/>
      <c r="I39" s="163"/>
      <c r="J39" s="163"/>
      <c r="K39" s="163"/>
      <c r="L39" s="163"/>
      <c r="M39" s="163"/>
      <c r="N39" s="163"/>
    </row>
    <row r="40" spans="1:14" x14ac:dyDescent="0.2">
      <c r="A40" s="163"/>
      <c r="B40" s="163"/>
      <c r="C40" s="163"/>
      <c r="D40" s="163"/>
      <c r="E40" s="163"/>
      <c r="F40" s="163"/>
      <c r="G40" s="163"/>
      <c r="H40" s="163"/>
      <c r="I40" s="163"/>
      <c r="J40" s="163"/>
      <c r="K40" s="163"/>
      <c r="L40" s="163"/>
      <c r="M40" s="163"/>
      <c r="N40" s="163"/>
    </row>
    <row r="41" spans="1:14" x14ac:dyDescent="0.2">
      <c r="A41" s="163"/>
      <c r="B41" s="163"/>
      <c r="C41" s="163"/>
      <c r="D41" s="163"/>
      <c r="E41" s="163"/>
      <c r="F41" s="163"/>
      <c r="G41" s="163"/>
      <c r="H41" s="163"/>
      <c r="I41" s="163"/>
      <c r="J41" s="163"/>
      <c r="K41" s="163"/>
      <c r="L41" s="163"/>
      <c r="M41" s="163"/>
      <c r="N41" s="163"/>
    </row>
    <row r="42" spans="1:14" x14ac:dyDescent="0.2">
      <c r="A42" s="163"/>
      <c r="B42" s="163"/>
      <c r="C42" s="163"/>
      <c r="D42" s="163"/>
      <c r="E42" s="163"/>
      <c r="F42" s="163"/>
      <c r="G42" s="163"/>
      <c r="H42" s="163"/>
      <c r="I42" s="163"/>
      <c r="J42" s="163"/>
      <c r="K42" s="163"/>
      <c r="L42" s="163"/>
      <c r="M42" s="163"/>
      <c r="N42" s="163"/>
    </row>
    <row r="43" spans="1:14" x14ac:dyDescent="0.2">
      <c r="A43" s="163"/>
      <c r="B43" s="163"/>
      <c r="C43" s="163"/>
      <c r="D43" s="163"/>
      <c r="E43" s="163"/>
      <c r="F43" s="163"/>
      <c r="G43" s="163"/>
      <c r="H43" s="163"/>
      <c r="I43" s="163"/>
      <c r="J43" s="163"/>
      <c r="K43" s="163"/>
      <c r="L43" s="163"/>
      <c r="M43" s="163"/>
      <c r="N43" s="163"/>
    </row>
    <row r="44" spans="1:14" x14ac:dyDescent="0.2">
      <c r="A44" s="163"/>
      <c r="B44" s="163"/>
      <c r="C44" s="163"/>
      <c r="D44" s="163"/>
      <c r="E44" s="163"/>
      <c r="F44" s="163"/>
      <c r="G44" s="163"/>
      <c r="H44" s="163"/>
      <c r="I44" s="163"/>
      <c r="J44" s="163"/>
      <c r="K44" s="163"/>
      <c r="L44" s="163"/>
      <c r="M44" s="163"/>
      <c r="N44" s="163"/>
    </row>
    <row r="45" spans="1:14" x14ac:dyDescent="0.2">
      <c r="A45" s="163"/>
      <c r="B45" s="163"/>
      <c r="C45" s="163"/>
      <c r="D45" s="163"/>
      <c r="E45" s="163"/>
      <c r="F45" s="163"/>
      <c r="G45" s="163"/>
      <c r="H45" s="163"/>
      <c r="I45" s="163"/>
      <c r="J45" s="163"/>
      <c r="K45" s="163"/>
      <c r="L45" s="163"/>
      <c r="M45" s="163"/>
      <c r="N45" s="163"/>
    </row>
    <row r="46" spans="1:14" x14ac:dyDescent="0.2">
      <c r="A46" s="163"/>
      <c r="B46" s="163"/>
      <c r="C46" s="163"/>
      <c r="D46" s="163"/>
      <c r="E46" s="163"/>
      <c r="F46" s="163"/>
      <c r="G46" s="163"/>
      <c r="H46" s="163"/>
      <c r="I46" s="163"/>
      <c r="J46" s="163"/>
      <c r="K46" s="163"/>
      <c r="L46" s="163"/>
      <c r="M46" s="163"/>
      <c r="N46" s="163"/>
    </row>
    <row r="47" spans="1:14" x14ac:dyDescent="0.2">
      <c r="A47" s="163"/>
      <c r="B47" s="163"/>
      <c r="C47" s="163"/>
      <c r="D47" s="163"/>
      <c r="E47" s="163"/>
      <c r="F47" s="163"/>
      <c r="G47" s="163"/>
      <c r="H47" s="163"/>
      <c r="I47" s="163"/>
      <c r="J47" s="163"/>
      <c r="K47" s="163"/>
      <c r="L47" s="163"/>
      <c r="M47" s="163"/>
      <c r="N47" s="163"/>
    </row>
    <row r="48" spans="1:14" x14ac:dyDescent="0.2">
      <c r="A48" s="163"/>
      <c r="B48" s="163"/>
      <c r="C48" s="163"/>
      <c r="D48" s="163"/>
      <c r="E48" s="163"/>
      <c r="F48" s="163"/>
      <c r="G48" s="163"/>
      <c r="H48" s="163"/>
      <c r="I48" s="163"/>
      <c r="J48" s="163"/>
      <c r="K48" s="163"/>
      <c r="L48" s="163"/>
      <c r="M48" s="163"/>
      <c r="N48" s="163"/>
    </row>
    <row r="49" spans="1:14" x14ac:dyDescent="0.2">
      <c r="A49" s="163"/>
      <c r="B49" s="163"/>
      <c r="C49" s="163"/>
      <c r="D49" s="163"/>
      <c r="E49" s="163"/>
      <c r="F49" s="163"/>
      <c r="G49" s="163"/>
      <c r="H49" s="163"/>
      <c r="I49" s="163"/>
      <c r="J49" s="163"/>
      <c r="K49" s="163"/>
      <c r="L49" s="163"/>
      <c r="M49" s="163"/>
      <c r="N49" s="163"/>
    </row>
    <row r="50" spans="1:14" x14ac:dyDescent="0.2">
      <c r="A50" s="163"/>
      <c r="B50" s="163"/>
      <c r="C50" s="163"/>
      <c r="D50" s="163"/>
      <c r="E50" s="163"/>
      <c r="F50" s="163"/>
      <c r="G50" s="163"/>
      <c r="H50" s="163"/>
      <c r="I50" s="163"/>
      <c r="J50" s="163"/>
      <c r="K50" s="163"/>
      <c r="L50" s="163"/>
      <c r="M50" s="163"/>
      <c r="N50" s="163"/>
    </row>
    <row r="51" spans="1:14" x14ac:dyDescent="0.2">
      <c r="A51" s="163"/>
      <c r="B51" s="163"/>
      <c r="C51" s="163"/>
      <c r="D51" s="163"/>
      <c r="E51" s="163"/>
      <c r="F51" s="163"/>
      <c r="G51" s="163"/>
      <c r="H51" s="163"/>
      <c r="I51" s="163"/>
      <c r="J51" s="163"/>
      <c r="K51" s="163"/>
      <c r="L51" s="163"/>
      <c r="M51" s="163"/>
      <c r="N51" s="163"/>
    </row>
    <row r="52" spans="1:14" x14ac:dyDescent="0.2">
      <c r="A52" s="163"/>
      <c r="B52" s="163"/>
      <c r="C52" s="163"/>
      <c r="D52" s="163"/>
      <c r="E52" s="163"/>
      <c r="F52" s="163"/>
      <c r="G52" s="163"/>
      <c r="H52" s="163"/>
      <c r="I52" s="163"/>
      <c r="J52" s="163"/>
      <c r="K52" s="163"/>
      <c r="L52" s="163"/>
      <c r="M52" s="163"/>
      <c r="N52" s="163"/>
    </row>
    <row r="53" spans="1:14" x14ac:dyDescent="0.2">
      <c r="A53" s="163"/>
      <c r="B53" s="163"/>
      <c r="C53" s="163"/>
      <c r="D53" s="163"/>
      <c r="E53" s="163"/>
      <c r="F53" s="163"/>
      <c r="G53" s="163"/>
      <c r="H53" s="163"/>
      <c r="I53" s="163"/>
      <c r="J53" s="163"/>
      <c r="K53" s="163"/>
      <c r="L53" s="163"/>
      <c r="M53" s="163"/>
      <c r="N53" s="163"/>
    </row>
    <row r="54" spans="1:14" x14ac:dyDescent="0.2">
      <c r="A54" s="163"/>
      <c r="B54" s="163"/>
      <c r="C54" s="163"/>
      <c r="D54" s="163"/>
      <c r="E54" s="163"/>
      <c r="F54" s="163"/>
      <c r="G54" s="163"/>
      <c r="H54" s="163"/>
      <c r="I54" s="163"/>
      <c r="J54" s="163"/>
      <c r="K54" s="163"/>
      <c r="L54" s="163"/>
      <c r="M54" s="163"/>
      <c r="N54" s="163"/>
    </row>
    <row r="55" spans="1:14" x14ac:dyDescent="0.2">
      <c r="A55" s="163"/>
      <c r="B55" s="163"/>
      <c r="C55" s="163"/>
      <c r="D55" s="163"/>
      <c r="E55" s="163"/>
      <c r="F55" s="163"/>
      <c r="G55" s="163"/>
      <c r="H55" s="163"/>
      <c r="I55" s="163"/>
      <c r="J55" s="163"/>
      <c r="K55" s="163"/>
      <c r="L55" s="163"/>
      <c r="M55" s="163"/>
      <c r="N55" s="163"/>
    </row>
    <row r="56" spans="1:14" x14ac:dyDescent="0.2">
      <c r="A56" s="163"/>
      <c r="B56" s="163"/>
      <c r="C56" s="163"/>
      <c r="D56" s="163"/>
      <c r="E56" s="163"/>
      <c r="F56" s="163"/>
      <c r="G56" s="163"/>
      <c r="H56" s="163"/>
      <c r="I56" s="163"/>
      <c r="J56" s="163"/>
      <c r="K56" s="163"/>
      <c r="L56" s="163"/>
      <c r="M56" s="163"/>
      <c r="N56" s="163"/>
    </row>
    <row r="57" spans="1:14" x14ac:dyDescent="0.2">
      <c r="A57" s="163"/>
      <c r="B57" s="163"/>
      <c r="C57" s="163"/>
      <c r="D57" s="163"/>
      <c r="E57" s="163"/>
      <c r="F57" s="163"/>
      <c r="G57" s="163"/>
      <c r="H57" s="163"/>
      <c r="I57" s="163"/>
      <c r="J57" s="163"/>
      <c r="K57" s="163"/>
      <c r="L57" s="163"/>
      <c r="M57" s="163"/>
      <c r="N57" s="163"/>
    </row>
    <row r="58" spans="1:14" x14ac:dyDescent="0.2">
      <c r="A58" s="163"/>
      <c r="B58" s="163"/>
      <c r="C58" s="163"/>
      <c r="D58" s="163"/>
      <c r="E58" s="163"/>
      <c r="F58" s="163"/>
      <c r="G58" s="163"/>
      <c r="H58" s="163"/>
      <c r="I58" s="163"/>
      <c r="J58" s="163"/>
      <c r="K58" s="163"/>
      <c r="L58" s="163"/>
      <c r="M58" s="163"/>
      <c r="N58" s="163"/>
    </row>
    <row r="59" spans="1:14" x14ac:dyDescent="0.2">
      <c r="A59" s="163"/>
      <c r="B59" s="163"/>
      <c r="C59" s="163"/>
      <c r="D59" s="163"/>
      <c r="E59" s="163"/>
      <c r="F59" s="163"/>
      <c r="G59" s="163"/>
      <c r="H59" s="163"/>
      <c r="I59" s="163"/>
      <c r="J59" s="163"/>
      <c r="K59" s="163"/>
      <c r="L59" s="163"/>
      <c r="M59" s="163"/>
      <c r="N59" s="163"/>
    </row>
    <row r="60" spans="1:14" x14ac:dyDescent="0.2">
      <c r="A60" s="163"/>
      <c r="B60" s="163"/>
      <c r="C60" s="163"/>
      <c r="D60" s="163"/>
      <c r="E60" s="163"/>
      <c r="F60" s="163"/>
      <c r="G60" s="163"/>
      <c r="H60" s="163"/>
      <c r="I60" s="163"/>
      <c r="J60" s="163"/>
      <c r="K60" s="163"/>
      <c r="L60" s="163"/>
      <c r="M60" s="163"/>
      <c r="N60" s="163"/>
    </row>
    <row r="61" spans="1:14" x14ac:dyDescent="0.2">
      <c r="A61" s="163"/>
      <c r="B61" s="163"/>
      <c r="C61" s="163"/>
      <c r="D61" s="163"/>
      <c r="E61" s="163"/>
      <c r="F61" s="163"/>
      <c r="G61" s="163"/>
      <c r="H61" s="163"/>
      <c r="I61" s="163"/>
      <c r="J61" s="163"/>
      <c r="K61" s="163"/>
      <c r="L61" s="163"/>
      <c r="M61" s="163"/>
      <c r="N61" s="163"/>
    </row>
    <row r="62" spans="1:14" x14ac:dyDescent="0.2">
      <c r="A62" s="163"/>
      <c r="B62" s="163"/>
      <c r="C62" s="163"/>
      <c r="D62" s="163"/>
      <c r="E62" s="163"/>
      <c r="F62" s="163"/>
      <c r="G62" s="163"/>
      <c r="H62" s="163"/>
      <c r="I62" s="163"/>
      <c r="J62" s="163"/>
      <c r="K62" s="163"/>
      <c r="L62" s="163"/>
      <c r="M62" s="163"/>
      <c r="N62" s="163"/>
    </row>
    <row r="63" spans="1:14" x14ac:dyDescent="0.2">
      <c r="A63" s="163"/>
      <c r="B63" s="163"/>
      <c r="C63" s="163"/>
      <c r="D63" s="163"/>
      <c r="E63" s="163"/>
      <c r="F63" s="163"/>
      <c r="G63" s="163"/>
      <c r="H63" s="163"/>
      <c r="I63" s="163"/>
      <c r="J63" s="163"/>
      <c r="K63" s="163"/>
      <c r="L63" s="163"/>
      <c r="M63" s="163"/>
      <c r="N63" s="163"/>
    </row>
    <row r="64" spans="1:14" x14ac:dyDescent="0.2">
      <c r="A64" s="163"/>
      <c r="B64" s="163"/>
      <c r="C64" s="163"/>
      <c r="D64" s="163"/>
      <c r="E64" s="163"/>
      <c r="F64" s="163"/>
      <c r="G64" s="163"/>
      <c r="H64" s="163"/>
      <c r="I64" s="163"/>
      <c r="J64" s="163"/>
      <c r="K64" s="163"/>
      <c r="L64" s="163"/>
      <c r="M64" s="163"/>
      <c r="N64" s="163"/>
    </row>
    <row r="65" spans="1:14" x14ac:dyDescent="0.2">
      <c r="A65" s="163"/>
      <c r="B65" s="163"/>
      <c r="C65" s="163"/>
      <c r="D65" s="163"/>
      <c r="E65" s="163"/>
      <c r="F65" s="163"/>
      <c r="G65" s="163"/>
      <c r="H65" s="163"/>
      <c r="I65" s="163"/>
      <c r="J65" s="163"/>
      <c r="K65" s="163"/>
      <c r="L65" s="163"/>
      <c r="M65" s="163"/>
      <c r="N65" s="163"/>
    </row>
    <row r="66" spans="1:14" x14ac:dyDescent="0.2">
      <c r="A66" s="163"/>
      <c r="B66" s="163"/>
      <c r="C66" s="163"/>
      <c r="D66" s="163"/>
      <c r="E66" s="163"/>
      <c r="F66" s="163"/>
      <c r="G66" s="163"/>
      <c r="H66" s="163"/>
      <c r="I66" s="163"/>
      <c r="J66" s="163"/>
      <c r="K66" s="163"/>
      <c r="L66" s="163"/>
      <c r="M66" s="163"/>
      <c r="N66" s="163"/>
    </row>
    <row r="67" spans="1:14" x14ac:dyDescent="0.2">
      <c r="A67" s="163"/>
      <c r="B67" s="163"/>
      <c r="C67" s="163"/>
      <c r="D67" s="163"/>
      <c r="E67" s="163"/>
      <c r="F67" s="163"/>
      <c r="G67" s="163"/>
      <c r="H67" s="163"/>
      <c r="I67" s="163"/>
      <c r="J67" s="163"/>
      <c r="K67" s="163"/>
      <c r="L67" s="163"/>
      <c r="M67" s="163"/>
      <c r="N67" s="163"/>
    </row>
    <row r="68" spans="1:14" x14ac:dyDescent="0.2">
      <c r="A68" s="163"/>
      <c r="B68" s="163"/>
      <c r="C68" s="163"/>
      <c r="D68" s="163"/>
      <c r="E68" s="163"/>
      <c r="F68" s="163"/>
      <c r="G68" s="163"/>
      <c r="H68" s="163"/>
      <c r="I68" s="163"/>
      <c r="J68" s="163"/>
      <c r="K68" s="163"/>
      <c r="L68" s="163"/>
      <c r="M68" s="163"/>
      <c r="N68" s="163"/>
    </row>
    <row r="69" spans="1:14" x14ac:dyDescent="0.2">
      <c r="A69" s="163"/>
      <c r="B69" s="163"/>
      <c r="C69" s="163"/>
      <c r="D69" s="163"/>
      <c r="E69" s="163"/>
      <c r="F69" s="163"/>
      <c r="G69" s="163"/>
      <c r="H69" s="163"/>
      <c r="I69" s="163"/>
      <c r="J69" s="163"/>
      <c r="K69" s="163"/>
      <c r="L69" s="163"/>
      <c r="M69" s="163"/>
      <c r="N69" s="163"/>
    </row>
    <row r="70" spans="1:14" x14ac:dyDescent="0.2">
      <c r="A70" s="163"/>
      <c r="B70" s="163"/>
      <c r="C70" s="163"/>
      <c r="D70" s="163"/>
      <c r="E70" s="163"/>
      <c r="F70" s="163"/>
      <c r="G70" s="163"/>
      <c r="H70" s="163"/>
      <c r="I70" s="163"/>
      <c r="J70" s="163"/>
      <c r="K70" s="163"/>
      <c r="L70" s="163"/>
      <c r="M70" s="163"/>
      <c r="N70" s="163"/>
    </row>
    <row r="71" spans="1:14" x14ac:dyDescent="0.2">
      <c r="A71" s="163"/>
      <c r="B71" s="163"/>
      <c r="C71" s="163"/>
      <c r="D71" s="163"/>
      <c r="E71" s="163"/>
      <c r="F71" s="163"/>
      <c r="G71" s="163"/>
      <c r="H71" s="163"/>
      <c r="I71" s="163"/>
      <c r="J71" s="163"/>
      <c r="K71" s="163"/>
      <c r="L71" s="163"/>
      <c r="M71" s="163"/>
      <c r="N71" s="163"/>
    </row>
    <row r="72" spans="1:14" x14ac:dyDescent="0.2">
      <c r="A72" s="163"/>
      <c r="B72" s="163"/>
      <c r="C72" s="163"/>
      <c r="D72" s="163"/>
      <c r="E72" s="163"/>
      <c r="F72" s="163"/>
      <c r="G72" s="163"/>
      <c r="H72" s="163"/>
      <c r="I72" s="163"/>
      <c r="J72" s="163"/>
      <c r="K72" s="163"/>
      <c r="L72" s="163"/>
      <c r="M72" s="163"/>
      <c r="N72" s="163"/>
    </row>
    <row r="73" spans="1:14" x14ac:dyDescent="0.2">
      <c r="A73" s="163"/>
      <c r="B73" s="163"/>
      <c r="C73" s="163"/>
      <c r="D73" s="163"/>
      <c r="E73" s="163"/>
      <c r="F73" s="163"/>
      <c r="G73" s="163"/>
      <c r="H73" s="163"/>
      <c r="I73" s="163"/>
      <c r="J73" s="163"/>
      <c r="K73" s="163"/>
      <c r="L73" s="163"/>
      <c r="M73" s="163"/>
      <c r="N73" s="163"/>
    </row>
    <row r="74" spans="1:14" x14ac:dyDescent="0.2">
      <c r="A74" s="163"/>
      <c r="B74" s="163"/>
      <c r="C74" s="163"/>
      <c r="D74" s="163"/>
      <c r="E74" s="163"/>
      <c r="F74" s="163"/>
      <c r="G74" s="163"/>
      <c r="H74" s="163"/>
      <c r="I74" s="163"/>
      <c r="J74" s="163"/>
      <c r="K74" s="163"/>
      <c r="L74" s="163"/>
      <c r="M74" s="163"/>
      <c r="N74" s="163"/>
    </row>
    <row r="75" spans="1:14" x14ac:dyDescent="0.2">
      <c r="A75" s="163"/>
      <c r="B75" s="163"/>
      <c r="C75" s="163"/>
      <c r="D75" s="163"/>
      <c r="E75" s="163"/>
      <c r="F75" s="163"/>
      <c r="G75" s="163"/>
      <c r="H75" s="163"/>
      <c r="I75" s="163"/>
      <c r="J75" s="163"/>
      <c r="K75" s="163"/>
      <c r="L75" s="163"/>
      <c r="M75" s="163"/>
      <c r="N75" s="163"/>
    </row>
    <row r="76" spans="1:14" x14ac:dyDescent="0.2">
      <c r="A76" s="163"/>
      <c r="B76" s="163"/>
      <c r="C76" s="163"/>
      <c r="D76" s="163"/>
      <c r="E76" s="163"/>
      <c r="F76" s="163"/>
      <c r="G76" s="163"/>
      <c r="H76" s="163"/>
      <c r="I76" s="163"/>
      <c r="J76" s="163"/>
      <c r="K76" s="163"/>
      <c r="L76" s="163"/>
      <c r="M76" s="163"/>
      <c r="N76" s="163"/>
    </row>
    <row r="77" spans="1:14" x14ac:dyDescent="0.2">
      <c r="A77" s="163"/>
      <c r="B77" s="163"/>
      <c r="C77" s="163"/>
      <c r="D77" s="163"/>
      <c r="E77" s="163"/>
      <c r="F77" s="163"/>
      <c r="G77" s="163"/>
      <c r="H77" s="163"/>
      <c r="I77" s="163"/>
      <c r="J77" s="163"/>
      <c r="K77" s="163"/>
      <c r="L77" s="163"/>
      <c r="M77" s="163"/>
      <c r="N77" s="163"/>
    </row>
    <row r="78" spans="1:14" x14ac:dyDescent="0.2">
      <c r="A78" s="163"/>
      <c r="B78" s="163"/>
      <c r="C78" s="163"/>
      <c r="D78" s="163"/>
      <c r="E78" s="163"/>
      <c r="F78" s="163"/>
      <c r="G78" s="163"/>
      <c r="H78" s="163"/>
      <c r="I78" s="163"/>
      <c r="J78" s="163"/>
      <c r="K78" s="163"/>
      <c r="L78" s="163"/>
      <c r="M78" s="163"/>
      <c r="N78" s="163"/>
    </row>
    <row r="79" spans="1:14" x14ac:dyDescent="0.2">
      <c r="A79" s="163"/>
      <c r="B79" s="163"/>
      <c r="C79" s="163"/>
      <c r="D79" s="163"/>
      <c r="E79" s="163"/>
      <c r="F79" s="163"/>
      <c r="G79" s="163"/>
      <c r="H79" s="163"/>
      <c r="I79" s="163"/>
      <c r="J79" s="163"/>
      <c r="K79" s="163"/>
      <c r="L79" s="163"/>
      <c r="M79" s="163"/>
      <c r="N79" s="163"/>
    </row>
    <row r="80" spans="1:14" x14ac:dyDescent="0.2">
      <c r="A80" s="163"/>
      <c r="B80" s="163"/>
      <c r="C80" s="163"/>
      <c r="D80" s="163"/>
      <c r="E80" s="163"/>
      <c r="F80" s="163"/>
      <c r="G80" s="163"/>
      <c r="H80" s="163"/>
      <c r="I80" s="163"/>
      <c r="J80" s="163"/>
      <c r="K80" s="163"/>
      <c r="L80" s="163"/>
      <c r="M80" s="163"/>
      <c r="N80" s="163"/>
    </row>
    <row r="81" spans="1:14" x14ac:dyDescent="0.2">
      <c r="A81" s="163"/>
      <c r="B81" s="163"/>
      <c r="C81" s="163"/>
      <c r="D81" s="163"/>
      <c r="E81" s="163"/>
      <c r="F81" s="163"/>
      <c r="G81" s="163"/>
      <c r="H81" s="163"/>
      <c r="I81" s="163"/>
      <c r="J81" s="163"/>
      <c r="K81" s="163"/>
      <c r="L81" s="163"/>
      <c r="M81" s="163"/>
      <c r="N81" s="163"/>
    </row>
    <row r="82" spans="1:14" x14ac:dyDescent="0.2">
      <c r="A82" s="163"/>
      <c r="B82" s="163"/>
      <c r="C82" s="163"/>
      <c r="D82" s="163"/>
      <c r="E82" s="163"/>
      <c r="F82" s="163"/>
      <c r="G82" s="163"/>
      <c r="H82" s="163"/>
      <c r="I82" s="163"/>
      <c r="J82" s="163"/>
      <c r="K82" s="163"/>
      <c r="L82" s="163"/>
      <c r="M82" s="163"/>
      <c r="N82" s="163"/>
    </row>
    <row r="83" spans="1:14" x14ac:dyDescent="0.2">
      <c r="A83" s="163"/>
      <c r="B83" s="163"/>
      <c r="C83" s="163"/>
      <c r="D83" s="163"/>
      <c r="E83" s="163"/>
      <c r="F83" s="163"/>
      <c r="G83" s="163"/>
      <c r="H83" s="163"/>
      <c r="I83" s="163"/>
      <c r="J83" s="163"/>
      <c r="K83" s="163"/>
      <c r="L83" s="163"/>
      <c r="M83" s="163"/>
      <c r="N83" s="163"/>
    </row>
    <row r="84" spans="1:14" x14ac:dyDescent="0.2">
      <c r="A84" s="163"/>
      <c r="B84" s="163"/>
      <c r="C84" s="163"/>
      <c r="D84" s="163"/>
      <c r="E84" s="163"/>
      <c r="F84" s="163"/>
      <c r="G84" s="163"/>
      <c r="H84" s="163"/>
      <c r="I84" s="163"/>
      <c r="J84" s="163"/>
      <c r="K84" s="163"/>
      <c r="L84" s="163"/>
      <c r="M84" s="163"/>
      <c r="N84" s="163"/>
    </row>
    <row r="85" spans="1:14" x14ac:dyDescent="0.2">
      <c r="A85" s="163"/>
      <c r="B85" s="163"/>
      <c r="C85" s="163"/>
      <c r="D85" s="163"/>
      <c r="E85" s="163"/>
      <c r="F85" s="163"/>
      <c r="G85" s="163"/>
      <c r="H85" s="163"/>
      <c r="I85" s="163"/>
      <c r="J85" s="163"/>
      <c r="K85" s="163"/>
      <c r="L85" s="163"/>
      <c r="M85" s="163"/>
      <c r="N85" s="163"/>
    </row>
    <row r="86" spans="1:14" x14ac:dyDescent="0.2">
      <c r="A86" s="163"/>
      <c r="B86" s="163"/>
      <c r="C86" s="163"/>
      <c r="D86" s="163"/>
      <c r="E86" s="163"/>
      <c r="F86" s="163"/>
      <c r="G86" s="163"/>
      <c r="H86" s="163"/>
      <c r="I86" s="163"/>
      <c r="J86" s="163"/>
      <c r="K86" s="163"/>
      <c r="L86" s="163"/>
      <c r="M86" s="163"/>
      <c r="N86" s="163"/>
    </row>
    <row r="87" spans="1:14" x14ac:dyDescent="0.2">
      <c r="A87" s="163"/>
      <c r="B87" s="163"/>
      <c r="C87" s="163"/>
      <c r="D87" s="163"/>
      <c r="E87" s="163"/>
      <c r="F87" s="163"/>
      <c r="G87" s="163"/>
      <c r="H87" s="163"/>
      <c r="I87" s="163"/>
      <c r="J87" s="163"/>
      <c r="K87" s="163"/>
      <c r="L87" s="163"/>
      <c r="M87" s="163"/>
      <c r="N87" s="163"/>
    </row>
    <row r="88" spans="1:14" x14ac:dyDescent="0.2">
      <c r="A88" s="163"/>
      <c r="B88" s="163"/>
      <c r="C88" s="163"/>
      <c r="D88" s="163"/>
      <c r="E88" s="163"/>
      <c r="F88" s="163"/>
      <c r="G88" s="163"/>
      <c r="H88" s="163"/>
      <c r="I88" s="163"/>
      <c r="J88" s="163"/>
      <c r="K88" s="163"/>
      <c r="L88" s="163"/>
      <c r="M88" s="163"/>
      <c r="N88" s="163"/>
    </row>
    <row r="89" spans="1:14" x14ac:dyDescent="0.2">
      <c r="A89" s="163"/>
      <c r="B89" s="163"/>
      <c r="C89" s="163"/>
      <c r="D89" s="163"/>
      <c r="E89" s="163"/>
      <c r="F89" s="163"/>
      <c r="G89" s="163"/>
      <c r="H89" s="163"/>
      <c r="I89" s="163"/>
      <c r="J89" s="163"/>
      <c r="K89" s="163"/>
      <c r="L89" s="163"/>
      <c r="M89" s="163"/>
      <c r="N89" s="163"/>
    </row>
    <row r="90" spans="1:14" x14ac:dyDescent="0.2">
      <c r="A90" s="163"/>
      <c r="B90" s="163"/>
      <c r="C90" s="163"/>
      <c r="D90" s="163"/>
      <c r="E90" s="163"/>
      <c r="F90" s="163"/>
      <c r="G90" s="163"/>
      <c r="H90" s="163"/>
      <c r="I90" s="163"/>
      <c r="J90" s="163"/>
      <c r="K90" s="163"/>
      <c r="L90" s="163"/>
      <c r="M90" s="163"/>
      <c r="N90" s="163"/>
    </row>
    <row r="91" spans="1:14" x14ac:dyDescent="0.2">
      <c r="A91" s="163"/>
      <c r="B91" s="163"/>
      <c r="C91" s="163"/>
      <c r="D91" s="163"/>
      <c r="E91" s="163"/>
      <c r="F91" s="163"/>
      <c r="G91" s="163"/>
      <c r="H91" s="163"/>
      <c r="I91" s="163"/>
      <c r="J91" s="163"/>
      <c r="K91" s="163"/>
      <c r="L91" s="163"/>
      <c r="M91" s="163"/>
      <c r="N91" s="163"/>
    </row>
    <row r="92" spans="1:14" x14ac:dyDescent="0.2">
      <c r="A92" s="163"/>
      <c r="B92" s="163"/>
      <c r="C92" s="163"/>
      <c r="D92" s="163"/>
      <c r="E92" s="163"/>
      <c r="F92" s="163"/>
      <c r="G92" s="163"/>
      <c r="H92" s="163"/>
      <c r="I92" s="163"/>
      <c r="J92" s="163"/>
      <c r="K92" s="163"/>
      <c r="L92" s="163"/>
      <c r="M92" s="163"/>
      <c r="N92" s="163"/>
    </row>
    <row r="93" spans="1:14" x14ac:dyDescent="0.2">
      <c r="A93" s="163"/>
      <c r="B93" s="163"/>
      <c r="C93" s="163"/>
      <c r="D93" s="163"/>
      <c r="E93" s="163"/>
      <c r="F93" s="163"/>
      <c r="G93" s="163"/>
      <c r="H93" s="163"/>
      <c r="I93" s="163"/>
      <c r="J93" s="163"/>
      <c r="K93" s="163"/>
      <c r="L93" s="163"/>
      <c r="M93" s="163"/>
      <c r="N93" s="163"/>
    </row>
    <row r="94" spans="1:14" x14ac:dyDescent="0.2">
      <c r="A94" s="163"/>
      <c r="B94" s="163"/>
      <c r="C94" s="163"/>
      <c r="D94" s="163"/>
      <c r="E94" s="163"/>
      <c r="F94" s="163"/>
      <c r="G94" s="163"/>
      <c r="H94" s="163"/>
      <c r="I94" s="163"/>
      <c r="J94" s="163"/>
      <c r="K94" s="163"/>
      <c r="L94" s="163"/>
      <c r="M94" s="163"/>
      <c r="N94" s="163"/>
    </row>
    <row r="95" spans="1:14" x14ac:dyDescent="0.2">
      <c r="A95" s="163"/>
      <c r="B95" s="163"/>
      <c r="C95" s="163"/>
      <c r="D95" s="163"/>
      <c r="E95" s="163"/>
      <c r="F95" s="163"/>
      <c r="G95" s="163"/>
      <c r="H95" s="163"/>
      <c r="I95" s="163"/>
      <c r="J95" s="163"/>
      <c r="K95" s="163"/>
      <c r="L95" s="163"/>
      <c r="M95" s="163"/>
      <c r="N95" s="163"/>
    </row>
    <row r="96" spans="1:14" x14ac:dyDescent="0.2">
      <c r="A96" s="163"/>
      <c r="B96" s="163"/>
      <c r="C96" s="163"/>
      <c r="D96" s="163"/>
      <c r="E96" s="163"/>
      <c r="F96" s="163"/>
      <c r="G96" s="163"/>
      <c r="H96" s="163"/>
      <c r="I96" s="163"/>
      <c r="J96" s="163"/>
      <c r="K96" s="163"/>
      <c r="L96" s="163"/>
      <c r="M96" s="163"/>
      <c r="N96" s="163"/>
    </row>
    <row r="97" spans="1:14" x14ac:dyDescent="0.2">
      <c r="A97" s="163"/>
      <c r="B97" s="163"/>
      <c r="C97" s="163"/>
      <c r="D97" s="163"/>
      <c r="E97" s="163"/>
      <c r="F97" s="163"/>
      <c r="G97" s="163"/>
      <c r="H97" s="163"/>
      <c r="I97" s="163"/>
      <c r="J97" s="163"/>
      <c r="K97" s="163"/>
      <c r="L97" s="163"/>
      <c r="M97" s="163"/>
      <c r="N97" s="163"/>
    </row>
    <row r="98" spans="1:14" x14ac:dyDescent="0.2">
      <c r="A98" s="163"/>
      <c r="B98" s="163"/>
      <c r="C98" s="163"/>
      <c r="D98" s="163"/>
      <c r="E98" s="163"/>
      <c r="F98" s="163"/>
      <c r="G98" s="163"/>
      <c r="H98" s="163"/>
      <c r="I98" s="163"/>
      <c r="J98" s="163"/>
      <c r="K98" s="163"/>
      <c r="L98" s="163"/>
      <c r="M98" s="163"/>
      <c r="N98" s="163"/>
    </row>
    <row r="99" spans="1:14" x14ac:dyDescent="0.2">
      <c r="A99" s="163"/>
      <c r="B99" s="163"/>
      <c r="C99" s="163"/>
      <c r="D99" s="163"/>
      <c r="E99" s="163"/>
      <c r="F99" s="163"/>
      <c r="G99" s="163"/>
      <c r="H99" s="163"/>
      <c r="I99" s="163"/>
      <c r="J99" s="163"/>
      <c r="K99" s="163"/>
      <c r="L99" s="163"/>
      <c r="M99" s="163"/>
      <c r="N99" s="163"/>
    </row>
    <row r="100" spans="1:14" x14ac:dyDescent="0.2">
      <c r="A100" s="163"/>
      <c r="B100" s="163"/>
      <c r="C100" s="163"/>
      <c r="D100" s="163"/>
      <c r="E100" s="163"/>
      <c r="F100" s="163"/>
      <c r="G100" s="163"/>
      <c r="H100" s="163"/>
      <c r="I100" s="163"/>
      <c r="J100" s="163"/>
      <c r="K100" s="163"/>
      <c r="L100" s="163"/>
      <c r="M100" s="163"/>
      <c r="N100" s="163"/>
    </row>
    <row r="101" spans="1:14" x14ac:dyDescent="0.2">
      <c r="A101" s="163"/>
      <c r="B101" s="163"/>
      <c r="C101" s="163"/>
      <c r="D101" s="163"/>
      <c r="E101" s="163"/>
      <c r="F101" s="163"/>
      <c r="G101" s="163"/>
      <c r="H101" s="163"/>
      <c r="I101" s="163"/>
      <c r="J101" s="163"/>
      <c r="K101" s="163"/>
      <c r="L101" s="163"/>
      <c r="M101" s="163"/>
      <c r="N101" s="163"/>
    </row>
    <row r="102" spans="1:14" x14ac:dyDescent="0.2">
      <c r="A102" s="163"/>
      <c r="B102" s="163"/>
      <c r="C102" s="163"/>
      <c r="D102" s="163"/>
      <c r="E102" s="163"/>
      <c r="F102" s="163"/>
      <c r="G102" s="163"/>
      <c r="H102" s="163"/>
      <c r="I102" s="163"/>
      <c r="J102" s="163"/>
      <c r="K102" s="163"/>
      <c r="L102" s="163"/>
      <c r="M102" s="163"/>
      <c r="N102" s="163"/>
    </row>
    <row r="103" spans="1:14" x14ac:dyDescent="0.2">
      <c r="A103" s="163"/>
      <c r="B103" s="163"/>
      <c r="C103" s="163"/>
      <c r="D103" s="163"/>
      <c r="E103" s="163"/>
      <c r="F103" s="163"/>
      <c r="G103" s="163"/>
      <c r="H103" s="163"/>
      <c r="I103" s="163"/>
      <c r="J103" s="163"/>
      <c r="K103" s="163"/>
      <c r="L103" s="163"/>
      <c r="M103" s="163"/>
      <c r="N103" s="163"/>
    </row>
    <row r="104" spans="1:14" x14ac:dyDescent="0.2">
      <c r="A104" s="163"/>
      <c r="B104" s="163"/>
      <c r="C104" s="163"/>
      <c r="D104" s="163"/>
      <c r="E104" s="163"/>
      <c r="F104" s="163"/>
      <c r="G104" s="163"/>
      <c r="H104" s="163"/>
      <c r="I104" s="163"/>
      <c r="J104" s="163"/>
      <c r="K104" s="163"/>
      <c r="L104" s="163"/>
      <c r="M104" s="163"/>
      <c r="N104" s="163"/>
    </row>
    <row r="105" spans="1:14" x14ac:dyDescent="0.2">
      <c r="A105" s="163"/>
      <c r="B105" s="163"/>
      <c r="C105" s="163"/>
      <c r="D105" s="163"/>
      <c r="E105" s="163"/>
      <c r="F105" s="163"/>
      <c r="G105" s="163"/>
      <c r="H105" s="163"/>
      <c r="I105" s="163"/>
      <c r="J105" s="163"/>
      <c r="K105" s="163"/>
      <c r="L105" s="163"/>
      <c r="M105" s="163"/>
      <c r="N105" s="163"/>
    </row>
    <row r="106" spans="1:14" x14ac:dyDescent="0.2">
      <c r="A106" s="163"/>
      <c r="B106" s="163"/>
      <c r="C106" s="163"/>
      <c r="D106" s="163"/>
      <c r="E106" s="163"/>
      <c r="F106" s="163"/>
      <c r="G106" s="163"/>
      <c r="H106" s="163"/>
      <c r="I106" s="163"/>
      <c r="J106" s="163"/>
      <c r="K106" s="163"/>
      <c r="L106" s="163"/>
      <c r="M106" s="163"/>
      <c r="N106" s="163"/>
    </row>
    <row r="107" spans="1:14" x14ac:dyDescent="0.2">
      <c r="A107" s="163"/>
      <c r="B107" s="163"/>
      <c r="C107" s="163"/>
      <c r="D107" s="163"/>
      <c r="E107" s="163"/>
      <c r="F107" s="163"/>
      <c r="G107" s="163"/>
      <c r="H107" s="163"/>
      <c r="I107" s="163"/>
      <c r="J107" s="163"/>
      <c r="K107" s="163"/>
      <c r="L107" s="163"/>
      <c r="M107" s="163"/>
      <c r="N107" s="163"/>
    </row>
    <row r="108" spans="1:14" x14ac:dyDescent="0.2">
      <c r="A108" s="163"/>
      <c r="B108" s="163"/>
      <c r="C108" s="163"/>
      <c r="D108" s="163"/>
      <c r="E108" s="163"/>
      <c r="F108" s="163"/>
      <c r="G108" s="163"/>
      <c r="H108" s="163"/>
      <c r="I108" s="163"/>
      <c r="J108" s="163"/>
      <c r="K108" s="163"/>
      <c r="L108" s="163"/>
      <c r="M108" s="163"/>
      <c r="N108" s="163"/>
    </row>
    <row r="109" spans="1:14" x14ac:dyDescent="0.2">
      <c r="A109" s="163"/>
      <c r="B109" s="163"/>
      <c r="C109" s="163"/>
      <c r="D109" s="163"/>
      <c r="E109" s="163"/>
      <c r="F109" s="163"/>
      <c r="G109" s="163"/>
      <c r="H109" s="163"/>
      <c r="I109" s="163"/>
      <c r="J109" s="163"/>
      <c r="K109" s="163"/>
      <c r="L109" s="163"/>
      <c r="M109" s="163"/>
      <c r="N109" s="163"/>
    </row>
    <row r="110" spans="1:14" x14ac:dyDescent="0.2">
      <c r="A110" s="163"/>
      <c r="B110" s="163"/>
      <c r="C110" s="163"/>
      <c r="D110" s="163"/>
      <c r="E110" s="163"/>
      <c r="F110" s="163"/>
      <c r="G110" s="163"/>
      <c r="H110" s="163"/>
      <c r="I110" s="163"/>
      <c r="J110" s="163"/>
      <c r="K110" s="163"/>
      <c r="L110" s="163"/>
      <c r="M110" s="163"/>
      <c r="N110" s="163"/>
    </row>
    <row r="111" spans="1:14" x14ac:dyDescent="0.2">
      <c r="A111" s="163"/>
      <c r="B111" s="163"/>
      <c r="C111" s="163"/>
      <c r="D111" s="163"/>
      <c r="E111" s="163"/>
      <c r="F111" s="163"/>
      <c r="G111" s="163"/>
      <c r="H111" s="163"/>
      <c r="I111" s="163"/>
      <c r="J111" s="163"/>
      <c r="K111" s="163"/>
      <c r="L111" s="163"/>
      <c r="M111" s="163"/>
      <c r="N111" s="163"/>
    </row>
    <row r="112" spans="1:14" x14ac:dyDescent="0.2">
      <c r="A112" s="163"/>
      <c r="B112" s="163"/>
      <c r="C112" s="163"/>
      <c r="D112" s="163"/>
      <c r="E112" s="163"/>
      <c r="F112" s="163"/>
      <c r="G112" s="163"/>
      <c r="H112" s="163"/>
      <c r="I112" s="163"/>
      <c r="J112" s="163"/>
      <c r="K112" s="163"/>
      <c r="L112" s="163"/>
      <c r="M112" s="163"/>
      <c r="N112" s="163"/>
    </row>
    <row r="113" spans="1:14" x14ac:dyDescent="0.2">
      <c r="A113" s="163"/>
      <c r="B113" s="163"/>
      <c r="C113" s="163"/>
      <c r="D113" s="163"/>
      <c r="E113" s="163"/>
      <c r="F113" s="163"/>
      <c r="G113" s="163"/>
      <c r="H113" s="163"/>
      <c r="I113" s="163"/>
      <c r="J113" s="163"/>
      <c r="K113" s="163"/>
      <c r="L113" s="163"/>
      <c r="M113" s="163"/>
      <c r="N113" s="163"/>
    </row>
    <row r="114" spans="1:14" x14ac:dyDescent="0.2">
      <c r="A114" s="163"/>
      <c r="B114" s="163"/>
      <c r="C114" s="163"/>
      <c r="D114" s="163"/>
      <c r="E114" s="163"/>
      <c r="F114" s="163"/>
      <c r="G114" s="163"/>
      <c r="H114" s="163"/>
      <c r="I114" s="163"/>
      <c r="J114" s="163"/>
      <c r="K114" s="163"/>
      <c r="L114" s="163"/>
      <c r="M114" s="163"/>
      <c r="N114" s="163"/>
    </row>
    <row r="115" spans="1:14" x14ac:dyDescent="0.2">
      <c r="A115" s="163"/>
      <c r="B115" s="163"/>
      <c r="C115" s="163"/>
      <c r="D115" s="163"/>
      <c r="E115" s="163"/>
      <c r="F115" s="163"/>
      <c r="G115" s="163"/>
      <c r="H115" s="163"/>
      <c r="I115" s="163"/>
      <c r="J115" s="163"/>
      <c r="K115" s="163"/>
      <c r="L115" s="163"/>
      <c r="M115" s="163"/>
      <c r="N115" s="163"/>
    </row>
    <row r="116" spans="1:14" x14ac:dyDescent="0.2">
      <c r="A116" s="163"/>
      <c r="B116" s="163"/>
      <c r="C116" s="163"/>
      <c r="D116" s="163"/>
      <c r="E116" s="163"/>
      <c r="F116" s="163"/>
      <c r="G116" s="163"/>
      <c r="H116" s="163"/>
      <c r="I116" s="163"/>
      <c r="J116" s="163"/>
      <c r="K116" s="163"/>
      <c r="L116" s="163"/>
      <c r="M116" s="163"/>
      <c r="N116" s="163"/>
    </row>
    <row r="117" spans="1:14" x14ac:dyDescent="0.2">
      <c r="A117" s="163"/>
      <c r="B117" s="163"/>
      <c r="C117" s="163"/>
      <c r="D117" s="163"/>
      <c r="E117" s="163"/>
      <c r="F117" s="163"/>
      <c r="G117" s="163"/>
      <c r="H117" s="163"/>
      <c r="I117" s="163"/>
      <c r="J117" s="163"/>
      <c r="K117" s="163"/>
      <c r="L117" s="163"/>
      <c r="M117" s="163"/>
      <c r="N117" s="163"/>
    </row>
    <row r="118" spans="1:14" x14ac:dyDescent="0.2">
      <c r="A118" s="163"/>
      <c r="B118" s="163"/>
      <c r="C118" s="163"/>
      <c r="D118" s="163"/>
      <c r="E118" s="163"/>
      <c r="F118" s="163"/>
      <c r="G118" s="163"/>
      <c r="H118" s="163"/>
      <c r="I118" s="163"/>
      <c r="J118" s="163"/>
      <c r="K118" s="163"/>
      <c r="L118" s="163"/>
      <c r="M118" s="163"/>
      <c r="N118" s="163"/>
    </row>
  </sheetData>
  <pageMargins left="0.5" right="0.5" top="0.75" bottom="0.75" header="0.5" footer="0.5"/>
  <pageSetup scale="9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2018-12-04T08:00:00+00:00</OpenedDate>
    <SignificantOrder xmlns="dc463f71-b30c-4ab2-9473-d307f9d35888">false</SignificantOrder>
    <Date1 xmlns="dc463f71-b30c-4ab2-9473-d307f9d35888">2019-01-24T08:00:00+00:00</Date1>
    <IsDocumentOrder xmlns="dc463f71-b30c-4ab2-9473-d307f9d35888">false</IsDocumentOrder>
    <IsHighlyConfidential xmlns="dc463f71-b30c-4ab2-9473-d307f9d35888">false</IsHighlyConfidential>
    <CaseCompanyNames xmlns="dc463f71-b30c-4ab2-9473-d307f9d35888">RABANCO LTD</CaseCompanyNames>
    <Nickname xmlns="http://schemas.microsoft.com/sharepoint/v3" xsi:nil="true"/>
    <DocketNumber xmlns="dc463f71-b30c-4ab2-9473-d307f9d35888">181018</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5.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C23DF6FEDB2D74FA44E39AF69001E41" ma:contentTypeVersion="76" ma:contentTypeDescription="" ma:contentTypeScope="" ma:versionID="3b4c98cc5830eaa2f9a7eb409191429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A438F0-30EB-4E56-9016-77075FD02629}">
  <ds:schemaRefs>
    <ds:schemaRef ds:uri="http://schemas.microsoft.com/office/2006/metadata/properties"/>
    <ds:schemaRef ds:uri="http://purl.org/dc/elements/1.1/"/>
    <ds:schemaRef ds:uri="http://www.w3.org/XML/1998/namespace"/>
    <ds:schemaRef ds:uri="7429f450-94b4-4416-870d-2c1407281566"/>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573B80F2-960D-419D-A347-34120932AB14}">
  <ds:schemaRefs>
    <ds:schemaRef ds:uri="http://schemas.microsoft.com/sharepoint/v3/contenttype/forms"/>
  </ds:schemaRefs>
</ds:datastoreItem>
</file>

<file path=customXml/itemProps3.xml><?xml version="1.0" encoding="utf-8"?>
<ds:datastoreItem xmlns:ds="http://schemas.openxmlformats.org/officeDocument/2006/customXml" ds:itemID="{ADB7F713-2766-4B9D-ACB1-3D3069492FFA}">
  <ds:schemaRefs>
    <ds:schemaRef ds:uri="http://schemas.microsoft.com/office/2006/metadata/longProperties"/>
  </ds:schemaRefs>
</ds:datastoreItem>
</file>

<file path=customXml/itemProps4.xml><?xml version="1.0" encoding="utf-8"?>
<ds:datastoreItem xmlns:ds="http://schemas.openxmlformats.org/officeDocument/2006/customXml" ds:itemID="{B7FE4AB2-3DBF-4EA7-B0B0-8C28CD4A2086}"/>
</file>

<file path=customXml/itemProps5.xml><?xml version="1.0" encoding="utf-8"?>
<ds:datastoreItem xmlns:ds="http://schemas.openxmlformats.org/officeDocument/2006/customXml" ds:itemID="{127BE726-1BC7-4AB0-B6AA-F35EC17279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Staff Analysis</vt:lpstr>
      <vt:lpstr>181018 WUTC_AW of Lynnwood_MF</vt:lpstr>
      <vt:lpstr>181018 MF Value</vt:lpstr>
      <vt:lpstr>181018 WUTC_AW of Lynnwood_SF</vt:lpstr>
      <vt:lpstr>181018 SF Value</vt:lpstr>
      <vt:lpstr>Staff Calc return of carryover</vt:lpstr>
      <vt:lpstr>WUTC_AW of Lynnwood_SF</vt:lpstr>
      <vt:lpstr>Value (3)</vt:lpstr>
      <vt:lpstr>Commodity Tonnages (3)</vt:lpstr>
      <vt:lpstr>Pricing (3)</vt:lpstr>
      <vt:lpstr>Single Family (3)</vt:lpstr>
      <vt:lpstr>WUTC_AW of Lynnwood_MF</vt:lpstr>
      <vt:lpstr>Value (4)</vt:lpstr>
      <vt:lpstr>Pricing (4)</vt:lpstr>
      <vt:lpstr>Commodity Tonnages (4)</vt:lpstr>
      <vt:lpstr>Multi_Family (3)</vt:lpstr>
      <vt:lpstr>'Multi_Family (3)'!Print_Area</vt:lpstr>
      <vt:lpstr>'Pricing (3)'!Print_Area</vt:lpstr>
      <vt:lpstr>'Pricing (4)'!Print_Area</vt:lpstr>
      <vt:lpstr>'Single Family (3)'!Print_Area</vt:lpstr>
      <vt:lpstr>'Staff Analysis'!Print_Area</vt:lpstr>
      <vt:lpstr>'WUTC_AW of Lynnwood_MF'!Print_Area</vt:lpstr>
      <vt:lpstr>'WUTC_AW of Lynnwood_SF'!Print_Area</vt:lpstr>
      <vt:lpstr>'Multi_Family (3)'!Print_Titles</vt:lpstr>
      <vt:lpstr>'Single Family (3)'!Print_Titles</vt:lpstr>
    </vt:vector>
  </TitlesOfParts>
  <Company>Allied Waste Industries,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Fiorito Enterprises</dc:title>
  <dc:creator>JG00116</dc:creator>
  <cp:lastModifiedBy>Waldren, Rick</cp:lastModifiedBy>
  <cp:lastPrinted>2019-01-24T19:47:07Z</cp:lastPrinted>
  <dcterms:created xsi:type="dcterms:W3CDTF">2008-05-23T15:47:44Z</dcterms:created>
  <dcterms:modified xsi:type="dcterms:W3CDTF">2019-01-24T19:47:10Z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0x0101006E56B4D1795A2E4DB2F0B01679ED314A00DC23DF6FEDB2D74FA44E39AF69001E41</vt:lpwstr>
  </property>
  <property fmtid="{D5CDD505-2E9C-101B-9397-08002B2CF9AE}" pid="3" name="_docset_NoMedatataSyncRequired">
    <vt:lpwstr>False</vt:lpwstr>
  </property>
  <property fmtid="{D5CDD505-2E9C-101B-9397-08002B2CF9AE}" pid="4" name="IsEFSEC">
    <vt:bool>false</vt:bool>
  </property>
</Properties>
</file>