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UTC\2018-08-01 WUSF Petition\Tenino Telephone Company\"/>
    </mc:Choice>
  </mc:AlternateContent>
  <xr:revisionPtr revIDLastSave="0" documentId="13_ncr:1_{80AE1CDC-B598-470B-B009-EA9C29780B72}" xr6:coauthVersionLast="34" xr6:coauthVersionMax="34" xr10:uidLastSave="{00000000-0000-0000-0000-000000000000}"/>
  <bookViews>
    <workbookView xWindow="0" yWindow="0" windowWidth="22200" windowHeight="13230" xr2:uid="{00000000-000D-0000-FFFF-FFFF00000000}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79021"/>
</workbook>
</file>

<file path=xl/calcChain.xml><?xml version="1.0" encoding="utf-8"?>
<calcChain xmlns="http://schemas.openxmlformats.org/spreadsheetml/2006/main">
  <c r="D10" i="8" l="1"/>
  <c r="D11" i="8"/>
  <c r="C38" i="13" l="1"/>
  <c r="C35" i="13"/>
  <c r="D26" i="13" l="1"/>
  <c r="D21" i="13" l="1"/>
  <c r="C37" i="12"/>
  <c r="C38" i="1" l="1"/>
  <c r="C35" i="1"/>
  <c r="C13" i="1"/>
  <c r="G19" i="2"/>
  <c r="B10" i="2"/>
  <c r="C11" i="8"/>
  <c r="C10" i="8"/>
  <c r="E20" i="3" l="1"/>
  <c r="D20" i="3"/>
  <c r="F14" i="18" l="1"/>
  <c r="D10" i="2"/>
  <c r="D14" i="2" l="1"/>
  <c r="A3" i="5" l="1"/>
  <c r="I35" i="12" l="1"/>
  <c r="G35" i="5" s="1"/>
  <c r="I35" i="2"/>
  <c r="F35" i="5" s="1"/>
  <c r="D22" i="13" l="1"/>
  <c r="C22" i="13"/>
  <c r="D22" i="1"/>
  <c r="C22" i="1"/>
  <c r="B4" i="16" l="1"/>
  <c r="A3" i="17"/>
  <c r="B3" i="3"/>
  <c r="B3" i="10"/>
  <c r="B3" i="13"/>
  <c r="B3" i="1"/>
  <c r="B3" i="8"/>
  <c r="B3" i="18"/>
  <c r="A3" i="12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1" i="3" s="1"/>
  <c r="E9" i="13"/>
  <c r="E22" i="13" l="1"/>
  <c r="E51" i="13"/>
  <c r="E34" i="13"/>
  <c r="D16" i="10"/>
  <c r="D22" i="10" s="1"/>
  <c r="D23" i="13"/>
  <c r="D30" i="10"/>
  <c r="E15" i="13"/>
  <c r="D9" i="10"/>
  <c r="C29" i="13"/>
  <c r="C39" i="13" s="1"/>
  <c r="C54" i="13"/>
  <c r="C53" i="13"/>
  <c r="E23" i="13" l="1"/>
  <c r="D28" i="13"/>
  <c r="E26" i="13"/>
  <c r="C55" i="13"/>
  <c r="C47" i="13"/>
  <c r="C56" i="13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G43" i="5" s="1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8" i="12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1" i="8"/>
  <c r="E10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55" i="13"/>
  <c r="D47" i="13"/>
  <c r="D56" i="13"/>
  <c r="I47" i="12"/>
  <c r="I49" i="12" s="1"/>
  <c r="G46" i="5"/>
  <c r="D39" i="12"/>
  <c r="D49" i="12" s="1"/>
  <c r="C35" i="5"/>
  <c r="D34" i="2"/>
  <c r="B39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E22" i="3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5" i="2"/>
  <c r="D13" i="2"/>
  <c r="B10" i="5"/>
  <c r="D12" i="8"/>
  <c r="C12" i="8"/>
  <c r="F10" i="8"/>
  <c r="E23" i="1" l="1"/>
  <c r="C15" i="10"/>
  <c r="C23" i="10" s="1"/>
  <c r="D21" i="3"/>
  <c r="D22" i="3" s="1"/>
  <c r="C29" i="1"/>
  <c r="C39" i="1" s="1"/>
  <c r="G47" i="5"/>
  <c r="C39" i="5"/>
  <c r="D54" i="10"/>
  <c r="D53" i="10"/>
  <c r="E12" i="8"/>
  <c r="F12" i="8" s="1"/>
  <c r="D23" i="10"/>
  <c r="D29" i="10" s="1"/>
  <c r="C13" i="16" s="1"/>
  <c r="G38" i="5"/>
  <c r="G32" i="5"/>
  <c r="G20" i="5"/>
  <c r="C47" i="5"/>
  <c r="F38" i="5"/>
  <c r="F32" i="5"/>
  <c r="F20" i="5"/>
  <c r="F11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6" i="2"/>
  <c r="I46" i="2" s="1"/>
  <c r="F46" i="5" s="1"/>
  <c r="F47" i="5" s="1"/>
  <c r="F49" i="5" s="1"/>
  <c r="C47" i="1"/>
  <c r="C56" i="1"/>
  <c r="C55" i="1"/>
  <c r="H47" i="2"/>
  <c r="H49" i="2" s="1"/>
  <c r="D35" i="2"/>
  <c r="D39" i="10"/>
  <c r="D47" i="10" s="1"/>
  <c r="G49" i="2"/>
  <c r="B49" i="2"/>
  <c r="B47" i="5"/>
  <c r="G49" i="5"/>
  <c r="B25" i="5"/>
  <c r="C49" i="5"/>
  <c r="D16" i="16" l="1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E54" i="1" l="1"/>
  <c r="E53" i="1"/>
  <c r="E29" i="1"/>
  <c r="C54" i="10"/>
  <c r="C53" i="10"/>
  <c r="C29" i="10"/>
  <c r="E38" i="1"/>
  <c r="D39" i="2"/>
  <c r="D49" i="2" s="1"/>
  <c r="B35" i="5"/>
  <c r="B39" i="5" s="1"/>
  <c r="B49" i="5" s="1"/>
  <c r="E39" i="1" l="1"/>
  <c r="C12" i="16"/>
  <c r="C16" i="16" s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<sst xmlns="http://schemas.openxmlformats.org/spreadsheetml/2006/main" count="637" uniqueCount="273">
  <si>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</si>
  <si>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</si>
  <si>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</si>
  <si>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</si>
  <si>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</si>
  <si>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</si>
  <si>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</si>
  <si>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</si>
  <si>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</si>
  <si>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</si>
  <si>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</si>
  <si>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</si>
  <si>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</si>
  <si>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</si>
  <si>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</si>
  <si>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</si>
  <si>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</si>
  <si>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</si>
  <si>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</si>
  <si>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</si>
  <si>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</si>
  <si>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</si>
  <si>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</si>
  <si>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</si>
  <si>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</si>
  <si>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</si>
  <si>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</si>
  <si>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</si>
  <si>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</si>
  <si>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</si>
  <si>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</si>
  <si>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</si>
  <si>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</si>
  <si>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</si>
  <si>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</si>
  <si>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</si>
  <si>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</si>
  <si>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</si>
  <si>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</si>
  <si>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</si>
  <si>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</si>
  <si>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</si>
  <si>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</si>
  <si>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</si>
  <si>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</si>
  <si>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</si>
  <si>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</si>
  <si>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</si>
  <si>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</si>
  <si>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</si>
  <si>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</si>
  <si>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</si>
  <si>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</si>
  <si>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</si>
  <si>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</si>
  <si>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</si>
  <si>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</si>
  <si>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</si>
  <si>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</si>
  <si>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</si>
  <si>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</si>
  <si>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</si>
  <si>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</si>
  <si>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</si>
  <si>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</si>
  <si>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</si>
  <si>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</si>
  <si>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</si>
  <si>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</si>
  <si>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</si>
  <si>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</si>
  <si>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</si>
  <si>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</si>
  <si>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</si>
  <si>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</si>
  <si>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</si>
  <si>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</si>
  <si>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</si>
  <si>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</si>
  <si>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</si>
  <si>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</si>
  <si>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</si>
  <si>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</si>
  <si>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</si>
  <si>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</si>
  <si>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</si>
  <si>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</si>
  <si>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</si>
  <si>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</si>
  <si>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</si>
  <si>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</si>
  <si>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</si>
  <si>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</si>
  <si>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</si>
  <si>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</si>
  <si>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</si>
  <si>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</si>
  <si>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</si>
  <si>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</si>
  <si>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</si>
  <si>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</si>
  <si>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</si>
  <si>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</si>
  <si>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</si>
  <si>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</si>
  <si>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</si>
  <si>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</si>
  <si>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</si>
  <si>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</si>
  <si>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</si>
  <si>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</si>
  <si>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</si>
  <si>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</si>
  <si>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Materials &amp; Supplies</t>
  </si>
  <si>
    <t>Total Regulated Adjusted Accumulated Depreciation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</si>
  <si>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</si>
  <si>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</si>
  <si>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</si>
  <si>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</si>
  <si>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</si>
  <si>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</si>
  <si>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</si>
  <si>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</si>
  <si>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</si>
  <si>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</si>
  <si>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</si>
  <si>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</si>
  <si>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</si>
  <si>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</si>
  <si>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</si>
  <si>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</si>
  <si>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</si>
  <si>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</si>
  <si>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</si>
  <si>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</si>
  <si>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</si>
  <si>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</si>
  <si>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</si>
  <si>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</si>
  <si>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</si>
  <si>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</si>
  <si>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</si>
  <si>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</si>
  <si>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</si>
  <si>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</si>
  <si>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</si>
  <si>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</si>
  <si>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</si>
  <si>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</si>
  <si>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</si>
  <si>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</si>
  <si>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</si>
  <si>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</si>
  <si>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</si>
  <si>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</si>
  <si>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</si>
  <si>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</si>
  <si>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</si>
  <si>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</si>
  <si>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</si>
  <si>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</si>
  <si>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</si>
  <si>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</si>
  <si>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</si>
  <si>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</si>
  <si>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</si>
  <si>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</si>
  <si>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</si>
  <si>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</si>
  <si>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</si>
  <si>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</si>
  <si>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</si>
  <si>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</si>
  <si>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</si>
  <si>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</si>
  <si>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</si>
  <si>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</si>
  <si>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</si>
  <si>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</si>
  <si>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</si>
  <si>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</si>
  <si>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</si>
  <si>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</si>
  <si>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</si>
  <si>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</si>
  <si>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</si>
  <si>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</si>
  <si>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</si>
  <si>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</si>
  <si>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</si>
  <si>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</si>
  <si>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</si>
  <si>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</si>
  <si>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</si>
  <si>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</si>
  <si>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</si>
  <si>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</si>
  <si>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</si>
  <si>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</si>
  <si>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</si>
  <si>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</si>
  <si>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</si>
  <si>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</si>
  <si>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</si>
  <si>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</si>
  <si>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explain.</t>
  </si>
  <si>
    <t>OOP or PF?</t>
  </si>
  <si>
    <t>Pro Forma (PF)Adjustment for Current Year Petition or Reversing from Prior Year</t>
  </si>
  <si>
    <t>Column A to be completed by Company,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</si>
  <si>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</si>
  <si>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</si>
  <si>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</si>
  <si>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</si>
  <si>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</si>
  <si>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 xml:space="preserve">Column B should equal Column A, but may </t>
  </si>
  <si>
    <t>include any Staff Adjustments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</si>
  <si>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</si>
  <si>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</si>
  <si>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</si>
  <si>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</si>
  <si>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</si>
  <si>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</si>
  <si>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</si>
  <si>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</si>
  <si>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</si>
  <si>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</si>
  <si>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</si>
  <si>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</si>
  <si>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</si>
  <si>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>2016 (A)</t>
  </si>
  <si>
    <t>2016 (B)</t>
  </si>
  <si>
    <t xml:space="preserve">49. Other Deferred Credits </t>
  </si>
  <si>
    <t>58. Retained Earnings or Margins</t>
  </si>
  <si>
    <t>Balance 2016</t>
  </si>
  <si>
    <t>Balance - 2016</t>
  </si>
  <si>
    <t>2016</t>
  </si>
  <si>
    <t>2016 (C)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</si>
  <si>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</si>
  <si>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</si>
  <si>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</si>
  <si>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</si>
  <si>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</si>
  <si>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</si>
  <si>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</si>
  <si>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</si>
  <si>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2017 (A)</t>
  </si>
  <si>
    <t>2017 (B)</t>
  </si>
  <si>
    <t>2017 (C)</t>
  </si>
  <si>
    <t>Balance 2017</t>
  </si>
  <si>
    <t>1. Normal balance of deferred operating income taxes and</t>
  </si>
  <si>
    <t xml:space="preserve">2. Deferred Income Taxes (Line 5) may not equal the  </t>
  </si>
  <si>
    <t>3. Adjusted balance includes Part 64 adjustments</t>
  </si>
  <si>
    <t xml:space="preserve">Balance Sheet Deferred Income Taxes (Line 48) if the later </t>
  </si>
  <si>
    <t>includes non-operating.</t>
  </si>
  <si>
    <t>Balance - 2017</t>
  </si>
  <si>
    <t>If 2016 does not equal last year's petition and template,</t>
  </si>
  <si>
    <t>*</t>
  </si>
  <si>
    <t>Deferred Income Taxes (CR) * - Manually input</t>
  </si>
  <si>
    <t>2017</t>
  </si>
  <si>
    <r>
      <t xml:space="preserve">Description of Out-of-Period (OOP) - 2017 (As Recorded) </t>
    </r>
    <r>
      <rPr>
        <b/>
        <sz val="11"/>
        <color theme="1"/>
        <rFont val="Calibri"/>
        <family val="2"/>
        <scheme val="minor"/>
      </rPr>
      <t>OR</t>
    </r>
  </si>
  <si>
    <t>Company</t>
  </si>
  <si>
    <t>Staff</t>
  </si>
  <si>
    <t xml:space="preserve">Out-of-Period Adjustments Net of FIT </t>
  </si>
  <si>
    <t>50. Other Jurisdictional Differences</t>
  </si>
  <si>
    <t>after Part 64 adjustments.</t>
  </si>
  <si>
    <t>Total Regulated Adjusted Telecom Plant-In-Service</t>
  </si>
  <si>
    <t xml:space="preserve">S Corps provide effective tax rate from Cost study on Page 9, Income Statement  </t>
  </si>
  <si>
    <t>Total Fixed Charges (22+23+24+25)</t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</si>
  <si>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</t>
    </r>
    <r>
      <rPr>
        <sz val="11"/>
        <color theme="1"/>
        <rFont val="Calibri"/>
        <family val="2"/>
        <scheme val="minor"/>
      </rPr>
      <t>)</t>
    </r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</si>
  <si>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Credit)</t>
    </r>
  </si>
  <si>
    <t>Federal USF (ACAM or BLS)</t>
  </si>
  <si>
    <t>Federal USF (except CAF and ACAM/BLS)</t>
  </si>
  <si>
    <t>Tenino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</si>
</sst>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0" fontId="0" fillId="0" borderId="5" xfId="0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 xr:uid="{00000000-0005-0000-0000-000001000000}"/>
    <cellStyle name="Comma 2" xfId="4" xr:uid="{00000000-0005-0000-0000-000002000000}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E17"/>
  <sheetViews>
    <sheetView tabSelected="1" zoomScaleNormal="100" workbookViewId="0"/>
  </sheetViews>
  <sheetFormatPr defaultRowHeight="15" x14ac:dyDescent="0.25"/>
  <cols>
    <col min="1" max="1" width="118.7109375" customWidth="1"/>
  </cols>
  <sheetData>
    <row r="13" spans="1:5" ht="23.25" x14ac:dyDescent="0.35">
      <c r="A13" s="105" t="s">
        <v>201</v>
      </c>
      <c r="B13" s="47"/>
      <c r="C13" s="47"/>
      <c r="D13" s="47"/>
      <c r="E13" s="47"/>
    </row>
    <row r="14" spans="1:5" x14ac:dyDescent="0.25">
      <c r="A14" s="47"/>
      <c r="B14" s="47"/>
      <c r="C14" s="47"/>
      <c r="D14" s="47"/>
      <c r="E14" s="47"/>
    </row>
    <row r="15" spans="1:5" ht="23.25" x14ac:dyDescent="0.35">
      <c r="A15" s="105" t="s">
        <v>202</v>
      </c>
      <c r="B15" s="47"/>
      <c r="C15" s="47"/>
      <c r="D15" s="47"/>
      <c r="E15" s="47"/>
    </row>
    <row r="16" spans="1:5" x14ac:dyDescent="0.25">
      <c r="A16" s="47"/>
      <c r="B16" s="47"/>
      <c r="C16" s="47"/>
      <c r="D16" s="47"/>
      <c r="E16" s="47"/>
    </row>
    <row r="17" spans="1:5" ht="23.25" x14ac:dyDescent="0.35">
      <c r="A17" s="105" t="s">
        <v>203</v>
      </c>
      <c r="B17" s="47"/>
      <c r="C17" s="47"/>
      <c r="D17" s="47"/>
      <c r="E17" s="47"/>
    </row>
  </sheetData>
  <pageMargins left="0.7" right="0.7" top="0.75" bottom="0.75" header="0.3" footer="0.3"/>
  <pageSetup orientation="portrait" r:id="rId1"/>
  <headerFoot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E36"/>
  <sheetViews>
    <sheetView zoomScaleNormal="100" workbookViewId="0">
      <selection activeCell="E23" sqref="E23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160</v>
      </c>
    </row>
    <row r="3" spans="1:5" x14ac:dyDescent="0.25">
      <c r="B3" s="57" t="str">
        <f>PriorYearBalanceSheet!A3</f>
        <v>Tenino Telephone Company</v>
      </c>
      <c r="C3" s="65"/>
      <c r="D3" s="65"/>
      <c r="E3" s="65"/>
    </row>
    <row r="4" spans="1:5" x14ac:dyDescent="0.25">
      <c r="B4" s="65"/>
      <c r="C4" s="65"/>
      <c r="D4" s="65"/>
      <c r="E4" s="65"/>
    </row>
    <row r="5" spans="1:5" x14ac:dyDescent="0.25">
      <c r="B5" s="65"/>
      <c r="C5" s="65"/>
      <c r="D5" s="65"/>
      <c r="E5" s="65"/>
    </row>
    <row r="6" spans="1:5" x14ac:dyDescent="0.25">
      <c r="A6" s="6"/>
      <c r="B6" s="6"/>
      <c r="C6" s="6"/>
      <c r="D6" s="9" t="s">
        <v>72</v>
      </c>
      <c r="E6" s="23" t="s">
        <v>111</v>
      </c>
    </row>
    <row r="7" spans="1:5" x14ac:dyDescent="0.25">
      <c r="A7" s="17" t="s">
        <v>0</v>
      </c>
      <c r="B7" s="10" t="s">
        <v>147</v>
      </c>
      <c r="C7" s="10" t="s">
        <v>135</v>
      </c>
      <c r="D7" s="10">
        <v>2016</v>
      </c>
      <c r="E7" s="4">
        <v>2017</v>
      </c>
    </row>
    <row r="8" spans="1:5" x14ac:dyDescent="0.25">
      <c r="A8" s="19"/>
      <c r="B8" s="19"/>
      <c r="C8" s="11" t="s">
        <v>136</v>
      </c>
      <c r="D8" s="25"/>
      <c r="E8" s="29"/>
    </row>
    <row r="9" spans="1:5" x14ac:dyDescent="0.25">
      <c r="A9" s="9">
        <v>1</v>
      </c>
      <c r="B9" s="6" t="s">
        <v>137</v>
      </c>
      <c r="C9" s="27" t="s">
        <v>138</v>
      </c>
      <c r="D9" s="55">
        <v>372956</v>
      </c>
      <c r="E9" s="55">
        <v>369710</v>
      </c>
    </row>
    <row r="10" spans="1:5" x14ac:dyDescent="0.25">
      <c r="A10" s="10">
        <v>2</v>
      </c>
      <c r="B10" s="44" t="s">
        <v>139</v>
      </c>
      <c r="C10" s="28" t="s">
        <v>140</v>
      </c>
      <c r="D10" s="44"/>
      <c r="E10" s="44"/>
    </row>
    <row r="11" spans="1:5" x14ac:dyDescent="0.25">
      <c r="A11" s="10" t="s">
        <v>175</v>
      </c>
      <c r="B11" s="17" t="s">
        <v>141</v>
      </c>
      <c r="C11" s="10"/>
      <c r="D11" s="52">
        <v>78597</v>
      </c>
      <c r="E11" s="52">
        <v>61203</v>
      </c>
    </row>
    <row r="12" spans="1:5" x14ac:dyDescent="0.25">
      <c r="A12" s="10" t="s">
        <v>176</v>
      </c>
      <c r="B12" s="17" t="s">
        <v>200</v>
      </c>
      <c r="C12" s="10"/>
      <c r="D12" s="52">
        <v>305877</v>
      </c>
      <c r="E12" s="52">
        <v>499839</v>
      </c>
    </row>
    <row r="13" spans="1:5" x14ac:dyDescent="0.25">
      <c r="A13" s="10">
        <v>3</v>
      </c>
      <c r="B13" s="44" t="s">
        <v>143</v>
      </c>
      <c r="C13" s="10">
        <v>5083</v>
      </c>
      <c r="D13" s="44"/>
      <c r="E13" s="44"/>
    </row>
    <row r="14" spans="1:5" x14ac:dyDescent="0.25">
      <c r="A14" s="10" t="s">
        <v>177</v>
      </c>
      <c r="B14" s="17" t="s">
        <v>141</v>
      </c>
      <c r="C14" s="10"/>
      <c r="D14" s="52">
        <v>2819</v>
      </c>
      <c r="E14" s="52">
        <v>4422</v>
      </c>
    </row>
    <row r="15" spans="1:5" x14ac:dyDescent="0.25">
      <c r="A15" s="10" t="s">
        <v>178</v>
      </c>
      <c r="B15" s="17" t="s">
        <v>142</v>
      </c>
      <c r="C15" s="10"/>
      <c r="D15" s="52">
        <v>468706</v>
      </c>
      <c r="E15" s="52">
        <v>438921</v>
      </c>
    </row>
    <row r="16" spans="1:5" x14ac:dyDescent="0.25">
      <c r="A16" s="10">
        <v>4</v>
      </c>
      <c r="B16" s="17" t="s">
        <v>271</v>
      </c>
      <c r="C16" s="10" t="s">
        <v>144</v>
      </c>
      <c r="D16" s="52">
        <v>1010793</v>
      </c>
      <c r="E16" s="52">
        <v>36464</v>
      </c>
    </row>
    <row r="17" spans="1:5" x14ac:dyDescent="0.25">
      <c r="A17" s="10">
        <v>5</v>
      </c>
      <c r="B17" s="17" t="s">
        <v>270</v>
      </c>
      <c r="C17" s="10" t="s">
        <v>144</v>
      </c>
      <c r="D17" s="52"/>
      <c r="E17" s="52">
        <v>703080</v>
      </c>
    </row>
    <row r="18" spans="1:5" x14ac:dyDescent="0.25">
      <c r="A18" s="10">
        <v>6</v>
      </c>
      <c r="B18" s="17" t="s">
        <v>190</v>
      </c>
      <c r="C18" s="10" t="s">
        <v>144</v>
      </c>
      <c r="D18" s="52">
        <v>226222</v>
      </c>
      <c r="E18" s="52">
        <v>255150</v>
      </c>
    </row>
    <row r="19" spans="1:5" x14ac:dyDescent="0.25">
      <c r="A19" s="10">
        <v>7</v>
      </c>
      <c r="B19" s="17" t="s">
        <v>163</v>
      </c>
      <c r="C19" s="11"/>
      <c r="D19" s="53">
        <v>82</v>
      </c>
      <c r="E19" s="53">
        <v>217</v>
      </c>
    </row>
    <row r="20" spans="1:5" x14ac:dyDescent="0.25">
      <c r="A20" s="10">
        <v>8</v>
      </c>
      <c r="B20" s="17" t="s">
        <v>145</v>
      </c>
      <c r="C20" s="6"/>
      <c r="D20" s="35">
        <f>D9+D11+D12+D14+D15+D16++D17+D18+D19</f>
        <v>2466052</v>
      </c>
      <c r="E20" s="35">
        <f>E9+E11+E12+E14+E15+E16++E17+E18+E19</f>
        <v>2369006</v>
      </c>
    </row>
    <row r="21" spans="1:5" x14ac:dyDescent="0.25">
      <c r="A21" s="10">
        <v>9</v>
      </c>
      <c r="B21" s="18" t="s">
        <v>150</v>
      </c>
      <c r="C21" s="17"/>
      <c r="D21" s="37">
        <f>IncomeStmtSummary!C10</f>
        <v>2466052</v>
      </c>
      <c r="E21" s="37">
        <f>IncomeStmtSummary!D10</f>
        <v>2369006</v>
      </c>
    </row>
    <row r="22" spans="1:5" ht="15.75" thickBot="1" x14ac:dyDescent="0.3">
      <c r="A22" s="11">
        <v>10</v>
      </c>
      <c r="B22" s="51" t="s">
        <v>125</v>
      </c>
      <c r="C22" s="19"/>
      <c r="D22" s="50">
        <f>D20-D21</f>
        <v>0</v>
      </c>
      <c r="E22" s="34">
        <f>E20-E21</f>
        <v>0</v>
      </c>
    </row>
    <row r="23" spans="1:5" ht="15.75" thickTop="1" x14ac:dyDescent="0.25">
      <c r="B23" s="71" t="s">
        <v>179</v>
      </c>
      <c r="C23" s="65"/>
      <c r="D23" s="65"/>
      <c r="E23" s="65"/>
    </row>
    <row r="24" spans="1:5" x14ac:dyDescent="0.25">
      <c r="B24" t="s">
        <v>164</v>
      </c>
      <c r="C24" s="65"/>
      <c r="D24" s="65"/>
      <c r="E24" s="65"/>
    </row>
    <row r="25" spans="1:5" x14ac:dyDescent="0.25">
      <c r="B25" t="s">
        <v>165</v>
      </c>
      <c r="C25" s="65"/>
      <c r="D25" s="65"/>
      <c r="E25" s="65"/>
    </row>
    <row r="26" spans="1:5" x14ac:dyDescent="0.25">
      <c r="A26" s="65"/>
      <c r="B26" s="65"/>
      <c r="C26" s="65"/>
      <c r="D26" s="65"/>
      <c r="E26" s="65"/>
    </row>
    <row r="27" spans="1:5" x14ac:dyDescent="0.25">
      <c r="A27" s="65"/>
      <c r="B27" s="65"/>
      <c r="C27" s="65"/>
      <c r="D27" s="65"/>
      <c r="E27" s="65"/>
    </row>
    <row r="28" spans="1:5" x14ac:dyDescent="0.25">
      <c r="A28" s="65"/>
      <c r="B28" s="65"/>
      <c r="C28" s="65"/>
      <c r="D28" s="65"/>
      <c r="E28" s="65"/>
    </row>
    <row r="29" spans="1:5" x14ac:dyDescent="0.25">
      <c r="A29" s="65"/>
      <c r="B29" s="65"/>
      <c r="C29" s="65"/>
      <c r="D29" s="65"/>
      <c r="E29" s="65"/>
    </row>
    <row r="30" spans="1:5" x14ac:dyDescent="0.25">
      <c r="A30" s="65"/>
      <c r="B30" s="65"/>
      <c r="C30" s="65"/>
      <c r="D30" s="65"/>
      <c r="E30" s="65"/>
    </row>
    <row r="31" spans="1:5" x14ac:dyDescent="0.25">
      <c r="A31" s="65"/>
      <c r="B31" s="65"/>
      <c r="C31" s="65"/>
      <c r="D31" s="65"/>
      <c r="E31" s="65"/>
    </row>
    <row r="32" spans="1:5" x14ac:dyDescent="0.25">
      <c r="A32" s="65"/>
      <c r="B32" s="65"/>
      <c r="C32" s="65"/>
      <c r="D32" s="65"/>
      <c r="E32" s="65"/>
    </row>
    <row r="33" spans="1:5" x14ac:dyDescent="0.25">
      <c r="A33" s="65"/>
      <c r="B33" s="65"/>
      <c r="C33" s="65"/>
      <c r="D33" s="65"/>
      <c r="E33" s="65"/>
    </row>
    <row r="34" spans="1:5" x14ac:dyDescent="0.25">
      <c r="A34" s="65"/>
      <c r="B34" s="65"/>
      <c r="C34" s="65"/>
      <c r="D34" s="65"/>
      <c r="E34" s="65"/>
    </row>
    <row r="35" spans="1:5" x14ac:dyDescent="0.25">
      <c r="A35" s="65"/>
      <c r="B35" s="65"/>
      <c r="C35" s="65"/>
      <c r="D35" s="65"/>
      <c r="E35" s="65"/>
    </row>
    <row r="36" spans="1:5" x14ac:dyDescent="0.25">
      <c r="A36" s="65"/>
      <c r="B36" s="65"/>
      <c r="C36" s="65"/>
      <c r="D36" s="65"/>
      <c r="E36" s="65"/>
    </row>
  </sheetData>
  <sheetProtection algorithmName="SHA-512" hashValue="PlOXWwvTDY3VH9ZmY3Rd18S6DNtlA2scfXUtp/ajXKz7l9fGag6Z4yA4LccsNzVXdVMl+AnCXxluoRMkdVCEhQ==" saltValue="/yKxuq1nk9ZCwsQat+jN8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50"/>
  <sheetViews>
    <sheetView zoomScaleNormal="100" workbookViewId="0">
      <selection activeCell="A17" sqref="A17"/>
    </sheetView>
  </sheetViews>
  <sheetFormatPr defaultRowHeight="15" x14ac:dyDescent="0.25"/>
  <cols>
    <col min="1" max="1" width="73.5703125" customWidth="1"/>
    <col min="2" max="2" width="8.85546875" customWidth="1"/>
    <col min="3" max="3" width="14.7109375" customWidth="1"/>
    <col min="4" max="5" width="12.7109375" customWidth="1"/>
  </cols>
  <sheetData>
    <row r="2" spans="1:5" x14ac:dyDescent="0.25">
      <c r="A2" s="72" t="s">
        <v>160</v>
      </c>
      <c r="B2" s="72"/>
    </row>
    <row r="3" spans="1:5" x14ac:dyDescent="0.25">
      <c r="A3" s="57" t="str">
        <f>PriorYearBalanceSheet!A3</f>
        <v>Tenino Telephone Company</v>
      </c>
      <c r="B3" s="66"/>
    </row>
    <row r="6" spans="1:5" x14ac:dyDescent="0.25">
      <c r="A6" s="9" t="s">
        <v>259</v>
      </c>
      <c r="B6" s="9" t="s">
        <v>212</v>
      </c>
      <c r="C6" s="6"/>
      <c r="D6" s="122" t="s">
        <v>186</v>
      </c>
      <c r="E6" s="123"/>
    </row>
    <row r="7" spans="1:5" x14ac:dyDescent="0.25">
      <c r="A7" s="11" t="s">
        <v>207</v>
      </c>
      <c r="B7" s="11"/>
      <c r="C7" s="11" t="s">
        <v>206</v>
      </c>
      <c r="D7" s="110" t="s">
        <v>192</v>
      </c>
      <c r="E7" s="5" t="s">
        <v>193</v>
      </c>
    </row>
    <row r="8" spans="1:5" x14ac:dyDescent="0.25">
      <c r="A8" s="6"/>
      <c r="B8" s="6"/>
      <c r="C8" s="6"/>
      <c r="D8" s="9"/>
      <c r="E8" s="9"/>
    </row>
    <row r="9" spans="1:5" x14ac:dyDescent="0.25">
      <c r="A9" s="17" t="s">
        <v>187</v>
      </c>
      <c r="B9" s="17"/>
      <c r="C9" s="17"/>
      <c r="D9" s="114"/>
      <c r="E9" s="114"/>
    </row>
    <row r="10" spans="1:5" x14ac:dyDescent="0.25">
      <c r="A10" s="17"/>
      <c r="B10" s="17"/>
      <c r="C10" s="17"/>
      <c r="D10" s="114"/>
      <c r="E10" s="114"/>
    </row>
    <row r="11" spans="1:5" x14ac:dyDescent="0.25">
      <c r="A11" s="17"/>
      <c r="B11" s="17"/>
      <c r="C11" s="17"/>
      <c r="D11" s="114"/>
      <c r="E11" s="114"/>
    </row>
    <row r="12" spans="1:5" x14ac:dyDescent="0.25">
      <c r="A12" s="17"/>
      <c r="B12" s="17"/>
      <c r="C12" s="17"/>
      <c r="D12" s="114"/>
      <c r="E12" s="114"/>
    </row>
    <row r="13" spans="1:5" x14ac:dyDescent="0.25">
      <c r="A13" s="19"/>
      <c r="B13" s="19"/>
      <c r="C13" s="19"/>
      <c r="D13" s="115"/>
      <c r="E13" s="115"/>
    </row>
    <row r="14" spans="1:5" x14ac:dyDescent="0.25">
      <c r="A14" s="17" t="s">
        <v>188</v>
      </c>
      <c r="B14" s="17"/>
      <c r="C14" s="17"/>
      <c r="D14" s="114"/>
      <c r="E14" s="114"/>
    </row>
    <row r="15" spans="1:5" x14ac:dyDescent="0.25">
      <c r="A15" s="17"/>
      <c r="B15" s="17"/>
      <c r="C15" s="17"/>
      <c r="D15" s="114"/>
      <c r="E15" s="114"/>
    </row>
    <row r="16" spans="1:5" x14ac:dyDescent="0.25">
      <c r="A16" s="17"/>
      <c r="B16" s="17"/>
      <c r="C16" s="17"/>
      <c r="D16" s="114"/>
      <c r="E16" s="114"/>
    </row>
    <row r="17" spans="1:5" x14ac:dyDescent="0.25">
      <c r="A17" s="17"/>
      <c r="B17" s="17"/>
      <c r="C17" s="17"/>
      <c r="D17" s="114"/>
      <c r="E17" s="114"/>
    </row>
    <row r="18" spans="1:5" x14ac:dyDescent="0.25">
      <c r="A18" s="19"/>
      <c r="B18" s="19"/>
      <c r="C18" s="19"/>
      <c r="D18" s="115"/>
      <c r="E18" s="115"/>
    </row>
    <row r="19" spans="1:5" x14ac:dyDescent="0.25">
      <c r="A19" s="17" t="s">
        <v>189</v>
      </c>
      <c r="B19" s="17"/>
      <c r="C19" s="17"/>
      <c r="D19" s="114"/>
      <c r="E19" s="114"/>
    </row>
    <row r="20" spans="1:5" x14ac:dyDescent="0.25">
      <c r="A20" s="17"/>
      <c r="B20" s="17"/>
      <c r="C20" s="17"/>
      <c r="D20" s="114"/>
      <c r="E20" s="114"/>
    </row>
    <row r="21" spans="1:5" x14ac:dyDescent="0.25">
      <c r="A21" s="17"/>
      <c r="B21" s="17"/>
      <c r="C21" s="17"/>
      <c r="D21" s="114"/>
      <c r="E21" s="114"/>
    </row>
    <row r="22" spans="1:5" x14ac:dyDescent="0.25">
      <c r="A22" s="17"/>
      <c r="B22" s="17"/>
      <c r="C22" s="17"/>
      <c r="D22" s="114"/>
      <c r="E22" s="114"/>
    </row>
    <row r="23" spans="1:5" x14ac:dyDescent="0.25">
      <c r="A23" s="19"/>
      <c r="B23" s="19"/>
      <c r="C23" s="19"/>
      <c r="D23" s="115"/>
      <c r="E23" s="115"/>
    </row>
    <row r="24" spans="1:5" x14ac:dyDescent="0.25">
      <c r="A24" s="17" t="s">
        <v>194</v>
      </c>
      <c r="B24" s="17"/>
      <c r="C24" s="17"/>
      <c r="D24" s="114"/>
      <c r="E24" s="114"/>
    </row>
    <row r="25" spans="1:5" x14ac:dyDescent="0.25">
      <c r="A25" s="17"/>
      <c r="B25" s="17"/>
      <c r="C25" s="17"/>
      <c r="D25" s="114"/>
      <c r="E25" s="114"/>
    </row>
    <row r="26" spans="1:5" x14ac:dyDescent="0.25">
      <c r="A26" s="17"/>
      <c r="B26" s="17"/>
      <c r="C26" s="17"/>
      <c r="D26" s="114"/>
      <c r="E26" s="114"/>
    </row>
    <row r="27" spans="1:5" x14ac:dyDescent="0.25">
      <c r="A27" s="17"/>
      <c r="B27" s="17"/>
      <c r="C27" s="17"/>
      <c r="D27" s="114"/>
      <c r="E27" s="114"/>
    </row>
    <row r="28" spans="1:5" x14ac:dyDescent="0.25">
      <c r="A28" s="19"/>
      <c r="B28" s="19"/>
      <c r="C28" s="19"/>
      <c r="D28" s="115"/>
      <c r="E28" s="115"/>
    </row>
    <row r="29" spans="1:5" x14ac:dyDescent="0.25">
      <c r="A29" s="17" t="s">
        <v>213</v>
      </c>
      <c r="B29" s="17"/>
      <c r="C29" s="17"/>
      <c r="D29" s="114"/>
      <c r="E29" s="114"/>
    </row>
    <row r="30" spans="1:5" x14ac:dyDescent="0.25">
      <c r="A30" s="17"/>
      <c r="B30" s="17"/>
      <c r="C30" s="17"/>
      <c r="D30" s="114"/>
      <c r="E30" s="114"/>
    </row>
    <row r="31" spans="1:5" x14ac:dyDescent="0.25">
      <c r="A31" s="17"/>
      <c r="B31" s="17"/>
      <c r="C31" s="17"/>
      <c r="D31" s="114"/>
      <c r="E31" s="114"/>
    </row>
    <row r="32" spans="1:5" x14ac:dyDescent="0.25">
      <c r="A32" s="17"/>
      <c r="B32" s="17"/>
      <c r="C32" s="17"/>
      <c r="D32" s="114"/>
      <c r="E32" s="114"/>
    </row>
    <row r="33" spans="1:5" x14ac:dyDescent="0.25">
      <c r="A33" s="19"/>
      <c r="B33" s="19"/>
      <c r="C33" s="19"/>
      <c r="D33" s="115"/>
      <c r="E33" s="115"/>
    </row>
    <row r="34" spans="1:5" x14ac:dyDescent="0.25">
      <c r="D34" s="108"/>
      <c r="E34" s="108"/>
    </row>
    <row r="35" spans="1:5" x14ac:dyDescent="0.25">
      <c r="D35" s="108"/>
      <c r="E35" s="108"/>
    </row>
    <row r="36" spans="1:5" x14ac:dyDescent="0.25">
      <c r="D36" s="108"/>
      <c r="E36" s="108"/>
    </row>
    <row r="37" spans="1:5" x14ac:dyDescent="0.25">
      <c r="D37" s="108"/>
      <c r="E37" s="108"/>
    </row>
    <row r="38" spans="1:5" x14ac:dyDescent="0.25">
      <c r="D38" s="108"/>
      <c r="E38" s="108"/>
    </row>
    <row r="39" spans="1:5" x14ac:dyDescent="0.25">
      <c r="D39" s="108"/>
      <c r="E39" s="108"/>
    </row>
    <row r="40" spans="1:5" x14ac:dyDescent="0.25">
      <c r="D40" s="108"/>
      <c r="E40" s="108"/>
    </row>
    <row r="41" spans="1:5" x14ac:dyDescent="0.25">
      <c r="D41" s="108"/>
      <c r="E41" s="108"/>
    </row>
    <row r="42" spans="1:5" x14ac:dyDescent="0.25">
      <c r="D42" s="108"/>
      <c r="E42" s="108"/>
    </row>
    <row r="43" spans="1:5" x14ac:dyDescent="0.25">
      <c r="D43" s="108"/>
      <c r="E43" s="108"/>
    </row>
    <row r="44" spans="1:5" x14ac:dyDescent="0.25">
      <c r="D44" s="108"/>
      <c r="E44" s="108"/>
    </row>
    <row r="45" spans="1:5" x14ac:dyDescent="0.25">
      <c r="D45" s="108"/>
      <c r="E45" s="108"/>
    </row>
    <row r="46" spans="1:5" x14ac:dyDescent="0.25">
      <c r="D46" s="108"/>
      <c r="E46" s="108"/>
    </row>
    <row r="47" spans="1:5" x14ac:dyDescent="0.25">
      <c r="D47" s="108"/>
      <c r="E47" s="108"/>
    </row>
    <row r="48" spans="1:5" x14ac:dyDescent="0.25">
      <c r="D48" s="108"/>
      <c r="E48" s="108"/>
    </row>
    <row r="49" spans="4:5" x14ac:dyDescent="0.25">
      <c r="D49" s="108"/>
      <c r="E49" s="108"/>
    </row>
    <row r="50" spans="4:5" x14ac:dyDescent="0.25">
      <c r="D50" s="108"/>
      <c r="E50" s="108"/>
    </row>
  </sheetData>
  <sheetProtection selectLockedCells="1"/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G28"/>
  <sheetViews>
    <sheetView zoomScaleNormal="100" workbookViewId="0">
      <selection activeCell="D24" sqref="D24"/>
    </sheetView>
  </sheetViews>
  <sheetFormatPr defaultColWidth="9.140625" defaultRowHeight="15" x14ac:dyDescent="0.25"/>
  <cols>
    <col min="1" max="1" width="5.85546875" style="72" customWidth="1"/>
    <col min="2" max="2" width="40.5703125" style="72" customWidth="1"/>
    <col min="3" max="4" width="13.85546875" style="72" customWidth="1"/>
    <col min="5" max="16384" width="9.140625" style="72"/>
  </cols>
  <sheetData>
    <row r="3" spans="1:4" x14ac:dyDescent="0.25">
      <c r="B3" s="72" t="s">
        <v>160</v>
      </c>
    </row>
    <row r="4" spans="1:4" x14ac:dyDescent="0.25">
      <c r="B4" s="57" t="str">
        <f>PriorYearBalanceSheet!A3</f>
        <v>Tenino Telephone Company</v>
      </c>
      <c r="C4" s="65"/>
    </row>
    <row r="5" spans="1:4" x14ac:dyDescent="0.25">
      <c r="B5" s="65"/>
      <c r="C5" s="65"/>
    </row>
    <row r="7" spans="1:4" x14ac:dyDescent="0.25">
      <c r="A7" s="73"/>
      <c r="B7" s="73"/>
      <c r="C7" s="121" t="s">
        <v>260</v>
      </c>
      <c r="D7" s="121" t="s">
        <v>261</v>
      </c>
    </row>
    <row r="8" spans="1:4" x14ac:dyDescent="0.25">
      <c r="A8" s="78" t="s">
        <v>0</v>
      </c>
      <c r="B8" s="74" t="s">
        <v>147</v>
      </c>
      <c r="C8" s="75">
        <v>2017</v>
      </c>
      <c r="D8" s="75">
        <v>2017</v>
      </c>
    </row>
    <row r="9" spans="1:4" x14ac:dyDescent="0.25">
      <c r="A9" s="76"/>
      <c r="B9" s="76"/>
      <c r="C9" s="77" t="s">
        <v>148</v>
      </c>
      <c r="D9" s="77" t="s">
        <v>156</v>
      </c>
    </row>
    <row r="10" spans="1:4" x14ac:dyDescent="0.25">
      <c r="A10" s="85">
        <v>1</v>
      </c>
      <c r="B10" s="73" t="s">
        <v>204</v>
      </c>
      <c r="C10" s="81">
        <f>'RateBase '!D15</f>
        <v>1327123</v>
      </c>
      <c r="D10" s="81">
        <f>C10</f>
        <v>1327123</v>
      </c>
    </row>
    <row r="11" spans="1:4" x14ac:dyDescent="0.25">
      <c r="A11" s="74">
        <v>2</v>
      </c>
      <c r="B11" s="78" t="s">
        <v>170</v>
      </c>
      <c r="C11" s="93">
        <f>'RateBase '!E15</f>
        <v>1062498</v>
      </c>
      <c r="D11" s="93">
        <f>C11</f>
        <v>1062498</v>
      </c>
    </row>
    <row r="12" spans="1:4" x14ac:dyDescent="0.25">
      <c r="A12" s="74">
        <v>3</v>
      </c>
      <c r="B12" s="89" t="s">
        <v>171</v>
      </c>
      <c r="C12" s="79">
        <f>(C10+C11)/2</f>
        <v>1194810.5</v>
      </c>
      <c r="D12" s="79">
        <f>(D10+D11)/2</f>
        <v>1194810.5</v>
      </c>
    </row>
    <row r="13" spans="1:4" x14ac:dyDescent="0.25">
      <c r="A13" s="74">
        <v>4</v>
      </c>
      <c r="B13" s="78" t="s">
        <v>172</v>
      </c>
      <c r="C13" s="58">
        <f>IncomeStmtSummary!D29</f>
        <v>-828524</v>
      </c>
      <c r="D13" s="58">
        <f>C13</f>
        <v>-828524</v>
      </c>
    </row>
    <row r="14" spans="1:4" x14ac:dyDescent="0.25">
      <c r="A14" s="74">
        <v>5</v>
      </c>
      <c r="B14" s="78" t="s">
        <v>262</v>
      </c>
      <c r="C14" s="109"/>
      <c r="D14" s="53"/>
    </row>
    <row r="15" spans="1:4" x14ac:dyDescent="0.25">
      <c r="A15" s="74">
        <v>6</v>
      </c>
      <c r="B15" s="90" t="s">
        <v>174</v>
      </c>
      <c r="C15" s="79">
        <f>C13+C14</f>
        <v>-828524</v>
      </c>
      <c r="D15" s="79">
        <f>D13+D14</f>
        <v>-828524</v>
      </c>
    </row>
    <row r="16" spans="1:4" x14ac:dyDescent="0.25">
      <c r="A16" s="74">
        <v>7</v>
      </c>
      <c r="B16" s="89" t="s">
        <v>173</v>
      </c>
      <c r="C16" s="80">
        <f>C15/C12</f>
        <v>-0.69343548621308571</v>
      </c>
      <c r="D16" s="80">
        <f>D15/D12</f>
        <v>-0.69343548621308571</v>
      </c>
    </row>
    <row r="17" spans="1:7" x14ac:dyDescent="0.25">
      <c r="A17" s="86"/>
      <c r="B17" s="120"/>
      <c r="C17" s="80"/>
      <c r="D17" s="80"/>
    </row>
    <row r="18" spans="1:7" x14ac:dyDescent="0.25">
      <c r="B18" s="91" t="s">
        <v>169</v>
      </c>
      <c r="C18" s="65"/>
      <c r="D18" s="65"/>
      <c r="E18" s="65"/>
      <c r="F18" s="65"/>
      <c r="G18" s="65"/>
    </row>
    <row r="19" spans="1:7" x14ac:dyDescent="0.25">
      <c r="A19" s="107" t="s">
        <v>148</v>
      </c>
      <c r="B19" s="104" t="s">
        <v>208</v>
      </c>
      <c r="C19" s="65"/>
      <c r="D19" s="65"/>
      <c r="E19" s="65"/>
      <c r="F19" s="65"/>
      <c r="G19" s="65"/>
    </row>
    <row r="20" spans="1:7" x14ac:dyDescent="0.25">
      <c r="A20" s="107" t="s">
        <v>156</v>
      </c>
      <c r="B20" s="106" t="s">
        <v>214</v>
      </c>
      <c r="C20" s="65"/>
      <c r="D20" s="65"/>
      <c r="E20" s="65"/>
      <c r="F20" s="65"/>
      <c r="G20" s="65"/>
    </row>
    <row r="21" spans="1:7" x14ac:dyDescent="0.25">
      <c r="A21" s="65"/>
      <c r="B21" s="106" t="s">
        <v>215</v>
      </c>
      <c r="C21" s="65"/>
      <c r="D21" s="65"/>
      <c r="E21" s="65"/>
      <c r="F21" s="65"/>
      <c r="G21" s="65"/>
    </row>
    <row r="22" spans="1:7" x14ac:dyDescent="0.25">
      <c r="A22" s="65"/>
      <c r="B22" s="65"/>
      <c r="C22" s="65"/>
      <c r="D22" s="65"/>
      <c r="E22" s="65"/>
      <c r="F22" s="65"/>
      <c r="G22" s="65"/>
    </row>
    <row r="23" spans="1:7" x14ac:dyDescent="0.25">
      <c r="A23" s="65"/>
      <c r="B23" s="65"/>
      <c r="C23" s="65"/>
      <c r="D23" s="65"/>
      <c r="E23" s="65"/>
      <c r="F23" s="65"/>
      <c r="G23" s="65"/>
    </row>
    <row r="24" spans="1:7" x14ac:dyDescent="0.25">
      <c r="A24" s="65"/>
      <c r="B24" s="65"/>
      <c r="C24" s="65"/>
      <c r="D24" s="65"/>
      <c r="E24" s="65"/>
      <c r="F24" s="65"/>
      <c r="G24" s="65"/>
    </row>
    <row r="25" spans="1:7" x14ac:dyDescent="0.25">
      <c r="A25" s="65"/>
      <c r="B25" s="65"/>
      <c r="C25" s="65"/>
      <c r="D25" s="65"/>
      <c r="E25" s="65"/>
      <c r="F25" s="65"/>
      <c r="G25" s="65"/>
    </row>
    <row r="26" spans="1:7" x14ac:dyDescent="0.25">
      <c r="A26" s="65"/>
      <c r="B26" s="65"/>
      <c r="C26" s="65"/>
      <c r="D26" s="65"/>
      <c r="E26" s="65"/>
      <c r="F26" s="65"/>
      <c r="G26" s="65"/>
    </row>
    <row r="27" spans="1:7" x14ac:dyDescent="0.25">
      <c r="A27" s="65"/>
      <c r="B27" s="65"/>
      <c r="C27" s="65"/>
      <c r="D27" s="65"/>
      <c r="E27" s="65"/>
      <c r="F27" s="65"/>
      <c r="G27" s="65"/>
    </row>
    <row r="28" spans="1:7" x14ac:dyDescent="0.25">
      <c r="A28" s="65"/>
      <c r="B28" s="65"/>
      <c r="C28" s="65"/>
      <c r="D28" s="65"/>
      <c r="E28" s="65"/>
      <c r="F28" s="65"/>
      <c r="G28" s="65"/>
    </row>
  </sheetData>
  <sheetProtection algorithmName="SHA-512" hashValue="jF6jTledpMLiXm/ma9Xm+xgPDYSuM8PyaZkkZogjncLCQlIo/KOpann09tbSb7nnV0Fe8/hzIwUc/sVGuTma4A==" saltValue="1oe9LQVQkwBFvZP+mtA03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61"/>
  <sheetViews>
    <sheetView zoomScaleNormal="100" workbookViewId="0">
      <selection activeCell="G46" sqref="G46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7" t="s">
        <v>272</v>
      </c>
      <c r="B3" s="65"/>
      <c r="C3" s="65"/>
      <c r="D3" s="65"/>
    </row>
    <row r="4" spans="1:9" x14ac:dyDescent="0.25">
      <c r="A4" s="66"/>
      <c r="B4" s="65"/>
      <c r="C4" s="65"/>
      <c r="D4" s="65"/>
    </row>
    <row r="5" spans="1:9" x14ac:dyDescent="0.25">
      <c r="A5" s="65"/>
      <c r="B5" s="65"/>
      <c r="C5" s="65"/>
      <c r="D5" s="65"/>
    </row>
    <row r="6" spans="1:9" x14ac:dyDescent="0.25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25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25">
      <c r="A8" s="8"/>
      <c r="B8" s="11" t="s">
        <v>229</v>
      </c>
      <c r="C8" s="11" t="s">
        <v>230</v>
      </c>
      <c r="D8" s="11" t="s">
        <v>236</v>
      </c>
      <c r="E8" s="11"/>
      <c r="F8" s="8"/>
      <c r="G8" s="11" t="s">
        <v>229</v>
      </c>
      <c r="H8" s="11" t="s">
        <v>230</v>
      </c>
      <c r="I8" s="5" t="s">
        <v>236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6"/>
      <c r="I9" s="3"/>
    </row>
    <row r="10" spans="1:9" x14ac:dyDescent="0.25">
      <c r="A10" s="17" t="s">
        <v>41</v>
      </c>
      <c r="B10" s="52">
        <f>1083345+2999850</f>
        <v>4083195</v>
      </c>
      <c r="C10" s="54"/>
      <c r="D10" s="58">
        <f>SUM(B10:C10)</f>
        <v>4083195</v>
      </c>
      <c r="E10" s="17"/>
      <c r="F10" s="17" t="s">
        <v>77</v>
      </c>
      <c r="G10" s="52">
        <v>59516</v>
      </c>
      <c r="H10" s="54"/>
      <c r="I10" s="58">
        <f>SUM(G10:H10)</f>
        <v>59516</v>
      </c>
    </row>
    <row r="11" spans="1:9" x14ac:dyDescent="0.25">
      <c r="A11" s="17" t="s">
        <v>129</v>
      </c>
      <c r="B11" s="52"/>
      <c r="C11" s="54"/>
      <c r="D11" s="58">
        <f>SUM(B11:C11)</f>
        <v>0</v>
      </c>
      <c r="E11" s="17"/>
      <c r="F11" s="17" t="s">
        <v>79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52"/>
      <c r="H12" s="54"/>
      <c r="I12" s="58">
        <f t="shared" si="0"/>
        <v>0</v>
      </c>
    </row>
    <row r="13" spans="1:9" x14ac:dyDescent="0.25">
      <c r="A13" s="17" t="s">
        <v>43</v>
      </c>
      <c r="B13" s="52"/>
      <c r="C13" s="54"/>
      <c r="D13" s="58">
        <f>SUM(B13:C13)</f>
        <v>0</v>
      </c>
      <c r="E13" s="17"/>
      <c r="F13" s="17" t="s">
        <v>81</v>
      </c>
      <c r="G13" s="52"/>
      <c r="H13" s="54"/>
      <c r="I13" s="58">
        <f t="shared" si="0"/>
        <v>0</v>
      </c>
    </row>
    <row r="14" spans="1:9" x14ac:dyDescent="0.25">
      <c r="A14" s="17" t="s">
        <v>46</v>
      </c>
      <c r="B14" s="52"/>
      <c r="C14" s="54"/>
      <c r="D14" s="58">
        <f>SUM(B14:C14)</f>
        <v>0</v>
      </c>
      <c r="E14" s="17"/>
      <c r="F14" s="17" t="s">
        <v>82</v>
      </c>
      <c r="G14" s="52"/>
      <c r="H14" s="54"/>
      <c r="I14" s="58">
        <f t="shared" si="0"/>
        <v>0</v>
      </c>
    </row>
    <row r="15" spans="1:9" x14ac:dyDescent="0.25">
      <c r="A15" s="17" t="s">
        <v>44</v>
      </c>
      <c r="B15" s="52"/>
      <c r="C15" s="54"/>
      <c r="D15" s="58">
        <f t="shared" ref="D15" si="1">SUM(B15:C15)</f>
        <v>0</v>
      </c>
      <c r="E15" s="17"/>
      <c r="F15" s="17" t="s">
        <v>83</v>
      </c>
      <c r="G15" s="52"/>
      <c r="H15" s="54"/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52"/>
      <c r="H16" s="54"/>
      <c r="I16" s="58">
        <f t="shared" si="0"/>
        <v>0</v>
      </c>
    </row>
    <row r="17" spans="1:9" x14ac:dyDescent="0.25">
      <c r="A17" s="17" t="s">
        <v>43</v>
      </c>
      <c r="B17" s="52">
        <v>208680</v>
      </c>
      <c r="C17" s="54"/>
      <c r="D17" s="58">
        <f>SUM(B17:C17)</f>
        <v>208680</v>
      </c>
      <c r="E17" s="18"/>
      <c r="F17" s="17" t="s">
        <v>85</v>
      </c>
      <c r="G17" s="52"/>
      <c r="H17" s="54"/>
      <c r="I17" s="58">
        <f t="shared" si="0"/>
        <v>0</v>
      </c>
    </row>
    <row r="18" spans="1:9" x14ac:dyDescent="0.25">
      <c r="A18" s="17" t="s">
        <v>46</v>
      </c>
      <c r="B18" s="52"/>
      <c r="C18" s="54"/>
      <c r="D18" s="58">
        <f t="shared" ref="D18:D24" si="2">SUM(B18:C18)</f>
        <v>0</v>
      </c>
      <c r="E18" s="17"/>
      <c r="F18" s="17" t="s">
        <v>86</v>
      </c>
      <c r="G18" s="52">
        <v>89661</v>
      </c>
      <c r="H18" s="54"/>
      <c r="I18" s="58">
        <f t="shared" si="0"/>
        <v>89661</v>
      </c>
    </row>
    <row r="19" spans="1:9" x14ac:dyDescent="0.25">
      <c r="A19" s="17" t="s">
        <v>44</v>
      </c>
      <c r="B19" s="52"/>
      <c r="C19" s="54"/>
      <c r="D19" s="58">
        <f t="shared" si="2"/>
        <v>0</v>
      </c>
      <c r="E19" s="17"/>
      <c r="F19" s="17" t="s">
        <v>87</v>
      </c>
      <c r="G19" s="53">
        <f>120528+113143</f>
        <v>233671</v>
      </c>
      <c r="H19" s="111"/>
      <c r="I19" s="59">
        <f t="shared" si="0"/>
        <v>233671</v>
      </c>
    </row>
    <row r="20" spans="1:9" x14ac:dyDescent="0.25">
      <c r="A20" s="17" t="s">
        <v>47</v>
      </c>
      <c r="B20" s="52"/>
      <c r="C20" s="54"/>
      <c r="D20" s="58">
        <f t="shared" si="2"/>
        <v>0</v>
      </c>
      <c r="E20" s="17"/>
      <c r="F20" s="17" t="s">
        <v>107</v>
      </c>
      <c r="G20" s="58">
        <f>SUM(G10:G19)</f>
        <v>382848</v>
      </c>
      <c r="H20" s="58">
        <f>SUM(H10:H19)</f>
        <v>0</v>
      </c>
      <c r="I20" s="58">
        <f t="shared" ref="I20" si="3">SUM(I10:I19)</f>
        <v>382848</v>
      </c>
    </row>
    <row r="21" spans="1:9" x14ac:dyDescent="0.25">
      <c r="A21" s="17" t="s">
        <v>48</v>
      </c>
      <c r="B21" s="52"/>
      <c r="C21" s="54"/>
      <c r="D21" s="58">
        <f t="shared" si="2"/>
        <v>0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52"/>
      <c r="C22" s="54"/>
      <c r="D22" s="58">
        <f t="shared" si="2"/>
        <v>0</v>
      </c>
      <c r="E22" s="17"/>
      <c r="F22" s="17" t="s">
        <v>90</v>
      </c>
      <c r="G22" s="52"/>
      <c r="H22" s="54"/>
      <c r="I22" s="58">
        <f>SUM(G22:H22)</f>
        <v>0</v>
      </c>
    </row>
    <row r="23" spans="1:9" x14ac:dyDescent="0.25">
      <c r="A23" s="17" t="s">
        <v>50</v>
      </c>
      <c r="B23" s="52"/>
      <c r="C23" s="54"/>
      <c r="D23" s="58">
        <f t="shared" si="2"/>
        <v>0</v>
      </c>
      <c r="E23" s="17"/>
      <c r="F23" s="17" t="s">
        <v>91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51</v>
      </c>
      <c r="B24" s="53">
        <v>57125</v>
      </c>
      <c r="C24" s="111"/>
      <c r="D24" s="59">
        <f t="shared" si="2"/>
        <v>57125</v>
      </c>
      <c r="E24" s="17"/>
      <c r="F24" s="17" t="s">
        <v>92</v>
      </c>
      <c r="G24" s="52"/>
      <c r="H24" s="54"/>
      <c r="I24" s="58">
        <f t="shared" si="4"/>
        <v>0</v>
      </c>
    </row>
    <row r="25" spans="1:9" x14ac:dyDescent="0.25">
      <c r="A25" s="17" t="s">
        <v>40</v>
      </c>
      <c r="B25" s="58">
        <f>B10+B11+B13+B14+B15+B17+B18+B19+B20+B21+B22+B23+B24</f>
        <v>4349000</v>
      </c>
      <c r="C25" s="58">
        <f>C10+C11+C13+C14+C15+C17+C18+C19+C20+C21+C22+C23+C24</f>
        <v>0</v>
      </c>
      <c r="D25" s="58">
        <f t="shared" ref="D25" si="5">D10+D11+D13+D14+D15+D17+D18+D19+D20+D21+D22+D23+D24</f>
        <v>4349000</v>
      </c>
      <c r="E25" s="17"/>
      <c r="F25" s="17" t="s">
        <v>93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52"/>
      <c r="H27" s="54"/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52"/>
      <c r="H28" s="54"/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52"/>
      <c r="H29" s="54"/>
      <c r="I29" s="58">
        <f t="shared" si="6"/>
        <v>0</v>
      </c>
    </row>
    <row r="30" spans="1:9" x14ac:dyDescent="0.25">
      <c r="A30" s="17" t="s">
        <v>54</v>
      </c>
      <c r="B30" s="52">
        <v>0</v>
      </c>
      <c r="C30" s="54"/>
      <c r="D30" s="58">
        <f>SUM(B30:C30)</f>
        <v>0</v>
      </c>
      <c r="E30" s="17"/>
      <c r="F30" s="17" t="s">
        <v>97</v>
      </c>
      <c r="G30" s="52">
        <v>123396</v>
      </c>
      <c r="H30" s="54"/>
      <c r="I30" s="58">
        <f t="shared" si="6"/>
        <v>123396</v>
      </c>
    </row>
    <row r="31" spans="1:9" x14ac:dyDescent="0.25">
      <c r="A31" s="17" t="s">
        <v>55</v>
      </c>
      <c r="B31" s="52">
        <v>0</v>
      </c>
      <c r="C31" s="54"/>
      <c r="D31" s="58">
        <f>SUM(B31:C31)</f>
        <v>0</v>
      </c>
      <c r="E31" s="17"/>
      <c r="F31" s="17" t="s">
        <v>98</v>
      </c>
      <c r="G31" s="53"/>
      <c r="H31" s="111"/>
      <c r="I31" s="59">
        <f t="shared" si="6"/>
        <v>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123396</v>
      </c>
      <c r="H32" s="119">
        <f>SUM(H22:H31)</f>
        <v>0</v>
      </c>
      <c r="I32" s="119">
        <f>SUM(I22:I31)</f>
        <v>123396</v>
      </c>
    </row>
    <row r="33" spans="1:9" x14ac:dyDescent="0.25">
      <c r="A33" s="17" t="s">
        <v>56</v>
      </c>
      <c r="B33" s="52">
        <v>0</v>
      </c>
      <c r="C33" s="54"/>
      <c r="D33" s="58">
        <f>SUM(B33:C33)</f>
        <v>0</v>
      </c>
      <c r="E33" s="17"/>
      <c r="F33" s="21" t="s">
        <v>100</v>
      </c>
      <c r="G33" s="17"/>
      <c r="H33" s="17"/>
      <c r="I33" s="17"/>
    </row>
    <row r="34" spans="1:9" x14ac:dyDescent="0.25">
      <c r="A34" s="17" t="s">
        <v>57</v>
      </c>
      <c r="B34" s="52">
        <v>3000</v>
      </c>
      <c r="C34" s="54"/>
      <c r="D34" s="58">
        <f t="shared" ref="D34:D38" si="7">SUM(B34:C34)</f>
        <v>3000</v>
      </c>
      <c r="E34" s="17"/>
      <c r="F34" s="17" t="s">
        <v>101</v>
      </c>
      <c r="G34" s="52"/>
      <c r="H34" s="54"/>
      <c r="I34" s="58">
        <f>SUM(G34:H34)</f>
        <v>0</v>
      </c>
    </row>
    <row r="35" spans="1:9" x14ac:dyDescent="0.25">
      <c r="A35" s="17" t="s">
        <v>151</v>
      </c>
      <c r="B35" s="52"/>
      <c r="C35" s="69">
        <f>-1*(C25+C30+C31+C33+C34+C36+C37+C38+C47)</f>
        <v>3524</v>
      </c>
      <c r="D35" s="58">
        <f t="shared" si="7"/>
        <v>3524</v>
      </c>
      <c r="E35" s="17"/>
      <c r="F35" s="18" t="s">
        <v>216</v>
      </c>
      <c r="G35" s="52"/>
      <c r="H35" s="52"/>
      <c r="I35" s="58">
        <f>SUM(G35:H35)</f>
        <v>0</v>
      </c>
    </row>
    <row r="36" spans="1:9" x14ac:dyDescent="0.25">
      <c r="A36" s="17" t="s">
        <v>61</v>
      </c>
      <c r="B36" s="52"/>
      <c r="C36" s="54"/>
      <c r="D36" s="58">
        <f t="shared" si="7"/>
        <v>0</v>
      </c>
      <c r="E36" s="17"/>
      <c r="F36" s="17" t="s">
        <v>240</v>
      </c>
      <c r="G36" s="52"/>
      <c r="H36" s="112"/>
      <c r="I36" s="58">
        <f t="shared" ref="I36:I37" si="8">SUM(G36:H36)</f>
        <v>0</v>
      </c>
    </row>
    <row r="37" spans="1:9" x14ac:dyDescent="0.25">
      <c r="A37" s="17" t="s">
        <v>62</v>
      </c>
      <c r="B37" s="52">
        <v>657664</v>
      </c>
      <c r="C37" s="54">
        <v>-850</v>
      </c>
      <c r="D37" s="58">
        <f t="shared" si="7"/>
        <v>656814</v>
      </c>
      <c r="E37" s="17"/>
      <c r="F37" s="17" t="s">
        <v>263</v>
      </c>
      <c r="G37" s="53"/>
      <c r="H37" s="111"/>
      <c r="I37" s="59">
        <f t="shared" si="8"/>
        <v>0</v>
      </c>
    </row>
    <row r="38" spans="1:9" x14ac:dyDescent="0.25">
      <c r="A38" s="17" t="s">
        <v>63</v>
      </c>
      <c r="B38" s="53"/>
      <c r="C38" s="111"/>
      <c r="D38" s="59">
        <f t="shared" si="7"/>
        <v>0</v>
      </c>
      <c r="E38" s="17"/>
      <c r="F38" s="17" t="s">
        <v>217</v>
      </c>
      <c r="G38" s="58">
        <f>SUM(G34:G37)</f>
        <v>0</v>
      </c>
      <c r="H38" s="58">
        <f>SUM(H34:H37)</f>
        <v>0</v>
      </c>
      <c r="I38" s="58">
        <f>SUM(I34:I37)</f>
        <v>0</v>
      </c>
    </row>
    <row r="39" spans="1:9" x14ac:dyDescent="0.25">
      <c r="A39" s="17" t="s">
        <v>64</v>
      </c>
      <c r="B39" s="58">
        <f>B30+B31+B33+B34+B35+B36+B37+B38</f>
        <v>660664</v>
      </c>
      <c r="C39" s="58">
        <f>C30+C31+C33+C34+C35+C36+C37+C38</f>
        <v>2674</v>
      </c>
      <c r="D39" s="58">
        <f>D30+D31+D33+D34+D35+D36+D37+D38</f>
        <v>663338</v>
      </c>
      <c r="E39" s="17"/>
      <c r="F39" s="21" t="s">
        <v>102</v>
      </c>
      <c r="G39" s="13"/>
      <c r="H39" s="17"/>
      <c r="I39" s="14"/>
    </row>
    <row r="40" spans="1:9" x14ac:dyDescent="0.25">
      <c r="A40" s="17"/>
      <c r="B40" s="17"/>
      <c r="C40" s="17"/>
      <c r="D40" s="14"/>
      <c r="E40" s="17"/>
      <c r="F40" s="17" t="s">
        <v>218</v>
      </c>
      <c r="G40" s="52">
        <v>97200</v>
      </c>
      <c r="H40" s="22"/>
      <c r="I40" s="58">
        <f>SUM(G40:H40)</f>
        <v>97200</v>
      </c>
    </row>
    <row r="41" spans="1:9" x14ac:dyDescent="0.25">
      <c r="A41" s="21" t="s">
        <v>65</v>
      </c>
      <c r="B41" s="17"/>
      <c r="C41" s="17"/>
      <c r="D41" s="14"/>
      <c r="E41" s="17"/>
      <c r="F41" s="17" t="s">
        <v>219</v>
      </c>
      <c r="G41" s="52"/>
      <c r="H41" s="22"/>
      <c r="I41" s="58">
        <f t="shared" ref="I41:I46" si="9">SUM(G41:H41)</f>
        <v>0</v>
      </c>
    </row>
    <row r="42" spans="1:9" x14ac:dyDescent="0.25">
      <c r="A42" s="17" t="s">
        <v>159</v>
      </c>
      <c r="B42" s="52">
        <v>23701018</v>
      </c>
      <c r="C42" s="52">
        <v>-30700</v>
      </c>
      <c r="D42" s="58">
        <f>SUM(B42:C42)</f>
        <v>23670318</v>
      </c>
      <c r="E42" s="17"/>
      <c r="F42" s="17" t="s">
        <v>220</v>
      </c>
      <c r="G42" s="52"/>
      <c r="H42" s="22"/>
      <c r="I42" s="58">
        <f t="shared" si="9"/>
        <v>0</v>
      </c>
    </row>
    <row r="43" spans="1:9" x14ac:dyDescent="0.25">
      <c r="A43" s="17" t="s">
        <v>67</v>
      </c>
      <c r="B43" s="52"/>
      <c r="C43" s="52"/>
      <c r="D43" s="58">
        <f t="shared" ref="D43:D46" si="10">SUM(B43:C43)</f>
        <v>0</v>
      </c>
      <c r="E43" s="17"/>
      <c r="F43" s="17" t="s">
        <v>226</v>
      </c>
      <c r="G43" s="52"/>
      <c r="H43" s="22"/>
      <c r="I43" s="58">
        <f t="shared" si="9"/>
        <v>0</v>
      </c>
    </row>
    <row r="44" spans="1:9" x14ac:dyDescent="0.25">
      <c r="A44" s="17" t="s">
        <v>68</v>
      </c>
      <c r="B44" s="52">
        <v>44258</v>
      </c>
      <c r="C44" s="52"/>
      <c r="D44" s="58">
        <f t="shared" si="10"/>
        <v>44258</v>
      </c>
      <c r="E44" s="17"/>
      <c r="F44" s="17" t="s">
        <v>221</v>
      </c>
      <c r="G44" s="52"/>
      <c r="H44" s="22"/>
      <c r="I44" s="58">
        <f t="shared" si="9"/>
        <v>0</v>
      </c>
    </row>
    <row r="45" spans="1:9" x14ac:dyDescent="0.25">
      <c r="A45" s="17" t="s">
        <v>69</v>
      </c>
      <c r="B45" s="52"/>
      <c r="C45" s="52"/>
      <c r="D45" s="58">
        <f t="shared" si="10"/>
        <v>0</v>
      </c>
      <c r="E45" s="17"/>
      <c r="F45" s="17" t="s">
        <v>222</v>
      </c>
      <c r="G45" s="52"/>
      <c r="H45" s="22"/>
      <c r="I45" s="58">
        <f t="shared" si="9"/>
        <v>0</v>
      </c>
    </row>
    <row r="46" spans="1:9" x14ac:dyDescent="0.25">
      <c r="A46" s="17" t="s">
        <v>110</v>
      </c>
      <c r="B46" s="53">
        <v>-22371221</v>
      </c>
      <c r="C46" s="53">
        <v>28026</v>
      </c>
      <c r="D46" s="59">
        <f t="shared" si="10"/>
        <v>-22343195</v>
      </c>
      <c r="E46" s="17"/>
      <c r="F46" s="17" t="s">
        <v>223</v>
      </c>
      <c r="G46" s="53">
        <v>5780275</v>
      </c>
      <c r="H46" s="94">
        <f>-1*(H20+H32+H38)</f>
        <v>0</v>
      </c>
      <c r="I46" s="59">
        <f t="shared" si="9"/>
        <v>5780275</v>
      </c>
    </row>
    <row r="47" spans="1:9" x14ac:dyDescent="0.25">
      <c r="A47" s="17" t="s">
        <v>70</v>
      </c>
      <c r="B47" s="58">
        <f>B42+B43+B44+B45+B46</f>
        <v>1374055</v>
      </c>
      <c r="C47" s="58">
        <f t="shared" ref="C47:D47" si="11">C42+C43+C44+C45+C46</f>
        <v>-2674</v>
      </c>
      <c r="D47" s="58">
        <f t="shared" si="11"/>
        <v>1371381</v>
      </c>
      <c r="E47" s="17"/>
      <c r="F47" s="17" t="s">
        <v>224</v>
      </c>
      <c r="G47" s="58">
        <f>SUM(G40:G46)</f>
        <v>5877475</v>
      </c>
      <c r="H47" s="61">
        <f t="shared" ref="H47:I47" si="12">SUM(H40:H46)</f>
        <v>0</v>
      </c>
      <c r="I47" s="58">
        <f t="shared" si="12"/>
        <v>5877475</v>
      </c>
    </row>
    <row r="48" spans="1:9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195</v>
      </c>
      <c r="B49" s="60">
        <f>B25+B39+B47</f>
        <v>6383719</v>
      </c>
      <c r="C49" s="60">
        <f>C25+C39+C47</f>
        <v>0</v>
      </c>
      <c r="D49" s="60">
        <f>D25+D39+D47</f>
        <v>6383719</v>
      </c>
      <c r="E49" s="19"/>
      <c r="F49" s="82" t="s">
        <v>228</v>
      </c>
      <c r="G49" s="60">
        <f>G20+G32+G38+G47</f>
        <v>6383719</v>
      </c>
      <c r="H49" s="60">
        <f>H20+H32+H38+H47</f>
        <v>0</v>
      </c>
      <c r="I49" s="60">
        <f>I20+I32+I38+I47</f>
        <v>6383719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196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241</v>
      </c>
      <c r="G53" s="65"/>
      <c r="H53" s="65"/>
      <c r="I53" s="65"/>
    </row>
    <row r="54" spans="1:9" x14ac:dyDescent="0.25">
      <c r="A54" s="65" t="s">
        <v>242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16SDZpWmbMUAZU+snWSUSGxMa2DU7F2BRoi4jPMXuyGt400fnzemnuLlaz4uNbkEOucDEMiHYU0fbNDWqFFZqg==" saltValue="jCjIY/aZtxPmvy0rcXKiDw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61"/>
  <sheetViews>
    <sheetView topLeftCell="A10" zoomScaleNormal="100" workbookViewId="0">
      <selection activeCell="C37" sqref="C37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7" t="str">
        <f>PriorYearBalanceSheet!A3</f>
        <v>Tenino Telephone Company</v>
      </c>
      <c r="B3" s="65"/>
      <c r="C3" s="65"/>
      <c r="D3" s="65"/>
      <c r="E3" s="65"/>
    </row>
    <row r="4" spans="1:9" x14ac:dyDescent="0.25">
      <c r="A4" s="66"/>
      <c r="B4" s="65"/>
      <c r="C4" s="65"/>
      <c r="D4" s="65"/>
      <c r="E4" s="65"/>
    </row>
    <row r="5" spans="1:9" x14ac:dyDescent="0.25">
      <c r="A5" s="65"/>
      <c r="B5" s="65"/>
      <c r="C5" s="65"/>
      <c r="D5" s="65"/>
      <c r="E5" s="65"/>
    </row>
    <row r="6" spans="1:9" x14ac:dyDescent="0.25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25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25">
      <c r="A8" s="8"/>
      <c r="B8" s="11" t="s">
        <v>245</v>
      </c>
      <c r="C8" s="11" t="s">
        <v>246</v>
      </c>
      <c r="D8" s="11" t="s">
        <v>247</v>
      </c>
      <c r="E8" s="11"/>
      <c r="F8" s="8"/>
      <c r="G8" s="11" t="s">
        <v>245</v>
      </c>
      <c r="H8" s="11" t="s">
        <v>246</v>
      </c>
      <c r="I8" s="5" t="s">
        <v>247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113"/>
      <c r="I9" s="3"/>
    </row>
    <row r="10" spans="1:9" x14ac:dyDescent="0.25">
      <c r="A10" s="17" t="s">
        <v>41</v>
      </c>
      <c r="B10" s="52">
        <v>3905894</v>
      </c>
      <c r="C10" s="54"/>
      <c r="D10" s="58">
        <f>SUM(B10:C10)</f>
        <v>3905894</v>
      </c>
      <c r="E10" s="17"/>
      <c r="F10" s="17" t="s">
        <v>77</v>
      </c>
      <c r="G10" s="52">
        <v>128668</v>
      </c>
      <c r="H10" s="54"/>
      <c r="I10" s="58">
        <f>SUM(G10:H10)</f>
        <v>128668</v>
      </c>
    </row>
    <row r="11" spans="1:9" x14ac:dyDescent="0.25">
      <c r="A11" s="17" t="s">
        <v>129</v>
      </c>
      <c r="B11" s="52"/>
      <c r="C11" s="54"/>
      <c r="D11" s="58">
        <f>SUM(B11:C11)</f>
        <v>0</v>
      </c>
      <c r="E11" s="17"/>
      <c r="F11" s="17" t="s">
        <v>79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52"/>
      <c r="H12" s="54"/>
      <c r="I12" s="58">
        <f t="shared" si="0"/>
        <v>0</v>
      </c>
    </row>
    <row r="13" spans="1:9" x14ac:dyDescent="0.25">
      <c r="A13" s="17" t="s">
        <v>43</v>
      </c>
      <c r="B13" s="52"/>
      <c r="C13" s="54"/>
      <c r="D13" s="58">
        <f>SUM(B13:C13)</f>
        <v>0</v>
      </c>
      <c r="E13" s="17"/>
      <c r="F13" s="17" t="s">
        <v>81</v>
      </c>
      <c r="G13" s="52"/>
      <c r="H13" s="54"/>
      <c r="I13" s="58">
        <f t="shared" si="0"/>
        <v>0</v>
      </c>
    </row>
    <row r="14" spans="1:9" x14ac:dyDescent="0.25">
      <c r="A14" s="17" t="s">
        <v>46</v>
      </c>
      <c r="B14" s="52"/>
      <c r="C14" s="54"/>
      <c r="D14" s="58">
        <f t="shared" ref="D14:D15" si="1">SUM(B14:C14)</f>
        <v>0</v>
      </c>
      <c r="E14" s="17"/>
      <c r="F14" s="17" t="s">
        <v>82</v>
      </c>
      <c r="G14" s="52"/>
      <c r="H14" s="54"/>
      <c r="I14" s="58">
        <f t="shared" si="0"/>
        <v>0</v>
      </c>
    </row>
    <row r="15" spans="1:9" x14ac:dyDescent="0.25">
      <c r="A15" s="17" t="s">
        <v>44</v>
      </c>
      <c r="B15" s="52"/>
      <c r="C15" s="54"/>
      <c r="D15" s="58">
        <f t="shared" si="1"/>
        <v>0</v>
      </c>
      <c r="E15" s="17"/>
      <c r="F15" s="17" t="s">
        <v>83</v>
      </c>
      <c r="G15" s="52"/>
      <c r="H15" s="54"/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52"/>
      <c r="H16" s="54"/>
      <c r="I16" s="58">
        <f t="shared" si="0"/>
        <v>0</v>
      </c>
    </row>
    <row r="17" spans="1:9" x14ac:dyDescent="0.25">
      <c r="A17" s="17" t="s">
        <v>43</v>
      </c>
      <c r="B17" s="52">
        <v>168817</v>
      </c>
      <c r="C17" s="54"/>
      <c r="D17" s="58">
        <f>SUM(B17:C17)</f>
        <v>168817</v>
      </c>
      <c r="E17" s="18"/>
      <c r="F17" s="17" t="s">
        <v>85</v>
      </c>
      <c r="G17" s="52"/>
      <c r="H17" s="54"/>
      <c r="I17" s="58">
        <f t="shared" si="0"/>
        <v>0</v>
      </c>
    </row>
    <row r="18" spans="1:9" x14ac:dyDescent="0.25">
      <c r="A18" s="17" t="s">
        <v>46</v>
      </c>
      <c r="B18" s="52"/>
      <c r="C18" s="54"/>
      <c r="D18" s="58">
        <f t="shared" ref="D18:D24" si="2">SUM(B18:C18)</f>
        <v>0</v>
      </c>
      <c r="E18" s="17"/>
      <c r="F18" s="17" t="s">
        <v>86</v>
      </c>
      <c r="G18" s="52">
        <v>78608</v>
      </c>
      <c r="H18" s="54"/>
      <c r="I18" s="58">
        <f t="shared" si="0"/>
        <v>78608</v>
      </c>
    </row>
    <row r="19" spans="1:9" x14ac:dyDescent="0.25">
      <c r="A19" s="17" t="s">
        <v>44</v>
      </c>
      <c r="B19" s="52"/>
      <c r="C19" s="54"/>
      <c r="D19" s="58">
        <f t="shared" si="2"/>
        <v>0</v>
      </c>
      <c r="E19" s="17"/>
      <c r="F19" s="17" t="s">
        <v>87</v>
      </c>
      <c r="G19" s="53">
        <v>395623</v>
      </c>
      <c r="H19" s="111"/>
      <c r="I19" s="59">
        <f t="shared" si="0"/>
        <v>395623</v>
      </c>
    </row>
    <row r="20" spans="1:9" x14ac:dyDescent="0.25">
      <c r="A20" s="17" t="s">
        <v>47</v>
      </c>
      <c r="B20" s="52"/>
      <c r="C20" s="54"/>
      <c r="D20" s="58">
        <f t="shared" si="2"/>
        <v>0</v>
      </c>
      <c r="E20" s="17"/>
      <c r="F20" s="17" t="s">
        <v>107</v>
      </c>
      <c r="G20" s="58">
        <f>SUM(G10:G19)</f>
        <v>602899</v>
      </c>
      <c r="H20" s="58">
        <f>SUM(H10:H19)</f>
        <v>0</v>
      </c>
      <c r="I20" s="58">
        <f t="shared" ref="I20" si="3">SUM(I10:I19)</f>
        <v>602899</v>
      </c>
    </row>
    <row r="21" spans="1:9" x14ac:dyDescent="0.25">
      <c r="A21" s="17" t="s">
        <v>48</v>
      </c>
      <c r="B21" s="52"/>
      <c r="C21" s="54"/>
      <c r="D21" s="58">
        <f t="shared" si="2"/>
        <v>0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52"/>
      <c r="C22" s="54"/>
      <c r="D22" s="58">
        <f t="shared" si="2"/>
        <v>0</v>
      </c>
      <c r="E22" s="17"/>
      <c r="F22" s="17" t="s">
        <v>90</v>
      </c>
      <c r="G22" s="52"/>
      <c r="H22" s="54"/>
      <c r="I22" s="58">
        <f>SUM(G22:H22)</f>
        <v>0</v>
      </c>
    </row>
    <row r="23" spans="1:9" x14ac:dyDescent="0.25">
      <c r="A23" s="17" t="s">
        <v>50</v>
      </c>
      <c r="B23" s="52">
        <v>54421</v>
      </c>
      <c r="C23" s="54"/>
      <c r="D23" s="58">
        <f t="shared" si="2"/>
        <v>54421</v>
      </c>
      <c r="E23" s="17"/>
      <c r="F23" s="17" t="s">
        <v>91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51</v>
      </c>
      <c r="B24" s="53">
        <v>49808</v>
      </c>
      <c r="C24" s="111"/>
      <c r="D24" s="59">
        <f t="shared" si="2"/>
        <v>49808</v>
      </c>
      <c r="E24" s="17"/>
      <c r="F24" s="17" t="s">
        <v>92</v>
      </c>
      <c r="G24" s="52"/>
      <c r="H24" s="54"/>
      <c r="I24" s="58">
        <f t="shared" si="4"/>
        <v>0</v>
      </c>
    </row>
    <row r="25" spans="1:9" x14ac:dyDescent="0.25">
      <c r="A25" s="17" t="s">
        <v>40</v>
      </c>
      <c r="B25" s="58">
        <f>B10+B11+B13+B14+B15+B17+B18+B19+B20+B21+B22+B23+B24</f>
        <v>4178940</v>
      </c>
      <c r="C25" s="58">
        <f>C10+C11+C13+C14+C15+C17+C18+C19+C20+C21+C22+C23+C24</f>
        <v>0</v>
      </c>
      <c r="D25" s="58">
        <f t="shared" ref="D25" si="5">D10+D11+D13+D14+D15+D17+D18+D19+D20+D21+D22+D23+D24</f>
        <v>4178940</v>
      </c>
      <c r="E25" s="17"/>
      <c r="F25" s="17" t="s">
        <v>93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52"/>
      <c r="H27" s="54"/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52"/>
      <c r="H28" s="54"/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52"/>
      <c r="H29" s="54"/>
      <c r="I29" s="58">
        <f t="shared" si="6"/>
        <v>0</v>
      </c>
    </row>
    <row r="30" spans="1:9" x14ac:dyDescent="0.25">
      <c r="A30" s="17" t="s">
        <v>54</v>
      </c>
      <c r="B30" s="52"/>
      <c r="C30" s="54"/>
      <c r="D30" s="58">
        <f>SUM(B30:C30)</f>
        <v>0</v>
      </c>
      <c r="E30" s="17"/>
      <c r="F30" s="17" t="s">
        <v>97</v>
      </c>
      <c r="G30" s="52">
        <v>146338</v>
      </c>
      <c r="H30" s="54"/>
      <c r="I30" s="58">
        <f t="shared" si="6"/>
        <v>146338</v>
      </c>
    </row>
    <row r="31" spans="1:9" x14ac:dyDescent="0.25">
      <c r="A31" s="17" t="s">
        <v>55</v>
      </c>
      <c r="B31" s="52"/>
      <c r="C31" s="54"/>
      <c r="D31" s="58">
        <f>SUM(B31:C31)</f>
        <v>0</v>
      </c>
      <c r="E31" s="17"/>
      <c r="F31" s="17" t="s">
        <v>98</v>
      </c>
      <c r="G31" s="53"/>
      <c r="H31" s="111"/>
      <c r="I31" s="59">
        <f t="shared" si="6"/>
        <v>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146338</v>
      </c>
      <c r="H32" s="81">
        <f>SUM(H22:H31)</f>
        <v>0</v>
      </c>
      <c r="I32" s="58">
        <f>SUM(I22:I31)</f>
        <v>146338</v>
      </c>
    </row>
    <row r="33" spans="1:11" x14ac:dyDescent="0.25">
      <c r="A33" s="17" t="s">
        <v>56</v>
      </c>
      <c r="B33" s="52"/>
      <c r="C33" s="54"/>
      <c r="D33" s="58">
        <f>SUM(B33:C33)</f>
        <v>0</v>
      </c>
      <c r="E33" s="17"/>
      <c r="F33" s="21" t="s">
        <v>100</v>
      </c>
      <c r="G33" s="17"/>
      <c r="H33" s="14"/>
      <c r="I33" s="14"/>
    </row>
    <row r="34" spans="1:11" x14ac:dyDescent="0.25">
      <c r="A34" s="17" t="s">
        <v>57</v>
      </c>
      <c r="B34" s="52"/>
      <c r="C34" s="54"/>
      <c r="D34" s="58">
        <f t="shared" ref="D34:D38" si="7">SUM(B34:C34)</f>
        <v>0</v>
      </c>
      <c r="E34" s="17"/>
      <c r="F34" s="17" t="s">
        <v>101</v>
      </c>
      <c r="G34" s="52"/>
      <c r="H34" s="116"/>
      <c r="I34" s="58">
        <f>SUM(G34:H34)</f>
        <v>0</v>
      </c>
    </row>
    <row r="35" spans="1:11" x14ac:dyDescent="0.25">
      <c r="A35" s="17" t="s">
        <v>151</v>
      </c>
      <c r="B35" s="52">
        <v>3000</v>
      </c>
      <c r="C35" s="69">
        <f>-1*(C25+C30+C31+C33+C34+C36+C37+C38+C47)</f>
        <v>684</v>
      </c>
      <c r="D35" s="58">
        <f t="shared" si="7"/>
        <v>3684</v>
      </c>
      <c r="E35" s="17"/>
      <c r="F35" s="18" t="s">
        <v>216</v>
      </c>
      <c r="G35" s="52"/>
      <c r="H35" s="52"/>
      <c r="I35" s="58">
        <f>SUM(G35:H35)</f>
        <v>0</v>
      </c>
    </row>
    <row r="36" spans="1:11" x14ac:dyDescent="0.25">
      <c r="A36" s="17" t="s">
        <v>61</v>
      </c>
      <c r="B36" s="52"/>
      <c r="C36" s="54"/>
      <c r="D36" s="58">
        <f t="shared" si="7"/>
        <v>0</v>
      </c>
      <c r="E36" s="17"/>
      <c r="F36" s="17" t="s">
        <v>240</v>
      </c>
      <c r="G36" s="52"/>
      <c r="H36" s="117"/>
      <c r="I36" s="58">
        <f t="shared" ref="I36:I37" si="8">SUM(G36:H36)</f>
        <v>0</v>
      </c>
    </row>
    <row r="37" spans="1:11" x14ac:dyDescent="0.25">
      <c r="A37" s="17" t="s">
        <v>62</v>
      </c>
      <c r="B37" s="52">
        <v>445664</v>
      </c>
      <c r="C37" s="54">
        <f>1+614</f>
        <v>615</v>
      </c>
      <c r="D37" s="58">
        <f t="shared" si="7"/>
        <v>446279</v>
      </c>
      <c r="E37" s="17"/>
      <c r="F37" s="17" t="s">
        <v>263</v>
      </c>
      <c r="G37" s="53"/>
      <c r="H37" s="118"/>
      <c r="I37" s="59">
        <f t="shared" si="8"/>
        <v>0</v>
      </c>
    </row>
    <row r="38" spans="1:11" x14ac:dyDescent="0.25">
      <c r="A38" s="17" t="s">
        <v>63</v>
      </c>
      <c r="B38" s="53"/>
      <c r="C38" s="111"/>
      <c r="D38" s="59">
        <f t="shared" si="7"/>
        <v>0</v>
      </c>
      <c r="E38" s="17"/>
      <c r="F38" s="17" t="s">
        <v>217</v>
      </c>
      <c r="G38" s="58">
        <f>SUM(G34:G37)</f>
        <v>0</v>
      </c>
      <c r="H38" s="58">
        <f>SUM(H34:H37)</f>
        <v>0</v>
      </c>
      <c r="I38" s="58">
        <f>SUM(I34:I37)</f>
        <v>0</v>
      </c>
    </row>
    <row r="39" spans="1:11" x14ac:dyDescent="0.25">
      <c r="A39" s="17" t="s">
        <v>64</v>
      </c>
      <c r="B39" s="58">
        <f>B30+B31+B33+B34+B35+B36+B37+B38</f>
        <v>448664</v>
      </c>
      <c r="C39" s="58">
        <f>C30+C31+C33+C34+C35+C36+C37+C38</f>
        <v>1299</v>
      </c>
      <c r="D39" s="58">
        <f t="shared" ref="D39" si="9">D30+D31+D33+D34+D35+D36+D37+D38</f>
        <v>449963</v>
      </c>
      <c r="E39" s="17"/>
      <c r="F39" s="21" t="s">
        <v>102</v>
      </c>
      <c r="G39" s="13"/>
      <c r="H39" s="17"/>
      <c r="I39" s="14"/>
    </row>
    <row r="40" spans="1:11" x14ac:dyDescent="0.25">
      <c r="A40" s="17"/>
      <c r="B40" s="17"/>
      <c r="C40" s="17"/>
      <c r="D40" s="14"/>
      <c r="E40" s="17"/>
      <c r="F40" s="17" t="s">
        <v>218</v>
      </c>
      <c r="G40" s="52">
        <v>97200</v>
      </c>
      <c r="H40" s="22"/>
      <c r="I40" s="58">
        <f>SUM(G40:H40)</f>
        <v>97200</v>
      </c>
    </row>
    <row r="41" spans="1:11" x14ac:dyDescent="0.25">
      <c r="A41" s="21" t="s">
        <v>65</v>
      </c>
      <c r="B41" s="17"/>
      <c r="C41" s="17"/>
      <c r="D41" s="14"/>
      <c r="E41" s="17"/>
      <c r="F41" s="17" t="s">
        <v>219</v>
      </c>
      <c r="G41" s="52"/>
      <c r="H41" s="22"/>
      <c r="I41" s="58">
        <f t="shared" ref="I41:I46" si="10">SUM(G41:H41)</f>
        <v>0</v>
      </c>
    </row>
    <row r="42" spans="1:11" x14ac:dyDescent="0.25">
      <c r="A42" s="17" t="s">
        <v>159</v>
      </c>
      <c r="B42" s="52">
        <v>24247991</v>
      </c>
      <c r="C42" s="52">
        <v>-21438</v>
      </c>
      <c r="D42" s="58">
        <f>SUM(B42:C42)</f>
        <v>24226553</v>
      </c>
      <c r="E42" s="17"/>
      <c r="F42" s="17" t="s">
        <v>220</v>
      </c>
      <c r="G42" s="52"/>
      <c r="H42" s="22"/>
      <c r="I42" s="58">
        <f t="shared" si="10"/>
        <v>0</v>
      </c>
    </row>
    <row r="43" spans="1:11" x14ac:dyDescent="0.25">
      <c r="A43" s="17" t="s">
        <v>67</v>
      </c>
      <c r="B43" s="52"/>
      <c r="C43" s="52"/>
      <c r="D43" s="58">
        <f t="shared" ref="D43:D46" si="11">SUM(B43:C43)</f>
        <v>0</v>
      </c>
      <c r="E43" s="17"/>
      <c r="F43" s="17" t="s">
        <v>226</v>
      </c>
      <c r="G43" s="52"/>
      <c r="H43" s="22"/>
      <c r="I43" s="58">
        <f t="shared" si="10"/>
        <v>0</v>
      </c>
    </row>
    <row r="44" spans="1:11" x14ac:dyDescent="0.25">
      <c r="A44" s="17" t="s">
        <v>68</v>
      </c>
      <c r="B44" s="52">
        <v>155679</v>
      </c>
      <c r="C44" s="52"/>
      <c r="D44" s="58">
        <f t="shared" si="11"/>
        <v>155679</v>
      </c>
      <c r="E44" s="17"/>
      <c r="F44" s="17" t="s">
        <v>221</v>
      </c>
      <c r="G44" s="52"/>
      <c r="H44" s="22"/>
      <c r="I44" s="58">
        <f t="shared" si="10"/>
        <v>0</v>
      </c>
      <c r="K44" s="65"/>
    </row>
    <row r="45" spans="1:11" x14ac:dyDescent="0.25">
      <c r="A45" s="17" t="s">
        <v>69</v>
      </c>
      <c r="B45" s="52"/>
      <c r="C45" s="52"/>
      <c r="D45" s="58">
        <f t="shared" si="11"/>
        <v>0</v>
      </c>
      <c r="E45" s="17"/>
      <c r="F45" s="17" t="s">
        <v>222</v>
      </c>
      <c r="G45" s="52"/>
      <c r="H45" s="22"/>
      <c r="I45" s="58">
        <f t="shared" si="10"/>
        <v>0</v>
      </c>
    </row>
    <row r="46" spans="1:11" x14ac:dyDescent="0.25">
      <c r="A46" s="17" t="s">
        <v>110</v>
      </c>
      <c r="B46" s="53">
        <v>-23184194</v>
      </c>
      <c r="C46" s="53">
        <v>20139</v>
      </c>
      <c r="D46" s="59">
        <f t="shared" si="11"/>
        <v>-23164055</v>
      </c>
      <c r="E46" s="17"/>
      <c r="F46" s="17" t="s">
        <v>223</v>
      </c>
      <c r="G46" s="53">
        <v>5000643</v>
      </c>
      <c r="H46" s="94">
        <f>-1*(H20+H32+H38)</f>
        <v>0</v>
      </c>
      <c r="I46" s="59">
        <f t="shared" si="10"/>
        <v>5000643</v>
      </c>
    </row>
    <row r="47" spans="1:11" x14ac:dyDescent="0.25">
      <c r="A47" s="17" t="s">
        <v>70</v>
      </c>
      <c r="B47" s="58">
        <f>B42+B43+B44+B45+B46</f>
        <v>1219476</v>
      </c>
      <c r="C47" s="58">
        <f t="shared" ref="C47:D47" si="12">C42+C43+C44+C45+C46</f>
        <v>-1299</v>
      </c>
      <c r="D47" s="58">
        <f t="shared" si="12"/>
        <v>1218177</v>
      </c>
      <c r="E47" s="17"/>
      <c r="F47" s="17" t="s">
        <v>224</v>
      </c>
      <c r="G47" s="58">
        <f>SUM(G40:G46)</f>
        <v>5097843</v>
      </c>
      <c r="H47" s="61">
        <f t="shared" ref="H47:I47" si="13">SUM(H40:H46)</f>
        <v>0</v>
      </c>
      <c r="I47" s="58">
        <f t="shared" si="13"/>
        <v>5097843</v>
      </c>
    </row>
    <row r="48" spans="1:11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195</v>
      </c>
      <c r="B49" s="60">
        <f>B25+B39+B47</f>
        <v>5847080</v>
      </c>
      <c r="C49" s="60">
        <f t="shared" ref="C49:D49" si="14">C25+C39+C47</f>
        <v>0</v>
      </c>
      <c r="D49" s="60">
        <f t="shared" si="14"/>
        <v>5847080</v>
      </c>
      <c r="E49" s="19"/>
      <c r="F49" s="82" t="s">
        <v>227</v>
      </c>
      <c r="G49" s="60">
        <f>G20+G32+G38+G47</f>
        <v>5847080</v>
      </c>
      <c r="H49" s="60">
        <f>H20+H32+H38+H47</f>
        <v>0</v>
      </c>
      <c r="I49" s="60">
        <f>I20+I32+I38+I47</f>
        <v>5847080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196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241</v>
      </c>
      <c r="G53" s="65"/>
      <c r="H53" s="65"/>
      <c r="I53" s="65"/>
    </row>
    <row r="54" spans="1:9" x14ac:dyDescent="0.25">
      <c r="A54" s="65" t="s">
        <v>242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g3Bx1A6S9P3kKDVFeU6BQYWGg43JRISNkGEFHQaFEATuAM41hkJ/YDSG+9C+TMMmGr3SUQ+rVF+xWzE6toCRyg==" saltValue="PKZC53F1sg6puyyEy2Secg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61"/>
  <sheetViews>
    <sheetView zoomScaleNormal="100" workbookViewId="0">
      <selection activeCell="A17" sqref="A17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160</v>
      </c>
    </row>
    <row r="3" spans="1:7" x14ac:dyDescent="0.25">
      <c r="A3" s="57" t="str">
        <f>PriorYearBalanceSheet!A3</f>
        <v>Tenino Telephone Company</v>
      </c>
      <c r="B3" s="65"/>
      <c r="C3" s="65"/>
      <c r="D3" s="65"/>
      <c r="E3" s="65"/>
      <c r="F3" s="65"/>
      <c r="G3" s="65"/>
    </row>
    <row r="4" spans="1:7" x14ac:dyDescent="0.25">
      <c r="A4" s="66"/>
      <c r="B4" s="65"/>
      <c r="C4" s="65"/>
      <c r="D4" s="65"/>
      <c r="E4" s="65"/>
      <c r="F4" s="65"/>
      <c r="G4" s="65"/>
    </row>
    <row r="5" spans="1:7" x14ac:dyDescent="0.25">
      <c r="A5" s="65"/>
      <c r="B5" s="65"/>
      <c r="C5" s="65"/>
      <c r="D5" s="65"/>
    </row>
    <row r="6" spans="1:7" x14ac:dyDescent="0.25">
      <c r="A6" s="6"/>
      <c r="B6" s="9" t="s">
        <v>108</v>
      </c>
      <c r="C6" s="9" t="s">
        <v>108</v>
      </c>
      <c r="D6" s="9"/>
      <c r="E6" s="6"/>
      <c r="F6" s="9" t="s">
        <v>108</v>
      </c>
      <c r="G6" s="23" t="s">
        <v>108</v>
      </c>
    </row>
    <row r="7" spans="1:7" x14ac:dyDescent="0.25">
      <c r="A7" s="7" t="s">
        <v>75</v>
      </c>
      <c r="B7" s="10" t="s">
        <v>72</v>
      </c>
      <c r="C7" s="10" t="s">
        <v>111</v>
      </c>
      <c r="D7" s="10"/>
      <c r="E7" s="7" t="s">
        <v>74</v>
      </c>
      <c r="F7" s="10" t="s">
        <v>72</v>
      </c>
      <c r="G7" s="4" t="s">
        <v>111</v>
      </c>
    </row>
    <row r="8" spans="1:7" x14ac:dyDescent="0.25">
      <c r="A8" s="8"/>
      <c r="B8" s="11" t="s">
        <v>233</v>
      </c>
      <c r="C8" s="11" t="s">
        <v>248</v>
      </c>
      <c r="D8" s="11"/>
      <c r="E8" s="8"/>
      <c r="F8" s="11" t="s">
        <v>233</v>
      </c>
      <c r="G8" s="5" t="s">
        <v>248</v>
      </c>
    </row>
    <row r="9" spans="1:7" x14ac:dyDescent="0.25">
      <c r="A9" s="20" t="s">
        <v>52</v>
      </c>
      <c r="B9" s="6"/>
      <c r="C9" s="6"/>
      <c r="D9" s="6"/>
      <c r="E9" s="20" t="s">
        <v>76</v>
      </c>
      <c r="F9" s="6"/>
      <c r="G9" s="14"/>
    </row>
    <row r="10" spans="1:7" x14ac:dyDescent="0.25">
      <c r="A10" s="17" t="s">
        <v>41</v>
      </c>
      <c r="B10" s="32">
        <f>PriorYearBalanceSheet!D10</f>
        <v>4083195</v>
      </c>
      <c r="C10" s="32">
        <f>'CurrentYearBalanceSheet '!D10</f>
        <v>3905894</v>
      </c>
      <c r="D10" s="17"/>
      <c r="E10" s="17" t="s">
        <v>77</v>
      </c>
      <c r="F10" s="32">
        <f>PriorYearBalanceSheet!I10</f>
        <v>59516</v>
      </c>
      <c r="G10" s="32">
        <f>'CurrentYearBalanceSheet '!I10</f>
        <v>128668</v>
      </c>
    </row>
    <row r="11" spans="1:7" x14ac:dyDescent="0.25">
      <c r="A11" s="17" t="s">
        <v>129</v>
      </c>
      <c r="B11" s="32">
        <f>PriorYearBalanceSheet!D11</f>
        <v>0</v>
      </c>
      <c r="C11" s="32">
        <f>'CurrentYearBalanceSheet '!D11</f>
        <v>0</v>
      </c>
      <c r="D11" s="17"/>
      <c r="E11" s="17" t="s">
        <v>79</v>
      </c>
      <c r="F11" s="32">
        <f>PriorYearBalanceSheet!I11</f>
        <v>0</v>
      </c>
      <c r="G11" s="32">
        <f>'CurrentYearBalanceSheet '!I11</f>
        <v>0</v>
      </c>
    </row>
    <row r="12" spans="1:7" x14ac:dyDescent="0.25">
      <c r="A12" s="17" t="s">
        <v>42</v>
      </c>
      <c r="B12" s="22"/>
      <c r="C12" s="22"/>
      <c r="D12" s="18"/>
      <c r="E12" s="17" t="s">
        <v>80</v>
      </c>
      <c r="F12" s="32">
        <f>PriorYearBalanceSheet!I12</f>
        <v>0</v>
      </c>
      <c r="G12" s="32">
        <f>'CurrentYearBalanceSheet '!I12</f>
        <v>0</v>
      </c>
    </row>
    <row r="13" spans="1:7" x14ac:dyDescent="0.25">
      <c r="A13" s="17" t="s">
        <v>43</v>
      </c>
      <c r="B13" s="32">
        <f>PriorYearBalanceSheet!D13</f>
        <v>0</v>
      </c>
      <c r="C13" s="32">
        <f>'CurrentYearBalanceSheet '!D13</f>
        <v>0</v>
      </c>
      <c r="D13" s="17"/>
      <c r="E13" s="17" t="s">
        <v>81</v>
      </c>
      <c r="F13" s="32">
        <f>PriorYearBalanceSheet!I13</f>
        <v>0</v>
      </c>
      <c r="G13" s="32">
        <f>'CurrentYearBalanceSheet '!I13</f>
        <v>0</v>
      </c>
    </row>
    <row r="14" spans="1:7" x14ac:dyDescent="0.25">
      <c r="A14" s="17" t="s">
        <v>46</v>
      </c>
      <c r="B14" s="32">
        <f>PriorYearBalanceSheet!D14</f>
        <v>0</v>
      </c>
      <c r="C14" s="32">
        <f>'CurrentYearBalanceSheet '!D14</f>
        <v>0</v>
      </c>
      <c r="D14" s="17"/>
      <c r="E14" s="17" t="s">
        <v>82</v>
      </c>
      <c r="F14" s="32">
        <f>PriorYearBalanceSheet!I14</f>
        <v>0</v>
      </c>
      <c r="G14" s="32">
        <f>'CurrentYearBalanceSheet '!I14</f>
        <v>0</v>
      </c>
    </row>
    <row r="15" spans="1:7" x14ac:dyDescent="0.25">
      <c r="A15" s="17" t="s">
        <v>44</v>
      </c>
      <c r="B15" s="32">
        <f>PriorYearBalanceSheet!D15</f>
        <v>0</v>
      </c>
      <c r="C15" s="32">
        <f>'CurrentYearBalanceSheet '!D15</f>
        <v>0</v>
      </c>
      <c r="D15" s="17"/>
      <c r="E15" s="17" t="s">
        <v>83</v>
      </c>
      <c r="F15" s="32">
        <f>PriorYearBalanceSheet!I15</f>
        <v>0</v>
      </c>
      <c r="G15" s="32">
        <f>'CurrentYearBalanceSheet '!I15</f>
        <v>0</v>
      </c>
    </row>
    <row r="16" spans="1:7" x14ac:dyDescent="0.25">
      <c r="A16" s="17" t="s">
        <v>45</v>
      </c>
      <c r="B16" s="22"/>
      <c r="C16" s="22"/>
      <c r="D16" s="18"/>
      <c r="E16" s="17" t="s">
        <v>84</v>
      </c>
      <c r="F16" s="32">
        <f>PriorYearBalanceSheet!I16</f>
        <v>0</v>
      </c>
      <c r="G16" s="32">
        <f>'CurrentYearBalanceSheet '!I16</f>
        <v>0</v>
      </c>
    </row>
    <row r="17" spans="1:7" x14ac:dyDescent="0.25">
      <c r="A17" s="17" t="s">
        <v>43</v>
      </c>
      <c r="B17" s="32">
        <f>PriorYearBalanceSheet!D17</f>
        <v>208680</v>
      </c>
      <c r="C17" s="32">
        <f>'CurrentYearBalanceSheet '!D17</f>
        <v>168817</v>
      </c>
      <c r="D17" s="17"/>
      <c r="E17" s="17" t="s">
        <v>85</v>
      </c>
      <c r="F17" s="32">
        <f>PriorYearBalanceSheet!I17</f>
        <v>0</v>
      </c>
      <c r="G17" s="32">
        <f>'CurrentYearBalanceSheet '!I17</f>
        <v>0</v>
      </c>
    </row>
    <row r="18" spans="1:7" x14ac:dyDescent="0.25">
      <c r="A18" s="17" t="s">
        <v>46</v>
      </c>
      <c r="B18" s="32">
        <f>PriorYearBalanceSheet!D18</f>
        <v>0</v>
      </c>
      <c r="C18" s="32">
        <f>'CurrentYearBalanceSheet '!D18</f>
        <v>0</v>
      </c>
      <c r="D18" s="17"/>
      <c r="E18" s="17" t="s">
        <v>86</v>
      </c>
      <c r="F18" s="32">
        <f>PriorYearBalanceSheet!I18</f>
        <v>89661</v>
      </c>
      <c r="G18" s="32">
        <f>'CurrentYearBalanceSheet '!I18</f>
        <v>78608</v>
      </c>
    </row>
    <row r="19" spans="1:7" x14ac:dyDescent="0.25">
      <c r="A19" s="17" t="s">
        <v>44</v>
      </c>
      <c r="B19" s="32">
        <f>PriorYearBalanceSheet!D19</f>
        <v>0</v>
      </c>
      <c r="C19" s="32">
        <f>'CurrentYearBalanceSheet '!D19</f>
        <v>0</v>
      </c>
      <c r="D19" s="17"/>
      <c r="E19" s="17" t="s">
        <v>87</v>
      </c>
      <c r="F19" s="33">
        <f>PriorYearBalanceSheet!I19</f>
        <v>233671</v>
      </c>
      <c r="G19" s="32">
        <f>'CurrentYearBalanceSheet '!I19</f>
        <v>395623</v>
      </c>
    </row>
    <row r="20" spans="1:7" x14ac:dyDescent="0.25">
      <c r="A20" s="17" t="s">
        <v>47</v>
      </c>
      <c r="B20" s="32">
        <f>PriorYearBalanceSheet!D20</f>
        <v>0</v>
      </c>
      <c r="C20" s="32">
        <f>'CurrentYearBalanceSheet '!D20</f>
        <v>0</v>
      </c>
      <c r="D20" s="17"/>
      <c r="E20" s="17" t="s">
        <v>88</v>
      </c>
      <c r="F20" s="36">
        <f>SUM(F10:F19)</f>
        <v>382848</v>
      </c>
      <c r="G20" s="35">
        <f>SUM(G10:G19)</f>
        <v>602899</v>
      </c>
    </row>
    <row r="21" spans="1:7" x14ac:dyDescent="0.25">
      <c r="A21" s="17" t="s">
        <v>48</v>
      </c>
      <c r="B21" s="32">
        <f>PriorYearBalanceSheet!D21</f>
        <v>0</v>
      </c>
      <c r="C21" s="32">
        <f>'CurrentYearBalanceSheet '!D21</f>
        <v>0</v>
      </c>
      <c r="D21" s="17"/>
      <c r="E21" s="21" t="s">
        <v>89</v>
      </c>
      <c r="F21" s="17"/>
      <c r="G21" s="14"/>
    </row>
    <row r="22" spans="1:7" x14ac:dyDescent="0.25">
      <c r="A22" s="17" t="s">
        <v>49</v>
      </c>
      <c r="B22" s="32">
        <f>PriorYearBalanceSheet!D22</f>
        <v>0</v>
      </c>
      <c r="C22" s="32">
        <f>'CurrentYearBalanceSheet '!D22</f>
        <v>0</v>
      </c>
      <c r="D22" s="17"/>
      <c r="E22" s="17" t="s">
        <v>90</v>
      </c>
      <c r="F22" s="32">
        <f>PriorYearBalanceSheet!I22</f>
        <v>0</v>
      </c>
      <c r="G22" s="32">
        <f>'CurrentYearBalanceSheet '!I22</f>
        <v>0</v>
      </c>
    </row>
    <row r="23" spans="1:7" x14ac:dyDescent="0.25">
      <c r="A23" s="17" t="s">
        <v>50</v>
      </c>
      <c r="B23" s="32">
        <f>PriorYearBalanceSheet!D23</f>
        <v>0</v>
      </c>
      <c r="C23" s="32">
        <f>'CurrentYearBalanceSheet '!D23</f>
        <v>54421</v>
      </c>
      <c r="D23" s="17"/>
      <c r="E23" s="17" t="s">
        <v>91</v>
      </c>
      <c r="F23" s="32">
        <f>PriorYearBalanceSheet!I23</f>
        <v>0</v>
      </c>
      <c r="G23" s="32">
        <f>'CurrentYearBalanceSheet '!I23</f>
        <v>0</v>
      </c>
    </row>
    <row r="24" spans="1:7" x14ac:dyDescent="0.25">
      <c r="A24" s="17" t="s">
        <v>51</v>
      </c>
      <c r="B24" s="33">
        <f>PriorYearBalanceSheet!D24</f>
        <v>57125</v>
      </c>
      <c r="C24" s="33">
        <f>'CurrentYearBalanceSheet '!D24</f>
        <v>49808</v>
      </c>
      <c r="D24" s="17"/>
      <c r="E24" s="17" t="s">
        <v>92</v>
      </c>
      <c r="F24" s="32">
        <f>PriorYearBalanceSheet!I24</f>
        <v>0</v>
      </c>
      <c r="G24" s="32">
        <f>'CurrentYearBalanceSheet '!I24</f>
        <v>0</v>
      </c>
    </row>
    <row r="25" spans="1:7" x14ac:dyDescent="0.25">
      <c r="A25" s="17" t="s">
        <v>40</v>
      </c>
      <c r="B25" s="32">
        <f>B10+B11+B13+B14+B15+B17+B18+B19+B20+B21+B22+B23+B24</f>
        <v>4349000</v>
      </c>
      <c r="C25" s="32">
        <f>C10+C11+C13+C14+C15+C17+C18+C19+C20+C21+C22+C23+C24</f>
        <v>4178940</v>
      </c>
      <c r="D25" s="17"/>
      <c r="E25" s="17" t="s">
        <v>93</v>
      </c>
      <c r="F25" s="32">
        <f>PriorYearBalanceSheet!I25</f>
        <v>0</v>
      </c>
      <c r="G25" s="32">
        <f>'CurrentYearBalanceSheet '!I25</f>
        <v>0</v>
      </c>
    </row>
    <row r="26" spans="1:7" x14ac:dyDescent="0.25">
      <c r="A26" s="17"/>
      <c r="B26" s="32"/>
      <c r="C26" s="32"/>
      <c r="D26" s="17"/>
      <c r="E26" s="17" t="s">
        <v>94</v>
      </c>
      <c r="F26" s="32">
        <f>PriorYearBalanceSheet!I26</f>
        <v>0</v>
      </c>
      <c r="G26" s="32">
        <f>'CurrentYearBalanceSheet '!I26</f>
        <v>0</v>
      </c>
    </row>
    <row r="27" spans="1:7" x14ac:dyDescent="0.25">
      <c r="A27" s="17"/>
      <c r="B27" s="17"/>
      <c r="C27" s="17"/>
      <c r="D27" s="17"/>
      <c r="E27" s="17" t="s">
        <v>95</v>
      </c>
      <c r="F27" s="32">
        <f>PriorYearBalanceSheet!I27</f>
        <v>0</v>
      </c>
      <c r="G27" s="32">
        <f>'CurrentYearBalanceSheet '!I27</f>
        <v>0</v>
      </c>
    </row>
    <row r="28" spans="1:7" x14ac:dyDescent="0.25">
      <c r="A28" s="21" t="s">
        <v>53</v>
      </c>
      <c r="B28" s="17"/>
      <c r="C28" s="17"/>
      <c r="D28" s="17"/>
      <c r="E28" s="17" t="s">
        <v>130</v>
      </c>
      <c r="F28" s="32">
        <f>PriorYearBalanceSheet!I28</f>
        <v>0</v>
      </c>
      <c r="G28" s="32">
        <f>'CurrentYearBalanceSheet '!I28</f>
        <v>0</v>
      </c>
    </row>
    <row r="29" spans="1:7" x14ac:dyDescent="0.25">
      <c r="A29" s="17" t="s">
        <v>58</v>
      </c>
      <c r="B29" s="22"/>
      <c r="C29" s="22"/>
      <c r="D29" s="18"/>
      <c r="E29" s="17" t="s">
        <v>96</v>
      </c>
      <c r="F29" s="32">
        <f>PriorYearBalanceSheet!I29</f>
        <v>0</v>
      </c>
      <c r="G29" s="32">
        <f>'CurrentYearBalanceSheet '!I29</f>
        <v>0</v>
      </c>
    </row>
    <row r="30" spans="1:7" x14ac:dyDescent="0.25">
      <c r="A30" s="17" t="s">
        <v>54</v>
      </c>
      <c r="B30" s="32">
        <f>PriorYearBalanceSheet!D30</f>
        <v>0</v>
      </c>
      <c r="C30" s="32">
        <f>'CurrentYearBalanceSheet '!D30</f>
        <v>0</v>
      </c>
      <c r="D30" s="17"/>
      <c r="E30" s="17" t="s">
        <v>97</v>
      </c>
      <c r="F30" s="32">
        <f>PriorYearBalanceSheet!I30</f>
        <v>123396</v>
      </c>
      <c r="G30" s="32">
        <f>'CurrentYearBalanceSheet '!I30</f>
        <v>146338</v>
      </c>
    </row>
    <row r="31" spans="1:7" x14ac:dyDescent="0.25">
      <c r="A31" s="17" t="s">
        <v>55</v>
      </c>
      <c r="B31" s="32">
        <f>PriorYearBalanceSheet!D31</f>
        <v>0</v>
      </c>
      <c r="C31" s="32">
        <f>'CurrentYearBalanceSheet '!D31</f>
        <v>0</v>
      </c>
      <c r="D31" s="17"/>
      <c r="E31" s="17" t="s">
        <v>98</v>
      </c>
      <c r="F31" s="33">
        <f>PriorYearBalanceSheet!I31</f>
        <v>0</v>
      </c>
      <c r="G31" s="33">
        <f>'CurrentYearBalanceSheet '!I31</f>
        <v>0</v>
      </c>
    </row>
    <row r="32" spans="1:7" x14ac:dyDescent="0.25">
      <c r="A32" s="17" t="s">
        <v>59</v>
      </c>
      <c r="B32" s="22"/>
      <c r="C32" s="22"/>
      <c r="D32" s="18"/>
      <c r="E32" s="17" t="s">
        <v>99</v>
      </c>
      <c r="F32" s="32">
        <f>SUM(F22:F31)</f>
        <v>123396</v>
      </c>
      <c r="G32" s="32">
        <f>SUM(G22:G31)</f>
        <v>146338</v>
      </c>
    </row>
    <row r="33" spans="1:7" x14ac:dyDescent="0.25">
      <c r="A33" s="17" t="s">
        <v>56</v>
      </c>
      <c r="B33" s="32">
        <f>PriorYearBalanceSheet!D33</f>
        <v>0</v>
      </c>
      <c r="C33" s="32">
        <f>'CurrentYearBalanceSheet '!D33</f>
        <v>0</v>
      </c>
      <c r="D33" s="17"/>
      <c r="E33" s="21" t="s">
        <v>100</v>
      </c>
      <c r="F33" s="17"/>
      <c r="G33" s="14"/>
    </row>
    <row r="34" spans="1:7" x14ac:dyDescent="0.25">
      <c r="A34" s="17" t="s">
        <v>57</v>
      </c>
      <c r="B34" s="32">
        <f>PriorYearBalanceSheet!D34</f>
        <v>3000</v>
      </c>
      <c r="C34" s="32">
        <f>'CurrentYearBalanceSheet '!D34</f>
        <v>0</v>
      </c>
      <c r="D34" s="17"/>
      <c r="E34" s="17" t="s">
        <v>101</v>
      </c>
      <c r="F34" s="32">
        <f>PriorYearBalanceSheet!I34</f>
        <v>0</v>
      </c>
      <c r="G34" s="32">
        <f>'CurrentYearBalanceSheet '!I34</f>
        <v>0</v>
      </c>
    </row>
    <row r="35" spans="1:7" x14ac:dyDescent="0.25">
      <c r="A35" s="17" t="s">
        <v>60</v>
      </c>
      <c r="B35" s="32">
        <f>PriorYearBalanceSheet!D35</f>
        <v>3524</v>
      </c>
      <c r="C35" s="32">
        <f>'CurrentYearBalanceSheet '!D35</f>
        <v>3684</v>
      </c>
      <c r="D35" s="17"/>
      <c r="E35" s="18" t="s">
        <v>216</v>
      </c>
      <c r="F35" s="32">
        <f>PriorYearBalanceSheet!I35</f>
        <v>0</v>
      </c>
      <c r="G35" s="32">
        <f>'CurrentYearBalanceSheet '!I35</f>
        <v>0</v>
      </c>
    </row>
    <row r="36" spans="1:7" x14ac:dyDescent="0.25">
      <c r="A36" s="17" t="s">
        <v>61</v>
      </c>
      <c r="B36" s="32">
        <f>PriorYearBalanceSheet!D36</f>
        <v>0</v>
      </c>
      <c r="C36" s="32">
        <f>'CurrentYearBalanceSheet '!D36</f>
        <v>0</v>
      </c>
      <c r="D36" s="17"/>
      <c r="E36" s="17" t="s">
        <v>231</v>
      </c>
      <c r="F36" s="32">
        <f>PriorYearBalanceSheet!I36</f>
        <v>0</v>
      </c>
      <c r="G36" s="32">
        <f>'CurrentYearBalanceSheet '!I36</f>
        <v>0</v>
      </c>
    </row>
    <row r="37" spans="1:7" x14ac:dyDescent="0.25">
      <c r="A37" s="17" t="s">
        <v>62</v>
      </c>
      <c r="B37" s="32">
        <f>PriorYearBalanceSheet!D37</f>
        <v>656814</v>
      </c>
      <c r="C37" s="32">
        <f>'CurrentYearBalanceSheet '!D37</f>
        <v>446279</v>
      </c>
      <c r="D37" s="17"/>
      <c r="E37" s="17" t="s">
        <v>263</v>
      </c>
      <c r="F37" s="33">
        <f>PriorYearBalanceSheet!I37</f>
        <v>0</v>
      </c>
      <c r="G37" s="33">
        <f>'CurrentYearBalanceSheet '!I37</f>
        <v>0</v>
      </c>
    </row>
    <row r="38" spans="1:7" x14ac:dyDescent="0.25">
      <c r="A38" s="17" t="s">
        <v>63</v>
      </c>
      <c r="B38" s="33">
        <f>PriorYearBalanceSheet!D38</f>
        <v>0</v>
      </c>
      <c r="C38" s="33">
        <f>'CurrentYearBalanceSheet '!D38</f>
        <v>0</v>
      </c>
      <c r="D38" s="17"/>
      <c r="E38" s="17" t="s">
        <v>217</v>
      </c>
      <c r="F38" s="32">
        <f>SUM(F34:F37)</f>
        <v>0</v>
      </c>
      <c r="G38" s="32">
        <f>SUM(G34:G37)</f>
        <v>0</v>
      </c>
    </row>
    <row r="39" spans="1:7" x14ac:dyDescent="0.25">
      <c r="A39" s="17" t="s">
        <v>64</v>
      </c>
      <c r="B39" s="32">
        <f>B30+B31+B33+B34+B35+B36+B37+B38</f>
        <v>663338</v>
      </c>
      <c r="C39" s="32">
        <f>C30+C31+C33+C34+C35+C36+C37+C38</f>
        <v>449963</v>
      </c>
      <c r="D39" s="17"/>
      <c r="E39" s="21" t="s">
        <v>102</v>
      </c>
      <c r="F39" s="17"/>
      <c r="G39" s="14"/>
    </row>
    <row r="40" spans="1:7" x14ac:dyDescent="0.25">
      <c r="A40" s="17"/>
      <c r="B40" s="17"/>
      <c r="C40" s="17"/>
      <c r="D40" s="17"/>
      <c r="E40" s="17" t="s">
        <v>218</v>
      </c>
      <c r="F40" s="32">
        <f>PriorYearBalanceSheet!I40</f>
        <v>97200</v>
      </c>
      <c r="G40" s="32">
        <f>'CurrentYearBalanceSheet '!I40</f>
        <v>97200</v>
      </c>
    </row>
    <row r="41" spans="1:7" x14ac:dyDescent="0.25">
      <c r="A41" s="21" t="s">
        <v>65</v>
      </c>
      <c r="B41" s="17"/>
      <c r="C41" s="17"/>
      <c r="D41" s="17"/>
      <c r="E41" s="17" t="s">
        <v>219</v>
      </c>
      <c r="F41" s="32">
        <f>PriorYearBalanceSheet!I41</f>
        <v>0</v>
      </c>
      <c r="G41" s="32">
        <f>'CurrentYearBalanceSheet '!I41</f>
        <v>0</v>
      </c>
    </row>
    <row r="42" spans="1:7" x14ac:dyDescent="0.25">
      <c r="A42" s="17" t="s">
        <v>66</v>
      </c>
      <c r="B42" s="32">
        <f>PriorYearBalanceSheet!D42</f>
        <v>23670318</v>
      </c>
      <c r="C42" s="32">
        <f>'CurrentYearBalanceSheet '!D42</f>
        <v>24226553</v>
      </c>
      <c r="D42" s="17"/>
      <c r="E42" s="17" t="s">
        <v>220</v>
      </c>
      <c r="F42" s="32">
        <f>PriorYearBalanceSheet!I42</f>
        <v>0</v>
      </c>
      <c r="G42" s="32">
        <f>'CurrentYearBalanceSheet '!I42</f>
        <v>0</v>
      </c>
    </row>
    <row r="43" spans="1:7" x14ac:dyDescent="0.25">
      <c r="A43" s="17" t="s">
        <v>67</v>
      </c>
      <c r="B43" s="32">
        <f>PriorYearBalanceSheet!D43</f>
        <v>0</v>
      </c>
      <c r="C43" s="32">
        <f>'CurrentYearBalanceSheet '!D43</f>
        <v>0</v>
      </c>
      <c r="D43" s="17"/>
      <c r="E43" s="17" t="s">
        <v>226</v>
      </c>
      <c r="F43" s="32">
        <f>PriorYearBalanceSheet!I43</f>
        <v>0</v>
      </c>
      <c r="G43" s="32">
        <f>'CurrentYearBalanceSheet '!I43</f>
        <v>0</v>
      </c>
    </row>
    <row r="44" spans="1:7" x14ac:dyDescent="0.25">
      <c r="A44" s="17" t="s">
        <v>68</v>
      </c>
      <c r="B44" s="32">
        <f>PriorYearBalanceSheet!D44</f>
        <v>44258</v>
      </c>
      <c r="C44" s="32">
        <f>'CurrentYearBalanceSheet '!D44</f>
        <v>155679</v>
      </c>
      <c r="D44" s="17"/>
      <c r="E44" s="17" t="s">
        <v>221</v>
      </c>
      <c r="F44" s="32">
        <f>PriorYearBalanceSheet!I44</f>
        <v>0</v>
      </c>
      <c r="G44" s="32">
        <f>'CurrentYearBalanceSheet '!I44</f>
        <v>0</v>
      </c>
    </row>
    <row r="45" spans="1:7" x14ac:dyDescent="0.25">
      <c r="A45" s="17" t="s">
        <v>69</v>
      </c>
      <c r="B45" s="32">
        <f>PriorYearBalanceSheet!D45</f>
        <v>0</v>
      </c>
      <c r="C45" s="32">
        <f>'CurrentYearBalanceSheet '!D45</f>
        <v>0</v>
      </c>
      <c r="D45" s="17"/>
      <c r="E45" s="17" t="s">
        <v>222</v>
      </c>
      <c r="F45" s="32">
        <f>PriorYearBalanceSheet!I45</f>
        <v>0</v>
      </c>
      <c r="G45" s="32">
        <f>'CurrentYearBalanceSheet '!I45</f>
        <v>0</v>
      </c>
    </row>
    <row r="46" spans="1:7" x14ac:dyDescent="0.25">
      <c r="A46" s="17" t="s">
        <v>110</v>
      </c>
      <c r="B46" s="33">
        <f>PriorYearBalanceSheet!D46</f>
        <v>-22343195</v>
      </c>
      <c r="C46" s="33">
        <f>'CurrentYearBalanceSheet '!D46</f>
        <v>-23164055</v>
      </c>
      <c r="D46" s="17"/>
      <c r="E46" s="17" t="s">
        <v>232</v>
      </c>
      <c r="F46" s="33">
        <f>PriorYearBalanceSheet!I46</f>
        <v>5780275</v>
      </c>
      <c r="G46" s="33">
        <f>'CurrentYearBalanceSheet '!I46</f>
        <v>5000643</v>
      </c>
    </row>
    <row r="47" spans="1:7" x14ac:dyDescent="0.25">
      <c r="A47" s="17" t="s">
        <v>70</v>
      </c>
      <c r="B47" s="32">
        <f>SUM(B42:B46)</f>
        <v>1371381</v>
      </c>
      <c r="C47" s="32">
        <f>SUM(C42:C46)</f>
        <v>1218177</v>
      </c>
      <c r="D47" s="17"/>
      <c r="E47" s="17" t="s">
        <v>224</v>
      </c>
      <c r="F47" s="32">
        <f>SUM(F40:F46)</f>
        <v>5877475</v>
      </c>
      <c r="G47" s="32">
        <f>SUM(G40:G46)</f>
        <v>5097843</v>
      </c>
    </row>
    <row r="48" spans="1:7" x14ac:dyDescent="0.25">
      <c r="A48" s="17"/>
      <c r="B48" s="17"/>
      <c r="C48" s="17"/>
      <c r="D48" s="17"/>
      <c r="E48" s="17"/>
      <c r="F48" s="17"/>
      <c r="G48" s="14"/>
    </row>
    <row r="49" spans="1:7" ht="15.75" thickBot="1" x14ac:dyDescent="0.3">
      <c r="A49" s="21" t="s">
        <v>195</v>
      </c>
      <c r="B49" s="34">
        <f>B25+B39+B47</f>
        <v>6383719</v>
      </c>
      <c r="C49" s="34">
        <f>C25+C39+C47</f>
        <v>5847080</v>
      </c>
      <c r="D49" s="17"/>
      <c r="E49" s="21" t="s">
        <v>225</v>
      </c>
      <c r="F49" s="34">
        <f>F20+F32+F38+F47</f>
        <v>6383719</v>
      </c>
      <c r="G49" s="34">
        <f>G20+G32+G38+G47</f>
        <v>5847080</v>
      </c>
    </row>
    <row r="50" spans="1:7" ht="15.75" thickTop="1" x14ac:dyDescent="0.25">
      <c r="A50" s="19"/>
      <c r="B50" s="19"/>
      <c r="C50" s="19"/>
      <c r="D50" s="19"/>
      <c r="E50" s="19"/>
      <c r="F50" s="19"/>
      <c r="G50" s="15"/>
    </row>
    <row r="51" spans="1:7" x14ac:dyDescent="0.25">
      <c r="A51" t="s">
        <v>179</v>
      </c>
      <c r="B51" s="65"/>
      <c r="C51" s="65"/>
      <c r="D51" s="65"/>
      <c r="E51" s="65"/>
      <c r="F51" s="65"/>
      <c r="G51" s="65"/>
    </row>
    <row r="52" spans="1:7" x14ac:dyDescent="0.25">
      <c r="A52" t="s">
        <v>109</v>
      </c>
      <c r="B52" s="65"/>
      <c r="C52" s="65"/>
      <c r="D52" s="65"/>
      <c r="E52" s="65"/>
      <c r="F52" s="65"/>
      <c r="G52" s="65"/>
    </row>
    <row r="53" spans="1:7" x14ac:dyDescent="0.25">
      <c r="A53" t="s">
        <v>264</v>
      </c>
      <c r="B53" s="65"/>
      <c r="C53" s="65"/>
      <c r="D53" s="65"/>
      <c r="E53" s="65"/>
      <c r="F53" s="65"/>
      <c r="G53" s="65"/>
    </row>
    <row r="54" spans="1:7" x14ac:dyDescent="0.25">
      <c r="A54" s="65"/>
      <c r="B54" s="65"/>
      <c r="C54" s="65"/>
      <c r="D54" s="65"/>
      <c r="E54" s="65"/>
      <c r="F54" s="65"/>
      <c r="G54" s="65"/>
    </row>
    <row r="55" spans="1:7" x14ac:dyDescent="0.25">
      <c r="A55" s="65"/>
      <c r="B55" s="65"/>
      <c r="C55" s="65"/>
      <c r="D55" s="65"/>
      <c r="E55" s="65"/>
      <c r="F55" s="65"/>
      <c r="G55" s="65"/>
    </row>
    <row r="56" spans="1:7" x14ac:dyDescent="0.25">
      <c r="A56" s="65"/>
      <c r="B56" s="65"/>
      <c r="C56" s="65"/>
      <c r="D56" s="65"/>
      <c r="E56" s="65"/>
      <c r="F56" s="65"/>
      <c r="G56" s="65"/>
    </row>
    <row r="57" spans="1:7" x14ac:dyDescent="0.25">
      <c r="A57" s="65"/>
      <c r="B57" s="65"/>
      <c r="C57" s="65"/>
      <c r="D57" s="65"/>
      <c r="E57" s="65"/>
      <c r="F57" s="65"/>
      <c r="G57" s="65"/>
    </row>
    <row r="58" spans="1:7" x14ac:dyDescent="0.25">
      <c r="A58" s="65"/>
      <c r="B58" s="65"/>
      <c r="C58" s="65"/>
      <c r="D58" s="65"/>
      <c r="E58" s="65"/>
      <c r="F58" s="65"/>
      <c r="G58" s="65"/>
    </row>
    <row r="59" spans="1:7" x14ac:dyDescent="0.25">
      <c r="A59" s="65"/>
      <c r="B59" s="65"/>
      <c r="C59" s="65"/>
      <c r="D59" s="65"/>
      <c r="E59" s="65"/>
      <c r="F59" s="65"/>
      <c r="G59" s="65"/>
    </row>
    <row r="60" spans="1:7" x14ac:dyDescent="0.25">
      <c r="A60" s="65"/>
      <c r="B60" s="65"/>
      <c r="C60" s="65"/>
      <c r="D60" s="65"/>
      <c r="E60" s="65"/>
      <c r="F60" s="65"/>
      <c r="G60" s="65"/>
    </row>
    <row r="61" spans="1:7" x14ac:dyDescent="0.25">
      <c r="A61" s="65"/>
      <c r="B61" s="65"/>
      <c r="C61" s="65"/>
      <c r="D61" s="65"/>
      <c r="E61" s="65"/>
      <c r="F61" s="65"/>
      <c r="G61" s="65"/>
    </row>
  </sheetData>
  <sheetProtection algorithmName="SHA-512" hashValue="DJJf3G1yuLOF/fvRyvoIJT07eP627ZmYD7iCqBE8Joc1CHonEHk5f6TpYkZv8VAJKB6gM5ou18yrxzIAqqTziA==" saltValue="Mg3RxKPZyCFtbTamtHhac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33"/>
  <sheetViews>
    <sheetView zoomScaleNormal="100" workbookViewId="0">
      <selection activeCell="A17" sqref="A17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Tenino Telephone Company</v>
      </c>
      <c r="C3" s="65"/>
      <c r="D3" s="65"/>
      <c r="E3" s="65"/>
      <c r="F3" s="65"/>
    </row>
    <row r="4" spans="1:6" x14ac:dyDescent="0.25">
      <c r="B4" s="66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162</v>
      </c>
      <c r="D6" s="9" t="s">
        <v>105</v>
      </c>
      <c r="E6" s="9" t="s">
        <v>105</v>
      </c>
      <c r="F6" s="23" t="s">
        <v>116</v>
      </c>
    </row>
    <row r="7" spans="1:6" x14ac:dyDescent="0.25">
      <c r="A7" s="17" t="s">
        <v>0</v>
      </c>
      <c r="B7" s="10" t="s">
        <v>147</v>
      </c>
      <c r="C7" s="10" t="s">
        <v>118</v>
      </c>
      <c r="D7" s="10" t="s">
        <v>73</v>
      </c>
      <c r="E7" s="10" t="s">
        <v>73</v>
      </c>
      <c r="F7" s="4" t="s">
        <v>117</v>
      </c>
    </row>
    <row r="8" spans="1:6" x14ac:dyDescent="0.25">
      <c r="A8" s="11"/>
      <c r="B8" s="19"/>
      <c r="C8" s="11" t="s">
        <v>119</v>
      </c>
      <c r="D8" s="11">
        <v>2016</v>
      </c>
      <c r="E8" s="11">
        <v>2017</v>
      </c>
      <c r="F8" s="5" t="s">
        <v>71</v>
      </c>
    </row>
    <row r="9" spans="1:6" x14ac:dyDescent="0.25">
      <c r="A9" s="9"/>
      <c r="B9" s="20" t="s">
        <v>112</v>
      </c>
      <c r="C9" s="6"/>
      <c r="D9" s="6"/>
      <c r="E9" s="6"/>
      <c r="F9" s="14"/>
    </row>
    <row r="10" spans="1:6" x14ac:dyDescent="0.25">
      <c r="A10" s="10">
        <v>1</v>
      </c>
      <c r="B10" s="17" t="s">
        <v>265</v>
      </c>
      <c r="C10" s="10">
        <v>18</v>
      </c>
      <c r="D10" s="58">
        <f>'BalanceSheet(Summary)'!B42</f>
        <v>23670318</v>
      </c>
      <c r="E10" s="58">
        <f>'BalanceSheet(Summary)'!C42</f>
        <v>24226553</v>
      </c>
      <c r="F10" s="58">
        <f>(D10+E10)/2</f>
        <v>23948435.5</v>
      </c>
    </row>
    <row r="11" spans="1:6" x14ac:dyDescent="0.25">
      <c r="A11" s="10">
        <v>2</v>
      </c>
      <c r="B11" s="17" t="s">
        <v>161</v>
      </c>
      <c r="C11" s="10">
        <v>19</v>
      </c>
      <c r="D11" s="58">
        <f>'BalanceSheet(Summary)'!B43</f>
        <v>0</v>
      </c>
      <c r="E11" s="58">
        <f>'BalanceSheet(Summary)'!C43</f>
        <v>0</v>
      </c>
      <c r="F11" s="58">
        <f>(D11+E11)/2</f>
        <v>0</v>
      </c>
    </row>
    <row r="12" spans="1:6" x14ac:dyDescent="0.25">
      <c r="A12" s="10">
        <v>3</v>
      </c>
      <c r="B12" s="17" t="s">
        <v>114</v>
      </c>
      <c r="C12" s="10">
        <v>22</v>
      </c>
      <c r="D12" s="58">
        <f>'BalanceSheet(Summary)'!B46</f>
        <v>-22343195</v>
      </c>
      <c r="E12" s="58">
        <f>'BalanceSheet(Summary)'!C46</f>
        <v>-23164055</v>
      </c>
      <c r="F12" s="58">
        <f t="shared" ref="F12:F15" si="0">(D12+E12)/2</f>
        <v>-22753625</v>
      </c>
    </row>
    <row r="13" spans="1:6" x14ac:dyDescent="0.25">
      <c r="A13" s="10">
        <v>4</v>
      </c>
      <c r="B13" s="17" t="s">
        <v>113</v>
      </c>
      <c r="C13" s="10">
        <v>6</v>
      </c>
      <c r="D13" s="58">
        <f>'BalanceSheet(Summary)'!B21</f>
        <v>0</v>
      </c>
      <c r="E13" s="58">
        <f>'BalanceSheet(Summary)'!C21</f>
        <v>0</v>
      </c>
      <c r="F13" s="58">
        <f t="shared" si="0"/>
        <v>0</v>
      </c>
    </row>
    <row r="14" spans="1:6" x14ac:dyDescent="0.25">
      <c r="A14" s="10">
        <v>5</v>
      </c>
      <c r="B14" s="17" t="s">
        <v>257</v>
      </c>
      <c r="C14" s="11"/>
      <c r="D14" s="52"/>
      <c r="E14" s="52"/>
      <c r="F14" s="58">
        <f t="shared" si="0"/>
        <v>0</v>
      </c>
    </row>
    <row r="15" spans="1:6" ht="15.75" thickBot="1" x14ac:dyDescent="0.3">
      <c r="A15" s="11">
        <v>6</v>
      </c>
      <c r="B15" s="82" t="s">
        <v>155</v>
      </c>
      <c r="C15" s="84"/>
      <c r="D15" s="87">
        <f>SUM(D10:D14)</f>
        <v>1327123</v>
      </c>
      <c r="E15" s="62">
        <f>SUM(E10:E14)</f>
        <v>1062498</v>
      </c>
      <c r="F15" s="63">
        <f t="shared" si="0"/>
        <v>1194810.5</v>
      </c>
    </row>
    <row r="16" spans="1:6" ht="15.75" thickTop="1" x14ac:dyDescent="0.25">
      <c r="A16" s="12"/>
      <c r="B16" s="12"/>
      <c r="C16" s="66"/>
      <c r="D16" s="66"/>
      <c r="E16" s="66"/>
      <c r="F16" s="66"/>
    </row>
    <row r="17" spans="1:6" x14ac:dyDescent="0.25">
      <c r="B17" t="s">
        <v>169</v>
      </c>
      <c r="C17" s="65"/>
      <c r="D17" s="65"/>
      <c r="E17" s="65"/>
      <c r="F17" s="65"/>
    </row>
    <row r="18" spans="1:6" x14ac:dyDescent="0.25">
      <c r="B18" t="s">
        <v>249</v>
      </c>
      <c r="C18" s="65"/>
      <c r="D18" s="65"/>
      <c r="E18" s="65"/>
      <c r="F18" s="65"/>
    </row>
    <row r="19" spans="1:6" x14ac:dyDescent="0.25">
      <c r="B19" t="s">
        <v>115</v>
      </c>
      <c r="C19" s="65"/>
      <c r="D19" s="65"/>
      <c r="E19" s="65"/>
      <c r="F19" s="65"/>
    </row>
    <row r="20" spans="1:6" x14ac:dyDescent="0.25">
      <c r="A20" s="47" t="s">
        <v>256</v>
      </c>
      <c r="B20" t="s">
        <v>250</v>
      </c>
      <c r="C20" s="65"/>
      <c r="D20" s="65"/>
      <c r="E20" s="65"/>
      <c r="F20" s="65"/>
    </row>
    <row r="21" spans="1:6" x14ac:dyDescent="0.25">
      <c r="B21" t="s">
        <v>252</v>
      </c>
      <c r="C21" s="65"/>
      <c r="D21" s="65"/>
      <c r="E21" s="65"/>
      <c r="F21" s="65"/>
    </row>
    <row r="22" spans="1:6" x14ac:dyDescent="0.25">
      <c r="B22" t="s">
        <v>253</v>
      </c>
      <c r="C22" s="65"/>
      <c r="D22" s="65"/>
      <c r="E22" s="65"/>
      <c r="F22" s="65"/>
    </row>
    <row r="23" spans="1:6" x14ac:dyDescent="0.25">
      <c r="B23" t="s">
        <v>251</v>
      </c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  <row r="30" spans="1:6" x14ac:dyDescent="0.25">
      <c r="A30" s="65"/>
      <c r="B30" s="65"/>
      <c r="C30" s="65"/>
      <c r="D30" s="65"/>
      <c r="E30" s="65"/>
      <c r="F30" s="65"/>
    </row>
    <row r="31" spans="1:6" x14ac:dyDescent="0.25">
      <c r="A31" s="65"/>
      <c r="B31" s="65"/>
      <c r="C31" s="65"/>
      <c r="D31" s="65"/>
      <c r="E31" s="65"/>
      <c r="F31" s="65"/>
    </row>
    <row r="32" spans="1:6" x14ac:dyDescent="0.25">
      <c r="A32" s="65"/>
      <c r="B32" s="65"/>
      <c r="C32" s="65"/>
      <c r="D32" s="65"/>
      <c r="E32" s="65"/>
      <c r="F32" s="65"/>
    </row>
    <row r="33" spans="1:6" x14ac:dyDescent="0.25">
      <c r="A33" s="65"/>
      <c r="B33" s="65"/>
      <c r="C33" s="65"/>
      <c r="D33" s="65"/>
      <c r="E33" s="65"/>
      <c r="F33" s="65"/>
    </row>
  </sheetData>
  <sheetProtection algorithmName="SHA-512" hashValue="IH6b4yVdLPD28Egt1yA/EX5HXBTuKCRtTErd/9YMqGJRYqPx1P9hjkfIDo93pZVgzxY1SK0Gft3RptssxBrFBQ==" saltValue="SpubO8ANQvGepaRTiLQz1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29"/>
  <sheetViews>
    <sheetView zoomScaleNormal="100" workbookViewId="0">
      <selection activeCell="C10" sqref="C10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Tenino Telephone Company</v>
      </c>
      <c r="C3" s="65"/>
      <c r="D3" s="65"/>
      <c r="E3" s="65"/>
      <c r="F3" s="65"/>
    </row>
    <row r="4" spans="1:6" x14ac:dyDescent="0.25">
      <c r="B4" s="65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72</v>
      </c>
      <c r="D6" s="9" t="s">
        <v>111</v>
      </c>
      <c r="E6" s="6"/>
      <c r="F6" s="3"/>
    </row>
    <row r="7" spans="1:6" x14ac:dyDescent="0.25">
      <c r="A7" s="10" t="s">
        <v>0</v>
      </c>
      <c r="B7" s="10" t="s">
        <v>147</v>
      </c>
      <c r="C7" s="10" t="s">
        <v>124</v>
      </c>
      <c r="D7" s="10" t="s">
        <v>128</v>
      </c>
      <c r="E7" s="24" t="s">
        <v>125</v>
      </c>
      <c r="F7" s="4" t="s">
        <v>126</v>
      </c>
    </row>
    <row r="8" spans="1:6" x14ac:dyDescent="0.25">
      <c r="A8" s="19"/>
      <c r="B8" s="19"/>
      <c r="C8" s="11" t="s">
        <v>234</v>
      </c>
      <c r="D8" s="11" t="s">
        <v>254</v>
      </c>
      <c r="E8" s="11"/>
      <c r="F8" s="5" t="s">
        <v>127</v>
      </c>
    </row>
    <row r="9" spans="1:6" x14ac:dyDescent="0.25">
      <c r="A9" s="6"/>
      <c r="B9" s="20" t="s">
        <v>120</v>
      </c>
      <c r="C9" s="6"/>
      <c r="D9" s="32"/>
      <c r="E9" s="6"/>
      <c r="F9" s="14"/>
    </row>
    <row r="10" spans="1:6" x14ac:dyDescent="0.25">
      <c r="A10" s="10">
        <v>1</v>
      </c>
      <c r="B10" s="17" t="s">
        <v>121</v>
      </c>
      <c r="C10" s="52">
        <f>2085+13</f>
        <v>2098</v>
      </c>
      <c r="D10" s="52">
        <f>1971+12+4</f>
        <v>1987</v>
      </c>
      <c r="E10" s="32">
        <f>D10-C10</f>
        <v>-111</v>
      </c>
      <c r="F10" s="38">
        <f>E10/C10</f>
        <v>-5.290753098188751E-2</v>
      </c>
    </row>
    <row r="11" spans="1:6" x14ac:dyDescent="0.25">
      <c r="A11" s="10">
        <v>2</v>
      </c>
      <c r="B11" s="19" t="s">
        <v>122</v>
      </c>
      <c r="C11" s="52">
        <f>412+39</f>
        <v>451</v>
      </c>
      <c r="D11" s="52">
        <f>401+5+12+46-4</f>
        <v>460</v>
      </c>
      <c r="E11" s="32">
        <f>D11-C11</f>
        <v>9</v>
      </c>
      <c r="F11" s="38">
        <f t="shared" ref="F11:F12" si="0">E11/C11</f>
        <v>1.9955654101995565E-2</v>
      </c>
    </row>
    <row r="12" spans="1:6" ht="15.75" thickBot="1" x14ac:dyDescent="0.3">
      <c r="A12" s="11">
        <v>3</v>
      </c>
      <c r="B12" s="84" t="s">
        <v>123</v>
      </c>
      <c r="C12" s="34">
        <f>SUM(C10:C11)</f>
        <v>2549</v>
      </c>
      <c r="D12" s="34">
        <f t="shared" ref="D12:E12" si="1">SUM(D10:D11)</f>
        <v>2447</v>
      </c>
      <c r="E12" s="34">
        <f t="shared" si="1"/>
        <v>-102</v>
      </c>
      <c r="F12" s="39">
        <f t="shared" si="0"/>
        <v>-4.0015692428403297E-2</v>
      </c>
    </row>
    <row r="13" spans="1:6" ht="15.75" thickTop="1" x14ac:dyDescent="0.25">
      <c r="A13" s="103"/>
      <c r="B13" s="66"/>
      <c r="C13" s="66"/>
      <c r="D13" s="66"/>
      <c r="E13" s="66"/>
      <c r="F13" s="66"/>
    </row>
    <row r="14" spans="1:6" x14ac:dyDescent="0.25">
      <c r="A14" s="65" t="s">
        <v>183</v>
      </c>
      <c r="B14" s="65" t="s">
        <v>255</v>
      </c>
      <c r="C14" s="65"/>
      <c r="D14" s="65"/>
      <c r="E14" s="65"/>
      <c r="F14" s="65"/>
    </row>
    <row r="15" spans="1:6" x14ac:dyDescent="0.25">
      <c r="A15" s="65"/>
      <c r="B15" s="65" t="s">
        <v>205</v>
      </c>
      <c r="C15" s="65"/>
      <c r="D15" s="65"/>
      <c r="E15" s="65"/>
      <c r="F15" s="65"/>
    </row>
    <row r="16" spans="1:6" x14ac:dyDescent="0.25">
      <c r="A16" s="65"/>
      <c r="B16" s="65"/>
      <c r="C16" s="65"/>
      <c r="D16" s="65"/>
      <c r="E16" s="65"/>
      <c r="F16" s="65"/>
    </row>
    <row r="17" spans="1:6" x14ac:dyDescent="0.25">
      <c r="A17" s="65"/>
      <c r="B17" s="65"/>
      <c r="C17" s="65"/>
      <c r="D17" s="65"/>
      <c r="E17" s="65"/>
      <c r="F17" s="65"/>
    </row>
    <row r="18" spans="1:6" x14ac:dyDescent="0.25">
      <c r="A18" s="65"/>
      <c r="B18" s="65"/>
      <c r="C18" s="65"/>
      <c r="D18" s="65"/>
      <c r="E18" s="65"/>
      <c r="F18" s="65"/>
    </row>
    <row r="19" spans="1:6" x14ac:dyDescent="0.25">
      <c r="A19" s="65"/>
      <c r="B19" s="65"/>
      <c r="C19" s="65"/>
      <c r="D19" s="65"/>
      <c r="E19" s="65"/>
      <c r="F19" s="65"/>
    </row>
    <row r="20" spans="1:6" x14ac:dyDescent="0.25">
      <c r="A20" s="65"/>
      <c r="B20" s="65"/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</sheetData>
  <sheetProtection algorithmName="SHA-512" hashValue="s0kfJxnWJP5dY9w/R2vMYp3TqBfiLmZAI97Z/9UgXXbv18MR6KfHrN0MbgyCEHb/iYZWFPyIyDyLepGlYLixzg==" saltValue="ZL/6yruxH85yJhVabDQ8e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79"/>
  <sheetViews>
    <sheetView topLeftCell="A28" zoomScaleNormal="100" workbookViewId="0">
      <selection activeCell="C42" sqref="C42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Tenino Telephone Company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72</v>
      </c>
      <c r="D6" s="27" t="s">
        <v>103</v>
      </c>
      <c r="E6" s="26" t="s">
        <v>72</v>
      </c>
    </row>
    <row r="7" spans="1:6" x14ac:dyDescent="0.25">
      <c r="A7" s="17" t="s">
        <v>0</v>
      </c>
      <c r="B7" s="10" t="s">
        <v>147</v>
      </c>
      <c r="C7" s="10">
        <v>2016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236</v>
      </c>
    </row>
    <row r="9" spans="1:6" x14ac:dyDescent="0.25">
      <c r="A9" s="9">
        <v>1</v>
      </c>
      <c r="B9" s="3" t="s">
        <v>1</v>
      </c>
      <c r="C9" s="55">
        <v>617895</v>
      </c>
      <c r="D9" s="52"/>
      <c r="E9" s="58">
        <f>SUM(C9:D9)</f>
        <v>617895</v>
      </c>
    </row>
    <row r="10" spans="1:6" x14ac:dyDescent="0.25">
      <c r="A10" s="10">
        <v>2</v>
      </c>
      <c r="B10" s="14" t="s">
        <v>2</v>
      </c>
      <c r="C10" s="52">
        <v>2466052</v>
      </c>
      <c r="D10" s="52"/>
      <c r="E10" s="58">
        <f t="shared" ref="E10:E14" si="0">SUM(C10:D10)</f>
        <v>2466052</v>
      </c>
    </row>
    <row r="11" spans="1:6" x14ac:dyDescent="0.25">
      <c r="A11" s="10">
        <v>3</v>
      </c>
      <c r="B11" s="14" t="s">
        <v>3</v>
      </c>
      <c r="C11" s="52"/>
      <c r="D11" s="52"/>
      <c r="E11" s="58">
        <f t="shared" si="0"/>
        <v>0</v>
      </c>
    </row>
    <row r="12" spans="1:6" x14ac:dyDescent="0.25">
      <c r="A12" s="10">
        <v>4</v>
      </c>
      <c r="B12" s="14" t="s">
        <v>4</v>
      </c>
      <c r="C12" s="52">
        <v>28947</v>
      </c>
      <c r="D12" s="52"/>
      <c r="E12" s="58">
        <f t="shared" si="0"/>
        <v>28947</v>
      </c>
    </row>
    <row r="13" spans="1:6" x14ac:dyDescent="0.25">
      <c r="A13" s="10">
        <v>5</v>
      </c>
      <c r="B13" s="14" t="s">
        <v>5</v>
      </c>
      <c r="C13" s="52">
        <f>61854-28947</f>
        <v>32907</v>
      </c>
      <c r="D13" s="52"/>
      <c r="E13" s="58">
        <f t="shared" si="0"/>
        <v>32907</v>
      </c>
    </row>
    <row r="14" spans="1:6" x14ac:dyDescent="0.25">
      <c r="A14" s="10">
        <v>6</v>
      </c>
      <c r="B14" s="14" t="s">
        <v>133</v>
      </c>
      <c r="C14" s="52">
        <v>-8949</v>
      </c>
      <c r="D14" s="52"/>
      <c r="E14" s="58">
        <f t="shared" si="0"/>
        <v>-8949</v>
      </c>
    </row>
    <row r="15" spans="1:6" x14ac:dyDescent="0.25">
      <c r="A15" s="10">
        <v>7</v>
      </c>
      <c r="B15" s="88" t="s">
        <v>132</v>
      </c>
      <c r="C15" s="96">
        <f>SUM(C9:C14)</f>
        <v>3136852</v>
      </c>
      <c r="D15" s="96">
        <f t="shared" ref="D15:E15" si="1">SUM(D9:D14)</f>
        <v>0</v>
      </c>
      <c r="E15" s="96">
        <f t="shared" si="1"/>
        <v>3136852</v>
      </c>
      <c r="F15" s="1"/>
    </row>
    <row r="16" spans="1:6" x14ac:dyDescent="0.25">
      <c r="A16" s="10">
        <v>8</v>
      </c>
      <c r="B16" s="14" t="s">
        <v>6</v>
      </c>
      <c r="C16" s="52">
        <v>1324193</v>
      </c>
      <c r="D16" s="52">
        <v>-4983</v>
      </c>
      <c r="E16" s="41">
        <f>SUM(C16:D16)</f>
        <v>1319210</v>
      </c>
    </row>
    <row r="17" spans="1:6" x14ac:dyDescent="0.25">
      <c r="A17" s="10">
        <v>9</v>
      </c>
      <c r="B17" s="14" t="s">
        <v>39</v>
      </c>
      <c r="C17" s="52">
        <v>737863</v>
      </c>
      <c r="D17" s="52"/>
      <c r="E17" s="41">
        <f t="shared" ref="E17:E21" si="2">SUM(C17:D17)</f>
        <v>737863</v>
      </c>
    </row>
    <row r="18" spans="1:6" x14ac:dyDescent="0.25">
      <c r="A18" s="10">
        <v>10</v>
      </c>
      <c r="B18" s="14" t="s">
        <v>7</v>
      </c>
      <c r="C18" s="52">
        <v>767870</v>
      </c>
      <c r="D18" s="52">
        <v>-2368</v>
      </c>
      <c r="E18" s="41">
        <f t="shared" si="2"/>
        <v>765502</v>
      </c>
    </row>
    <row r="19" spans="1:6" x14ac:dyDescent="0.25">
      <c r="A19" s="10">
        <v>11</v>
      </c>
      <c r="B19" s="14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4" t="s">
        <v>9</v>
      </c>
      <c r="C20" s="52">
        <v>274164</v>
      </c>
      <c r="D20" s="52">
        <v>-6619</v>
      </c>
      <c r="E20" s="41">
        <f t="shared" si="2"/>
        <v>267545</v>
      </c>
    </row>
    <row r="21" spans="1:6" x14ac:dyDescent="0.25">
      <c r="A21" s="10">
        <v>13</v>
      </c>
      <c r="B21" s="14" t="s">
        <v>10</v>
      </c>
      <c r="C21" s="52">
        <v>705105</v>
      </c>
      <c r="D21" s="52">
        <v>-6771</v>
      </c>
      <c r="E21" s="41">
        <f t="shared" si="2"/>
        <v>698334</v>
      </c>
    </row>
    <row r="22" spans="1:6" x14ac:dyDescent="0.25">
      <c r="A22" s="10">
        <v>14</v>
      </c>
      <c r="B22" s="83" t="s">
        <v>237</v>
      </c>
      <c r="C22" s="96">
        <f>C16+C17+C18+C19+C20+C21</f>
        <v>3809195</v>
      </c>
      <c r="D22" s="96">
        <f>D16+D17+D18+D19+D20+D21</f>
        <v>-20741</v>
      </c>
      <c r="E22" s="97">
        <f>E16+E17+E18+E19+E20+E21</f>
        <v>3788454</v>
      </c>
      <c r="F22" s="1"/>
    </row>
    <row r="23" spans="1:6" x14ac:dyDescent="0.25">
      <c r="A23" s="10">
        <v>15</v>
      </c>
      <c r="B23" s="14" t="s">
        <v>14</v>
      </c>
      <c r="C23" s="58">
        <f>C15-C22</f>
        <v>-672343</v>
      </c>
      <c r="D23" s="58">
        <f>D15-D22</f>
        <v>20741</v>
      </c>
      <c r="E23" s="58">
        <f>E15-E22</f>
        <v>-651602</v>
      </c>
    </row>
    <row r="24" spans="1:6" x14ac:dyDescent="0.25">
      <c r="A24" s="10">
        <v>16</v>
      </c>
      <c r="B24" s="14" t="s">
        <v>134</v>
      </c>
      <c r="C24" s="52"/>
      <c r="D24" s="54"/>
      <c r="E24" s="58">
        <f>SUM(C24:D24)</f>
        <v>0</v>
      </c>
    </row>
    <row r="25" spans="1:6" x14ac:dyDescent="0.25">
      <c r="A25" s="10">
        <v>17</v>
      </c>
      <c r="B25" s="14" t="s">
        <v>11</v>
      </c>
      <c r="C25" s="52">
        <v>98467</v>
      </c>
      <c r="D25" s="112">
        <v>-102</v>
      </c>
      <c r="E25" s="58">
        <f t="shared" ref="E25:E27" si="3">SUM(C25:D25)</f>
        <v>98365</v>
      </c>
    </row>
    <row r="26" spans="1:6" x14ac:dyDescent="0.25">
      <c r="A26" s="10">
        <v>18</v>
      </c>
      <c r="B26" s="14" t="s">
        <v>191</v>
      </c>
      <c r="C26" s="52">
        <v>-260309</v>
      </c>
      <c r="D26" s="54">
        <v>17423</v>
      </c>
      <c r="E26" s="58">
        <f t="shared" si="3"/>
        <v>-242886</v>
      </c>
    </row>
    <row r="27" spans="1:6" x14ac:dyDescent="0.25">
      <c r="A27" s="10">
        <v>19</v>
      </c>
      <c r="B27" s="14" t="s">
        <v>13</v>
      </c>
      <c r="C27" s="52"/>
      <c r="D27" s="112"/>
      <c r="E27" s="58">
        <f t="shared" si="3"/>
        <v>0</v>
      </c>
    </row>
    <row r="28" spans="1:6" x14ac:dyDescent="0.25">
      <c r="A28" s="10">
        <v>20</v>
      </c>
      <c r="B28" s="88" t="s">
        <v>12</v>
      </c>
      <c r="C28" s="79">
        <f>SUM(C25:C27)</f>
        <v>-161842</v>
      </c>
      <c r="D28" s="79">
        <f t="shared" ref="D28:E28" si="4">SUM(D25:D27)</f>
        <v>17321</v>
      </c>
      <c r="E28" s="98">
        <f t="shared" si="4"/>
        <v>-144521</v>
      </c>
    </row>
    <row r="29" spans="1:6" x14ac:dyDescent="0.25">
      <c r="A29" s="10">
        <v>21</v>
      </c>
      <c r="B29" s="88" t="s">
        <v>22</v>
      </c>
      <c r="C29" s="79">
        <f>C23+C24-C28</f>
        <v>-510501</v>
      </c>
      <c r="D29" s="79">
        <f>D23+D24-D28</f>
        <v>3420</v>
      </c>
      <c r="E29" s="98">
        <f>E23+E24-E28</f>
        <v>-507081</v>
      </c>
    </row>
    <row r="30" spans="1:6" x14ac:dyDescent="0.25">
      <c r="A30" s="10">
        <v>22</v>
      </c>
      <c r="B30" s="14" t="s">
        <v>15</v>
      </c>
      <c r="C30" s="52"/>
      <c r="D30" s="54"/>
      <c r="E30" s="58">
        <f>SUM(C30:D30)</f>
        <v>0</v>
      </c>
    </row>
    <row r="31" spans="1:6" x14ac:dyDescent="0.25">
      <c r="A31" s="10">
        <v>23</v>
      </c>
      <c r="B31" s="14" t="s">
        <v>16</v>
      </c>
      <c r="C31" s="52"/>
      <c r="D31" s="54"/>
      <c r="E31" s="58">
        <f t="shared" ref="E31:E33" si="5">SUM(C31:D31)</f>
        <v>0</v>
      </c>
    </row>
    <row r="32" spans="1:6" x14ac:dyDescent="0.25">
      <c r="A32" s="10">
        <v>24</v>
      </c>
      <c r="B32" s="14" t="s">
        <v>17</v>
      </c>
      <c r="C32" s="52"/>
      <c r="D32" s="54"/>
      <c r="E32" s="58">
        <f t="shared" si="5"/>
        <v>0</v>
      </c>
    </row>
    <row r="33" spans="1:10" x14ac:dyDescent="0.25">
      <c r="A33" s="10">
        <v>25</v>
      </c>
      <c r="B33" s="14" t="s">
        <v>268</v>
      </c>
      <c r="C33" s="52"/>
      <c r="D33" s="54"/>
      <c r="E33" s="59">
        <f t="shared" si="5"/>
        <v>0</v>
      </c>
    </row>
    <row r="34" spans="1:10" x14ac:dyDescent="0.25">
      <c r="A34" s="10">
        <v>26</v>
      </c>
      <c r="B34" s="88" t="s">
        <v>267</v>
      </c>
      <c r="C34" s="79">
        <f>SUM(C30:C33)</f>
        <v>0</v>
      </c>
      <c r="D34" s="99">
        <f t="shared" ref="D34" si="6">SUM(D30:D33)</f>
        <v>0</v>
      </c>
      <c r="E34" s="79">
        <f>SUM(E30:E33)</f>
        <v>0</v>
      </c>
    </row>
    <row r="35" spans="1:10" x14ac:dyDescent="0.25">
      <c r="A35" s="10">
        <v>27</v>
      </c>
      <c r="B35" s="14" t="s">
        <v>18</v>
      </c>
      <c r="C35" s="52">
        <f>45428-3067</f>
        <v>42361</v>
      </c>
      <c r="D35" s="54"/>
      <c r="E35" s="32">
        <f>SUM(C35:D35)</f>
        <v>42361</v>
      </c>
    </row>
    <row r="36" spans="1:10" x14ac:dyDescent="0.25">
      <c r="A36" s="10">
        <v>28</v>
      </c>
      <c r="B36" s="14" t="s">
        <v>19</v>
      </c>
      <c r="C36" s="52"/>
      <c r="D36" s="54"/>
      <c r="E36" s="32">
        <f t="shared" ref="E36:E38" si="7">SUM(C36:D36)</f>
        <v>0</v>
      </c>
    </row>
    <row r="37" spans="1:10" x14ac:dyDescent="0.25">
      <c r="A37" s="10">
        <v>29</v>
      </c>
      <c r="B37" s="14" t="s">
        <v>78</v>
      </c>
      <c r="C37" s="52"/>
      <c r="D37" s="54"/>
      <c r="E37" s="32">
        <f t="shared" si="7"/>
        <v>0</v>
      </c>
    </row>
    <row r="38" spans="1:10" x14ac:dyDescent="0.25">
      <c r="A38" s="10">
        <v>30</v>
      </c>
      <c r="B38" s="14" t="s">
        <v>180</v>
      </c>
      <c r="C38" s="52">
        <f>52347-32201</f>
        <v>20146</v>
      </c>
      <c r="D38" s="69">
        <f>-1*(D29-D34)</f>
        <v>-3420</v>
      </c>
      <c r="E38" s="32">
        <f t="shared" si="7"/>
        <v>16726</v>
      </c>
    </row>
    <row r="39" spans="1:10" x14ac:dyDescent="0.25">
      <c r="A39" s="10">
        <v>31</v>
      </c>
      <c r="B39" s="88" t="s">
        <v>21</v>
      </c>
      <c r="C39" s="79">
        <f>C29-C34+C35+C36+C37+C38</f>
        <v>-447994</v>
      </c>
      <c r="D39" s="79">
        <f t="shared" ref="D39:E39" si="8">D29-D34+D35+D36+D37+D38</f>
        <v>0</v>
      </c>
      <c r="E39" s="79">
        <f t="shared" si="8"/>
        <v>-447994</v>
      </c>
    </row>
    <row r="40" spans="1:10" x14ac:dyDescent="0.25">
      <c r="A40" s="10">
        <v>32</v>
      </c>
      <c r="B40" s="14" t="s">
        <v>23</v>
      </c>
      <c r="C40" s="100"/>
      <c r="D40" s="100"/>
      <c r="E40" s="100"/>
    </row>
    <row r="41" spans="1:10" x14ac:dyDescent="0.25">
      <c r="A41" s="10">
        <v>33</v>
      </c>
      <c r="B41" s="14" t="s">
        <v>24</v>
      </c>
      <c r="C41" s="52">
        <v>6228269</v>
      </c>
      <c r="D41" s="54"/>
      <c r="E41" s="58">
        <f t="shared" ref="E41:E46" si="9">SUM(C41:D41)</f>
        <v>6228269</v>
      </c>
    </row>
    <row r="42" spans="1:10" x14ac:dyDescent="0.25">
      <c r="A42" s="10">
        <v>34</v>
      </c>
      <c r="B42" s="14" t="s">
        <v>25</v>
      </c>
      <c r="C42" s="52"/>
      <c r="D42" s="54"/>
      <c r="E42" s="58">
        <f t="shared" si="9"/>
        <v>0</v>
      </c>
    </row>
    <row r="43" spans="1:10" x14ac:dyDescent="0.25">
      <c r="A43" s="10">
        <v>35</v>
      </c>
      <c r="B43" s="14" t="s">
        <v>26</v>
      </c>
      <c r="C43" s="52"/>
      <c r="D43" s="54"/>
      <c r="E43" s="58">
        <f t="shared" si="9"/>
        <v>0</v>
      </c>
    </row>
    <row r="44" spans="1:10" x14ac:dyDescent="0.25">
      <c r="A44" s="10">
        <v>36</v>
      </c>
      <c r="B44" s="14" t="s">
        <v>27</v>
      </c>
      <c r="C44" s="52"/>
      <c r="D44" s="54"/>
      <c r="E44" s="58">
        <f t="shared" si="9"/>
        <v>0</v>
      </c>
    </row>
    <row r="45" spans="1:10" x14ac:dyDescent="0.25">
      <c r="A45" s="10">
        <v>37</v>
      </c>
      <c r="B45" s="14" t="s">
        <v>28</v>
      </c>
      <c r="C45" s="52"/>
      <c r="D45" s="54"/>
      <c r="E45" s="58">
        <f t="shared" si="9"/>
        <v>0</v>
      </c>
    </row>
    <row r="46" spans="1:10" x14ac:dyDescent="0.25">
      <c r="A46" s="10">
        <v>38</v>
      </c>
      <c r="B46" s="14" t="s">
        <v>29</v>
      </c>
      <c r="C46" s="52"/>
      <c r="D46" s="54"/>
      <c r="E46" s="58">
        <f t="shared" si="9"/>
        <v>0</v>
      </c>
      <c r="J46" s="65"/>
    </row>
    <row r="47" spans="1:10" x14ac:dyDescent="0.25">
      <c r="A47" s="10">
        <v>39</v>
      </c>
      <c r="B47" s="88" t="s">
        <v>199</v>
      </c>
      <c r="C47" s="79">
        <f>(C39+C41+C42)-(C43+C44+C45+C46)</f>
        <v>5780275</v>
      </c>
      <c r="D47" s="99">
        <f t="shared" ref="D47:E47" si="10">(D39+D41+D42)-(D43+D44+D45+D46)</f>
        <v>0</v>
      </c>
      <c r="E47" s="98">
        <f t="shared" si="10"/>
        <v>5780275</v>
      </c>
    </row>
    <row r="48" spans="1:10" x14ac:dyDescent="0.25">
      <c r="A48" s="10">
        <v>40</v>
      </c>
      <c r="B48" s="14" t="s">
        <v>31</v>
      </c>
      <c r="C48" s="52"/>
      <c r="D48" s="54"/>
      <c r="E48" s="58">
        <f>SUM(C48:D48)</f>
        <v>0</v>
      </c>
    </row>
    <row r="49" spans="1:7" x14ac:dyDescent="0.25">
      <c r="A49" s="10">
        <v>41</v>
      </c>
      <c r="B49" s="14" t="s">
        <v>29</v>
      </c>
      <c r="C49" s="52"/>
      <c r="D49" s="54"/>
      <c r="E49" s="58">
        <f t="shared" ref="E49:E50" si="11">SUM(C49:D49)</f>
        <v>0</v>
      </c>
    </row>
    <row r="50" spans="1:7" x14ac:dyDescent="0.25">
      <c r="A50" s="10">
        <v>42</v>
      </c>
      <c r="B50" s="14" t="s">
        <v>32</v>
      </c>
      <c r="C50" s="52"/>
      <c r="D50" s="54"/>
      <c r="E50" s="58">
        <f t="shared" si="11"/>
        <v>0</v>
      </c>
    </row>
    <row r="51" spans="1:7" x14ac:dyDescent="0.25">
      <c r="A51" s="10">
        <v>43</v>
      </c>
      <c r="B51" s="88" t="s">
        <v>33</v>
      </c>
      <c r="C51" s="79">
        <f>C48+C49-C50</f>
        <v>0</v>
      </c>
      <c r="D51" s="99">
        <f t="shared" ref="D51:E51" si="12">D48+D49-D50</f>
        <v>0</v>
      </c>
      <c r="E51" s="98">
        <f t="shared" si="12"/>
        <v>0</v>
      </c>
    </row>
    <row r="52" spans="1:7" x14ac:dyDescent="0.25">
      <c r="A52" s="10">
        <v>44</v>
      </c>
      <c r="B52" s="14" t="s">
        <v>34</v>
      </c>
      <c r="C52" s="55">
        <v>0</v>
      </c>
      <c r="D52" s="101"/>
      <c r="E52" s="32">
        <f>C52</f>
        <v>0</v>
      </c>
    </row>
    <row r="53" spans="1:7" x14ac:dyDescent="0.25">
      <c r="A53" s="10">
        <v>45</v>
      </c>
      <c r="B53" s="14" t="s">
        <v>35</v>
      </c>
      <c r="C53" s="102">
        <f>((C22+C28-C18-C19)/C15)</f>
        <v>0.91795309437614525</v>
      </c>
      <c r="D53" s="102" t="e">
        <f>((D22+D28-D18-D19)/D15)</f>
        <v>#DIV/0!</v>
      </c>
      <c r="E53" s="102">
        <f>((E22+E28-E18-E19)/E15)</f>
        <v>0.91761772630650096</v>
      </c>
    </row>
    <row r="54" spans="1:7" x14ac:dyDescent="0.25">
      <c r="A54" s="10">
        <v>46</v>
      </c>
      <c r="B54" s="14" t="s">
        <v>36</v>
      </c>
      <c r="C54" s="102">
        <f>((C22+C28+C34)/C15)</f>
        <v>1.1627430940318511</v>
      </c>
      <c r="D54" s="102" t="e">
        <f>((D22+D28+D34)/D15)</f>
        <v>#DIV/0!</v>
      </c>
      <c r="E54" s="102">
        <f>((E22+E28+E34)/E15)</f>
        <v>1.1616528290145662</v>
      </c>
    </row>
    <row r="55" spans="1:7" x14ac:dyDescent="0.25">
      <c r="A55" s="10">
        <v>47</v>
      </c>
      <c r="B55" s="14" t="s">
        <v>37</v>
      </c>
      <c r="C55" s="102" t="e">
        <f>((C39+C34)/C34)</f>
        <v>#DIV/0!</v>
      </c>
      <c r="D55" s="102" t="e">
        <f t="shared" ref="D55:E55" si="13">((D39+D34)/D34)</f>
        <v>#DIV/0!</v>
      </c>
      <c r="E55" s="102" t="e">
        <f t="shared" si="13"/>
        <v>#DIV/0!</v>
      </c>
    </row>
    <row r="56" spans="1:7" x14ac:dyDescent="0.25">
      <c r="A56" s="10">
        <v>48</v>
      </c>
      <c r="B56" s="14" t="s">
        <v>38</v>
      </c>
      <c r="C56" s="102" t="e">
        <f>(C39+C34+C18+C19)/C52</f>
        <v>#DIV/0!</v>
      </c>
      <c r="D56" s="102" t="e">
        <f>(D39+D34+D18+D19)/D52</f>
        <v>#DIV/0!</v>
      </c>
      <c r="E56" s="102" t="e">
        <f>(E39+E34+E18+E19)/E52</f>
        <v>#DIV/0!</v>
      </c>
    </row>
    <row r="57" spans="1:7" x14ac:dyDescent="0.25">
      <c r="A57" s="19"/>
      <c r="B57" s="15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197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266</v>
      </c>
      <c r="C60" s="65"/>
      <c r="D60" s="65"/>
      <c r="E60" s="65"/>
      <c r="F60" s="65"/>
      <c r="G60" s="65"/>
    </row>
    <row r="61" spans="1:7" x14ac:dyDescent="0.25">
      <c r="A61" s="47"/>
      <c r="B61" t="s">
        <v>198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238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210</v>
      </c>
      <c r="C64" s="65"/>
      <c r="D64" s="65"/>
      <c r="E64" s="65"/>
      <c r="F64" s="65"/>
      <c r="G64" s="65"/>
    </row>
    <row r="65" spans="1:7" x14ac:dyDescent="0.25">
      <c r="A65" s="92"/>
      <c r="B65" s="65" t="s">
        <v>211</v>
      </c>
      <c r="C65" s="65"/>
      <c r="D65" s="65"/>
      <c r="E65" s="65"/>
      <c r="F65" s="65"/>
      <c r="G65" s="65"/>
    </row>
    <row r="66" spans="1:7" x14ac:dyDescent="0.25">
      <c r="A66" s="92" t="s">
        <v>243</v>
      </c>
      <c r="B66" s="65" t="s">
        <v>244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  <c r="F69" s="65"/>
      <c r="G69" s="65"/>
    </row>
    <row r="70" spans="1:7" x14ac:dyDescent="0.25">
      <c r="A70" s="65"/>
      <c r="B70" s="65"/>
      <c r="C70" s="65"/>
      <c r="D70" s="65"/>
      <c r="E70" s="65"/>
      <c r="F70" s="65"/>
      <c r="G70" s="65"/>
    </row>
    <row r="71" spans="1:7" x14ac:dyDescent="0.25">
      <c r="A71" s="65"/>
      <c r="B71" s="65"/>
      <c r="C71" s="65"/>
      <c r="D71" s="65"/>
      <c r="E71" s="65"/>
      <c r="F71" s="65"/>
      <c r="G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  <row r="76" spans="1:7" x14ac:dyDescent="0.25">
      <c r="A76" s="65"/>
      <c r="B76" s="65"/>
      <c r="C76" s="65"/>
      <c r="D76" s="65"/>
      <c r="E76" s="65"/>
    </row>
    <row r="77" spans="1:7" x14ac:dyDescent="0.25">
      <c r="A77" s="65"/>
      <c r="B77" s="65"/>
      <c r="C77" s="65"/>
      <c r="D77" s="65"/>
      <c r="E77" s="65"/>
    </row>
    <row r="78" spans="1:7" x14ac:dyDescent="0.25">
      <c r="A78" s="65"/>
      <c r="B78" s="65"/>
      <c r="C78" s="65"/>
      <c r="D78" s="65"/>
      <c r="E78" s="65"/>
    </row>
    <row r="79" spans="1:7" x14ac:dyDescent="0.25">
      <c r="A79" s="65"/>
      <c r="B79" s="65"/>
      <c r="C79" s="65"/>
      <c r="D79" s="65"/>
      <c r="E79" s="65"/>
    </row>
  </sheetData>
  <sheetProtection algorithmName="SHA-512" hashValue="iNnlzABZeX2RDx+aQqg/nAAxK3Bb3vV/bbmOq9igfQK0DacYzp3aZ5rM0CevqKAGtmkC5r1Ro9gtpVoMoor+ZQ==" saltValue="WdgFqbkcEP4MHdghB2qok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75"/>
  <sheetViews>
    <sheetView zoomScaleNormal="100" workbookViewId="0">
      <selection activeCell="D26" sqref="D26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Tenino Telephone Company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111</v>
      </c>
      <c r="D6" s="27" t="s">
        <v>103</v>
      </c>
      <c r="E6" s="26" t="s">
        <v>111</v>
      </c>
    </row>
    <row r="7" spans="1:6" x14ac:dyDescent="0.25">
      <c r="A7" s="17" t="s">
        <v>0</v>
      </c>
      <c r="B7" s="10" t="s">
        <v>147</v>
      </c>
      <c r="C7" s="10">
        <v>2017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247</v>
      </c>
    </row>
    <row r="9" spans="1:6" x14ac:dyDescent="0.25">
      <c r="A9" s="9">
        <v>1</v>
      </c>
      <c r="B9" s="6" t="s">
        <v>1</v>
      </c>
      <c r="C9" s="55">
        <v>602931</v>
      </c>
      <c r="D9" s="52"/>
      <c r="E9" s="32">
        <f>SUM(C9:D9)</f>
        <v>602931</v>
      </c>
    </row>
    <row r="10" spans="1:6" x14ac:dyDescent="0.25">
      <c r="A10" s="10">
        <v>2</v>
      </c>
      <c r="B10" s="17" t="s">
        <v>2</v>
      </c>
      <c r="C10" s="52">
        <v>2369006</v>
      </c>
      <c r="D10" s="52"/>
      <c r="E10" s="32">
        <f t="shared" ref="E10:E14" si="0">SUM(C10:D10)</f>
        <v>2369006</v>
      </c>
    </row>
    <row r="11" spans="1:6" x14ac:dyDescent="0.25">
      <c r="A11" s="10">
        <v>3</v>
      </c>
      <c r="B11" s="17" t="s">
        <v>3</v>
      </c>
      <c r="C11" s="52"/>
      <c r="D11" s="52"/>
      <c r="E11" s="32">
        <f t="shared" si="0"/>
        <v>0</v>
      </c>
    </row>
    <row r="12" spans="1:6" x14ac:dyDescent="0.25">
      <c r="A12" s="10">
        <v>4</v>
      </c>
      <c r="B12" s="17" t="s">
        <v>4</v>
      </c>
      <c r="C12" s="52">
        <v>14736</v>
      </c>
      <c r="D12" s="52"/>
      <c r="E12" s="32">
        <f t="shared" si="0"/>
        <v>14736</v>
      </c>
    </row>
    <row r="13" spans="1:6" x14ac:dyDescent="0.25">
      <c r="A13" s="10">
        <v>5</v>
      </c>
      <c r="B13" s="17" t="s">
        <v>5</v>
      </c>
      <c r="C13" s="52">
        <v>29359</v>
      </c>
      <c r="D13" s="52"/>
      <c r="E13" s="32">
        <f t="shared" si="0"/>
        <v>29359</v>
      </c>
    </row>
    <row r="14" spans="1:6" x14ac:dyDescent="0.25">
      <c r="A14" s="10">
        <v>6</v>
      </c>
      <c r="B14" s="17" t="s">
        <v>133</v>
      </c>
      <c r="C14" s="52">
        <v>-8845</v>
      </c>
      <c r="D14" s="52"/>
      <c r="E14" s="32">
        <f t="shared" si="0"/>
        <v>-8845</v>
      </c>
    </row>
    <row r="15" spans="1:6" x14ac:dyDescent="0.25">
      <c r="A15" s="10">
        <v>7</v>
      </c>
      <c r="B15" s="83" t="s">
        <v>132</v>
      </c>
      <c r="C15" s="40">
        <f>SUM(C9:C14)</f>
        <v>3007187</v>
      </c>
      <c r="D15" s="40">
        <f t="shared" ref="D15:E15" si="1">SUM(D9:D14)</f>
        <v>0</v>
      </c>
      <c r="E15" s="40">
        <f t="shared" si="1"/>
        <v>3007187</v>
      </c>
      <c r="F15" s="1"/>
    </row>
    <row r="16" spans="1:6" x14ac:dyDescent="0.25">
      <c r="A16" s="10">
        <v>8</v>
      </c>
      <c r="B16" s="17" t="s">
        <v>6</v>
      </c>
      <c r="C16" s="52">
        <v>1251215</v>
      </c>
      <c r="D16" s="52">
        <v>-2336</v>
      </c>
      <c r="E16" s="41">
        <f>SUM(C16:D16)</f>
        <v>1248879</v>
      </c>
    </row>
    <row r="17" spans="1:6" x14ac:dyDescent="0.25">
      <c r="A17" s="10">
        <v>9</v>
      </c>
      <c r="B17" s="17" t="s">
        <v>39</v>
      </c>
      <c r="C17" s="52">
        <v>678193</v>
      </c>
      <c r="D17" s="52"/>
      <c r="E17" s="41">
        <f t="shared" ref="E17:E21" si="2">SUM(C17:D17)</f>
        <v>678193</v>
      </c>
    </row>
    <row r="18" spans="1:6" x14ac:dyDescent="0.25">
      <c r="A18" s="10">
        <v>10</v>
      </c>
      <c r="B18" s="17" t="s">
        <v>7</v>
      </c>
      <c r="C18" s="52">
        <v>879758</v>
      </c>
      <c r="D18" s="52">
        <v>-1231</v>
      </c>
      <c r="E18" s="41">
        <f t="shared" si="2"/>
        <v>878527</v>
      </c>
    </row>
    <row r="19" spans="1:6" x14ac:dyDescent="0.25">
      <c r="A19" s="10">
        <v>11</v>
      </c>
      <c r="B19" s="17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7" t="s">
        <v>9</v>
      </c>
      <c r="C20" s="52">
        <v>270494</v>
      </c>
      <c r="D20" s="52">
        <v>-4943</v>
      </c>
      <c r="E20" s="41">
        <f t="shared" si="2"/>
        <v>265551</v>
      </c>
    </row>
    <row r="21" spans="1:6" x14ac:dyDescent="0.25">
      <c r="A21" s="10">
        <v>13</v>
      </c>
      <c r="B21" s="17" t="s">
        <v>10</v>
      </c>
      <c r="C21" s="52">
        <v>680787</v>
      </c>
      <c r="D21" s="52">
        <f>-374-1299-4875</f>
        <v>-6548</v>
      </c>
      <c r="E21" s="41">
        <f t="shared" si="2"/>
        <v>674239</v>
      </c>
    </row>
    <row r="22" spans="1:6" x14ac:dyDescent="0.25">
      <c r="A22" s="10">
        <v>14</v>
      </c>
      <c r="B22" s="83" t="s">
        <v>237</v>
      </c>
      <c r="C22" s="40">
        <f>C16+C17+C18+C19+C20+C21</f>
        <v>3760447</v>
      </c>
      <c r="D22" s="40">
        <f>D16+D17+D18+D19+D20+D21</f>
        <v>-15058</v>
      </c>
      <c r="E22" s="42">
        <f>E16+E17+E18+E19+E20+E21</f>
        <v>3745389</v>
      </c>
      <c r="F22" s="1"/>
    </row>
    <row r="23" spans="1:6" x14ac:dyDescent="0.25">
      <c r="A23" s="10">
        <v>15</v>
      </c>
      <c r="B23" s="17" t="s">
        <v>14</v>
      </c>
      <c r="C23" s="32">
        <f>C15-C22</f>
        <v>-753260</v>
      </c>
      <c r="D23" s="32">
        <f>D15-D22</f>
        <v>15058</v>
      </c>
      <c r="E23" s="32">
        <f>E15-E22</f>
        <v>-738202</v>
      </c>
    </row>
    <row r="24" spans="1:6" x14ac:dyDescent="0.25">
      <c r="A24" s="10">
        <v>16</v>
      </c>
      <c r="B24" s="17" t="s">
        <v>134</v>
      </c>
      <c r="C24" s="52"/>
      <c r="D24" s="54"/>
      <c r="E24" s="32">
        <f>SUM(C24:D24)</f>
        <v>0</v>
      </c>
    </row>
    <row r="25" spans="1:6" x14ac:dyDescent="0.25">
      <c r="A25" s="10">
        <v>17</v>
      </c>
      <c r="B25" s="17" t="s">
        <v>11</v>
      </c>
      <c r="C25" s="52">
        <v>84382</v>
      </c>
      <c r="D25" s="112">
        <v>-58</v>
      </c>
      <c r="E25" s="32">
        <f t="shared" ref="E25:E27" si="3">SUM(C25:D25)</f>
        <v>84324</v>
      </c>
    </row>
    <row r="26" spans="1:6" x14ac:dyDescent="0.25">
      <c r="A26" s="10">
        <v>18</v>
      </c>
      <c r="B26" s="17" t="s">
        <v>191</v>
      </c>
      <c r="C26" s="52">
        <v>-6974</v>
      </c>
      <c r="D26" s="54">
        <f>12937+35</f>
        <v>12972</v>
      </c>
      <c r="E26" s="32">
        <f t="shared" si="3"/>
        <v>5998</v>
      </c>
    </row>
    <row r="27" spans="1:6" x14ac:dyDescent="0.25">
      <c r="A27" s="10">
        <v>19</v>
      </c>
      <c r="B27" s="17" t="s">
        <v>13</v>
      </c>
      <c r="C27" s="52"/>
      <c r="D27" s="112"/>
      <c r="E27" s="32">
        <f t="shared" si="3"/>
        <v>0</v>
      </c>
    </row>
    <row r="28" spans="1:6" x14ac:dyDescent="0.25">
      <c r="A28" s="10">
        <v>20</v>
      </c>
      <c r="B28" s="83" t="s">
        <v>12</v>
      </c>
      <c r="C28" s="37">
        <f>SUM(C25:C27)</f>
        <v>77408</v>
      </c>
      <c r="D28" s="37">
        <f t="shared" ref="D28:E28" si="4">SUM(D25:D27)</f>
        <v>12914</v>
      </c>
      <c r="E28" s="43">
        <f t="shared" si="4"/>
        <v>90322</v>
      </c>
    </row>
    <row r="29" spans="1:6" x14ac:dyDescent="0.25">
      <c r="A29" s="10">
        <v>21</v>
      </c>
      <c r="B29" s="83" t="s">
        <v>22</v>
      </c>
      <c r="C29" s="37">
        <f>C23+C24-C28</f>
        <v>-830668</v>
      </c>
      <c r="D29" s="37">
        <f>D23+D24-D28</f>
        <v>2144</v>
      </c>
      <c r="E29" s="43">
        <f>E23+E24-E28</f>
        <v>-828524</v>
      </c>
    </row>
    <row r="30" spans="1:6" x14ac:dyDescent="0.25">
      <c r="A30" s="10">
        <v>22</v>
      </c>
      <c r="B30" s="17" t="s">
        <v>15</v>
      </c>
      <c r="C30" s="52"/>
      <c r="D30" s="54"/>
      <c r="E30" s="32">
        <f>SUM(C30:D30)</f>
        <v>0</v>
      </c>
    </row>
    <row r="31" spans="1:6" x14ac:dyDescent="0.25">
      <c r="A31" s="10">
        <v>23</v>
      </c>
      <c r="B31" s="17" t="s">
        <v>16</v>
      </c>
      <c r="C31" s="52"/>
      <c r="D31" s="54"/>
      <c r="E31" s="32">
        <f t="shared" ref="E31:E33" si="5">SUM(C31:D31)</f>
        <v>0</v>
      </c>
    </row>
    <row r="32" spans="1:6" x14ac:dyDescent="0.25">
      <c r="A32" s="10">
        <v>24</v>
      </c>
      <c r="B32" s="17" t="s">
        <v>17</v>
      </c>
      <c r="C32" s="52"/>
      <c r="D32" s="54"/>
      <c r="E32" s="32">
        <f t="shared" si="5"/>
        <v>0</v>
      </c>
    </row>
    <row r="33" spans="1:5" x14ac:dyDescent="0.25">
      <c r="A33" s="10">
        <v>25</v>
      </c>
      <c r="B33" s="17" t="s">
        <v>268</v>
      </c>
      <c r="C33" s="52"/>
      <c r="D33" s="54"/>
      <c r="E33" s="33">
        <f t="shared" si="5"/>
        <v>0</v>
      </c>
    </row>
    <row r="34" spans="1:5" x14ac:dyDescent="0.25">
      <c r="A34" s="10">
        <v>26</v>
      </c>
      <c r="B34" s="83" t="s">
        <v>267</v>
      </c>
      <c r="C34" s="37">
        <f>SUM(C30:C33)</f>
        <v>0</v>
      </c>
      <c r="D34" s="64">
        <f t="shared" ref="D34" si="6">SUM(D30:D33)</f>
        <v>0</v>
      </c>
      <c r="E34" s="37">
        <f>SUM(E30:E33)</f>
        <v>0</v>
      </c>
    </row>
    <row r="35" spans="1:5" x14ac:dyDescent="0.25">
      <c r="A35" s="10">
        <v>27</v>
      </c>
      <c r="B35" s="17" t="s">
        <v>18</v>
      </c>
      <c r="C35" s="52">
        <f>50269-14249-12247</f>
        <v>23773</v>
      </c>
      <c r="D35" s="54"/>
      <c r="E35" s="32">
        <f>SUM(C35:D35)</f>
        <v>23773</v>
      </c>
    </row>
    <row r="36" spans="1:5" x14ac:dyDescent="0.25">
      <c r="A36" s="10">
        <v>28</v>
      </c>
      <c r="B36" s="17" t="s">
        <v>19</v>
      </c>
      <c r="C36" s="52"/>
      <c r="D36" s="54"/>
      <c r="E36" s="32">
        <f t="shared" ref="E36:E38" si="7">SUM(C36:D36)</f>
        <v>0</v>
      </c>
    </row>
    <row r="37" spans="1:5" x14ac:dyDescent="0.25">
      <c r="A37" s="10">
        <v>29</v>
      </c>
      <c r="B37" s="17" t="s">
        <v>78</v>
      </c>
      <c r="C37" s="52"/>
      <c r="D37" s="54"/>
      <c r="E37" s="32">
        <f t="shared" si="7"/>
        <v>0</v>
      </c>
    </row>
    <row r="38" spans="1:5" x14ac:dyDescent="0.25">
      <c r="A38" s="10">
        <v>30</v>
      </c>
      <c r="B38" s="17" t="s">
        <v>180</v>
      </c>
      <c r="C38" s="52">
        <f>41307-14044</f>
        <v>27263</v>
      </c>
      <c r="D38" s="69">
        <f>-1*(D29-D34)</f>
        <v>-2144</v>
      </c>
      <c r="E38" s="32">
        <f t="shared" si="7"/>
        <v>25119</v>
      </c>
    </row>
    <row r="39" spans="1:5" x14ac:dyDescent="0.25">
      <c r="A39" s="10">
        <v>31</v>
      </c>
      <c r="B39" s="83" t="s">
        <v>21</v>
      </c>
      <c r="C39" s="37">
        <f>C29-C34+C35+C36+C37+C38</f>
        <v>-779632</v>
      </c>
      <c r="D39" s="37">
        <f t="shared" ref="D39:E39" si="8">D29-D34+D35+D36+D37+D38</f>
        <v>0</v>
      </c>
      <c r="E39" s="37">
        <f t="shared" si="8"/>
        <v>-779632</v>
      </c>
    </row>
    <row r="40" spans="1:5" x14ac:dyDescent="0.25">
      <c r="A40" s="10">
        <v>32</v>
      </c>
      <c r="B40" s="17" t="s">
        <v>23</v>
      </c>
      <c r="C40" s="67"/>
      <c r="D40" s="67"/>
      <c r="E40" s="44"/>
    </row>
    <row r="41" spans="1:5" x14ac:dyDescent="0.25">
      <c r="A41" s="10">
        <v>33</v>
      </c>
      <c r="B41" s="17" t="s">
        <v>24</v>
      </c>
      <c r="C41" s="52">
        <v>5780275</v>
      </c>
      <c r="D41" s="54"/>
      <c r="E41" s="32">
        <f t="shared" ref="E41:E46" si="9">SUM(C41:D41)</f>
        <v>5780275</v>
      </c>
    </row>
    <row r="42" spans="1:5" x14ac:dyDescent="0.25">
      <c r="A42" s="10">
        <v>34</v>
      </c>
      <c r="B42" s="17" t="s">
        <v>25</v>
      </c>
      <c r="C42" s="52"/>
      <c r="D42" s="54"/>
      <c r="E42" s="32">
        <f t="shared" si="9"/>
        <v>0</v>
      </c>
    </row>
    <row r="43" spans="1:5" x14ac:dyDescent="0.25">
      <c r="A43" s="10">
        <v>35</v>
      </c>
      <c r="B43" s="17" t="s">
        <v>26</v>
      </c>
      <c r="C43" s="52"/>
      <c r="D43" s="54"/>
      <c r="E43" s="32">
        <f t="shared" si="9"/>
        <v>0</v>
      </c>
    </row>
    <row r="44" spans="1:5" x14ac:dyDescent="0.25">
      <c r="A44" s="10">
        <v>36</v>
      </c>
      <c r="B44" s="17" t="s">
        <v>27</v>
      </c>
      <c r="C44" s="52"/>
      <c r="D44" s="54"/>
      <c r="E44" s="32">
        <f t="shared" si="9"/>
        <v>0</v>
      </c>
    </row>
    <row r="45" spans="1:5" x14ac:dyDescent="0.25">
      <c r="A45" s="10">
        <v>37</v>
      </c>
      <c r="B45" s="17" t="s">
        <v>28</v>
      </c>
      <c r="C45" s="52"/>
      <c r="D45" s="54"/>
      <c r="E45" s="32">
        <f t="shared" si="9"/>
        <v>0</v>
      </c>
    </row>
    <row r="46" spans="1:5" x14ac:dyDescent="0.25">
      <c r="A46" s="10">
        <v>38</v>
      </c>
      <c r="B46" s="17" t="s">
        <v>29</v>
      </c>
      <c r="C46" s="52"/>
      <c r="D46" s="54"/>
      <c r="E46" s="32">
        <f t="shared" si="9"/>
        <v>0</v>
      </c>
    </row>
    <row r="47" spans="1:5" x14ac:dyDescent="0.25">
      <c r="A47" s="10">
        <v>39</v>
      </c>
      <c r="B47" s="83" t="s">
        <v>199</v>
      </c>
      <c r="C47" s="37">
        <f>(C39+C41+C42)-(C43+C44+C45+C46)</f>
        <v>5000643</v>
      </c>
      <c r="D47" s="64">
        <f t="shared" ref="D47:E47" si="10">(D39+D41+D42)-(D43+D44+D45+D46)</f>
        <v>0</v>
      </c>
      <c r="E47" s="43">
        <f t="shared" si="10"/>
        <v>5000643</v>
      </c>
    </row>
    <row r="48" spans="1:5" x14ac:dyDescent="0.25">
      <c r="A48" s="10">
        <v>40</v>
      </c>
      <c r="B48" s="17" t="s">
        <v>31</v>
      </c>
      <c r="C48" s="52"/>
      <c r="D48" s="54"/>
      <c r="E48" s="32">
        <f>SUM(C48:D48)</f>
        <v>0</v>
      </c>
    </row>
    <row r="49" spans="1:7" x14ac:dyDescent="0.25">
      <c r="A49" s="10">
        <v>41</v>
      </c>
      <c r="B49" s="17" t="s">
        <v>29</v>
      </c>
      <c r="C49" s="52"/>
      <c r="D49" s="54"/>
      <c r="E49" s="32">
        <f t="shared" ref="E49:E50" si="11">SUM(C49:D49)</f>
        <v>0</v>
      </c>
    </row>
    <row r="50" spans="1:7" x14ac:dyDescent="0.25">
      <c r="A50" s="10">
        <v>42</v>
      </c>
      <c r="B50" s="17" t="s">
        <v>32</v>
      </c>
      <c r="C50" s="52"/>
      <c r="D50" s="54"/>
      <c r="E50" s="32">
        <f t="shared" si="11"/>
        <v>0</v>
      </c>
    </row>
    <row r="51" spans="1:7" x14ac:dyDescent="0.25">
      <c r="A51" s="10">
        <v>43</v>
      </c>
      <c r="B51" s="83" t="s">
        <v>33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25">
      <c r="A52" s="10">
        <v>44</v>
      </c>
      <c r="B52" s="17" t="s">
        <v>34</v>
      </c>
      <c r="C52" s="55"/>
      <c r="D52" s="95"/>
      <c r="E52" s="32">
        <f>C52</f>
        <v>0</v>
      </c>
    </row>
    <row r="53" spans="1:7" x14ac:dyDescent="0.25">
      <c r="A53" s="10">
        <v>45</v>
      </c>
      <c r="B53" s="17" t="s">
        <v>35</v>
      </c>
      <c r="C53" s="46">
        <f>((C22+C28-C18-C19)/C15)</f>
        <v>0.98367577407058493</v>
      </c>
      <c r="D53" s="46" t="e">
        <f>((D22+D28-D18-D19)/D15)</f>
        <v>#DIV/0!</v>
      </c>
      <c r="E53" s="46">
        <f>((E22+E28-E18-E19)/E15)</f>
        <v>0.98337216807601258</v>
      </c>
    </row>
    <row r="54" spans="1:7" x14ac:dyDescent="0.25">
      <c r="A54" s="10">
        <v>46</v>
      </c>
      <c r="B54" s="17" t="s">
        <v>36</v>
      </c>
      <c r="C54" s="46">
        <f>((C22+C28+C34)/C15)</f>
        <v>1.2762275841176489</v>
      </c>
      <c r="D54" s="46" t="e">
        <f>((D22+D28+D34)/D15)</f>
        <v>#DIV/0!</v>
      </c>
      <c r="E54" s="46">
        <f>((E22+E28+E34)/E15)</f>
        <v>1.2755146254622676</v>
      </c>
    </row>
    <row r="55" spans="1:7" x14ac:dyDescent="0.25">
      <c r="A55" s="10">
        <v>47</v>
      </c>
      <c r="B55" s="17" t="s">
        <v>37</v>
      </c>
      <c r="C55" s="46" t="e">
        <f>((C39+C34)/C34)</f>
        <v>#DIV/0!</v>
      </c>
      <c r="D55" s="46" t="e">
        <f t="shared" ref="D55:E55" si="13">((D39+D34)/D34)</f>
        <v>#DIV/0!</v>
      </c>
      <c r="E55" s="46" t="e">
        <f t="shared" si="13"/>
        <v>#DIV/0!</v>
      </c>
    </row>
    <row r="56" spans="1:7" x14ac:dyDescent="0.25">
      <c r="A56" s="10">
        <v>48</v>
      </c>
      <c r="B56" s="17" t="s">
        <v>38</v>
      </c>
      <c r="C56" s="46" t="e">
        <f>(C39+C34+C18+C19)/C52</f>
        <v>#DIV/0!</v>
      </c>
      <c r="D56" s="46" t="e">
        <f>(D39+D34+D18+D19)/D52</f>
        <v>#DIV/0!</v>
      </c>
      <c r="E56" s="46" t="e">
        <f>(E39+E34+E18+E19)/E52</f>
        <v>#DIV/0!</v>
      </c>
    </row>
    <row r="57" spans="1:7" x14ac:dyDescent="0.25">
      <c r="A57" s="19"/>
      <c r="B57" s="19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197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266</v>
      </c>
      <c r="C60" s="65"/>
      <c r="D60" s="65"/>
      <c r="E60" s="65"/>
      <c r="F60" s="65"/>
      <c r="G60" s="65"/>
    </row>
    <row r="61" spans="1:7" x14ac:dyDescent="0.25">
      <c r="A61" s="47"/>
      <c r="B61" t="s">
        <v>198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239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209</v>
      </c>
      <c r="C64" s="65"/>
      <c r="D64" s="65"/>
      <c r="E64" s="65"/>
      <c r="F64" s="65"/>
      <c r="G64" s="65"/>
    </row>
    <row r="65" spans="1:7" x14ac:dyDescent="0.25">
      <c r="A65" s="65"/>
      <c r="B65" s="65" t="s">
        <v>211</v>
      </c>
      <c r="C65" s="65"/>
      <c r="D65" s="65"/>
      <c r="E65" s="65"/>
      <c r="F65" s="65"/>
      <c r="G65" s="65"/>
    </row>
    <row r="66" spans="1:7" x14ac:dyDescent="0.25">
      <c r="A66" s="92" t="s">
        <v>243</v>
      </c>
      <c r="B66" s="65" t="s">
        <v>244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</row>
    <row r="70" spans="1:7" x14ac:dyDescent="0.25">
      <c r="A70" s="65"/>
      <c r="B70" s="65"/>
      <c r="C70" s="65"/>
      <c r="D70" s="65"/>
      <c r="E70" s="65"/>
    </row>
    <row r="71" spans="1:7" x14ac:dyDescent="0.25">
      <c r="A71" s="65"/>
      <c r="B71" s="65"/>
      <c r="C71" s="65"/>
      <c r="D71" s="65"/>
      <c r="E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</sheetData>
  <sheetProtection algorithmName="SHA-512" hashValue="aYImHa7sNYkKFTEZIVJ1DdKfcVF6BozJLikh3etOMJhUSdyD2KhyjtKjiHOz+pKjwJdALuEObpo7QzBpqRTFpQ==" saltValue="a5MvuRRcWkHvo8V2H0IYs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71"/>
  <sheetViews>
    <sheetView zoomScaleNormal="100" workbookViewId="0">
      <selection activeCell="C60" sqref="C60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146</v>
      </c>
    </row>
    <row r="3" spans="1:5" x14ac:dyDescent="0.25">
      <c r="B3" s="57" t="str">
        <f>PriorYearBalanceSheet!A3</f>
        <v>Tenino Telephone Company</v>
      </c>
      <c r="C3" s="65"/>
      <c r="D3" s="65"/>
    </row>
    <row r="4" spans="1:5" x14ac:dyDescent="0.25">
      <c r="B4" s="65"/>
      <c r="C4" s="65"/>
      <c r="D4" s="65"/>
    </row>
    <row r="5" spans="1:5" x14ac:dyDescent="0.25">
      <c r="B5" s="65"/>
      <c r="C5" s="65"/>
      <c r="D5" s="65"/>
    </row>
    <row r="6" spans="1:5" x14ac:dyDescent="0.25">
      <c r="A6" s="6"/>
      <c r="B6" s="6"/>
      <c r="C6" s="9" t="s">
        <v>108</v>
      </c>
      <c r="D6" s="26" t="s">
        <v>108</v>
      </c>
    </row>
    <row r="7" spans="1:5" x14ac:dyDescent="0.25">
      <c r="A7" s="17" t="s">
        <v>0</v>
      </c>
      <c r="B7" s="10" t="s">
        <v>147</v>
      </c>
      <c r="C7" s="28" t="s">
        <v>72</v>
      </c>
      <c r="D7" s="4" t="s">
        <v>111</v>
      </c>
    </row>
    <row r="8" spans="1:5" x14ac:dyDescent="0.25">
      <c r="A8" s="11"/>
      <c r="B8" s="11"/>
      <c r="C8" s="11">
        <v>2016</v>
      </c>
      <c r="D8" s="5">
        <v>2017</v>
      </c>
    </row>
    <row r="9" spans="1:5" x14ac:dyDescent="0.25">
      <c r="A9" s="9">
        <v>1</v>
      </c>
      <c r="B9" s="6" t="s">
        <v>1</v>
      </c>
      <c r="C9" s="36">
        <f>PriorYearIncomeStmt!E9</f>
        <v>617895</v>
      </c>
      <c r="D9" s="41">
        <f>'CurrentYearIncomeStmt '!E9</f>
        <v>602931</v>
      </c>
    </row>
    <row r="10" spans="1:5" x14ac:dyDescent="0.25">
      <c r="A10" s="10">
        <v>2</v>
      </c>
      <c r="B10" s="17" t="s">
        <v>2</v>
      </c>
      <c r="C10" s="32">
        <f>PriorYearIncomeStmt!E10</f>
        <v>2466052</v>
      </c>
      <c r="D10" s="41">
        <f>'CurrentYearIncomeStmt '!E10</f>
        <v>2369006</v>
      </c>
    </row>
    <row r="11" spans="1:5" x14ac:dyDescent="0.25">
      <c r="A11" s="10">
        <v>3</v>
      </c>
      <c r="B11" s="17" t="s">
        <v>3</v>
      </c>
      <c r="C11" s="32">
        <f>PriorYearIncomeStmt!E11</f>
        <v>0</v>
      </c>
      <c r="D11" s="41">
        <f>'CurrentYearIncomeStmt '!E11</f>
        <v>0</v>
      </c>
    </row>
    <row r="12" spans="1:5" x14ac:dyDescent="0.25">
      <c r="A12" s="10">
        <v>4</v>
      </c>
      <c r="B12" s="17" t="s">
        <v>4</v>
      </c>
      <c r="C12" s="32">
        <f>PriorYearIncomeStmt!E12</f>
        <v>28947</v>
      </c>
      <c r="D12" s="41">
        <f>'CurrentYearIncomeStmt '!E12</f>
        <v>14736</v>
      </c>
    </row>
    <row r="13" spans="1:5" x14ac:dyDescent="0.25">
      <c r="A13" s="10">
        <v>5</v>
      </c>
      <c r="B13" s="17" t="s">
        <v>5</v>
      </c>
      <c r="C13" s="32">
        <f>PriorYearIncomeStmt!E13</f>
        <v>32907</v>
      </c>
      <c r="D13" s="41">
        <f>'CurrentYearIncomeStmt '!E13</f>
        <v>29359</v>
      </c>
    </row>
    <row r="14" spans="1:5" x14ac:dyDescent="0.25">
      <c r="A14" s="10">
        <v>6</v>
      </c>
      <c r="B14" s="17" t="s">
        <v>133</v>
      </c>
      <c r="C14" s="32">
        <f>PriorYearIncomeStmt!E14</f>
        <v>-8949</v>
      </c>
      <c r="D14" s="41">
        <f>'CurrentYearIncomeStmt '!E14</f>
        <v>-8845</v>
      </c>
    </row>
    <row r="15" spans="1:5" x14ac:dyDescent="0.25">
      <c r="A15" s="10">
        <v>7</v>
      </c>
      <c r="B15" s="83" t="s">
        <v>132</v>
      </c>
      <c r="C15" s="40">
        <f>SUM(C9:C14)</f>
        <v>3136852</v>
      </c>
      <c r="D15" s="42">
        <f t="shared" ref="D15" si="0">SUM(D9:D14)</f>
        <v>3007187</v>
      </c>
      <c r="E15" s="1"/>
    </row>
    <row r="16" spans="1:5" x14ac:dyDescent="0.25">
      <c r="A16" s="10">
        <v>8</v>
      </c>
      <c r="B16" s="17" t="s">
        <v>6</v>
      </c>
      <c r="C16" s="32">
        <f>PriorYearIncomeStmt!E16</f>
        <v>1319210</v>
      </c>
      <c r="D16" s="41">
        <f>'CurrentYearIncomeStmt '!E16</f>
        <v>1248879</v>
      </c>
    </row>
    <row r="17" spans="1:5" x14ac:dyDescent="0.25">
      <c r="A17" s="10">
        <v>9</v>
      </c>
      <c r="B17" s="17" t="s">
        <v>39</v>
      </c>
      <c r="C17" s="32">
        <f>PriorYearIncomeStmt!E17</f>
        <v>737863</v>
      </c>
      <c r="D17" s="41">
        <f>'CurrentYearIncomeStmt '!E17</f>
        <v>678193</v>
      </c>
    </row>
    <row r="18" spans="1:5" x14ac:dyDescent="0.25">
      <c r="A18" s="10">
        <v>10</v>
      </c>
      <c r="B18" s="17" t="s">
        <v>7</v>
      </c>
      <c r="C18" s="32">
        <f>PriorYearIncomeStmt!E18</f>
        <v>765502</v>
      </c>
      <c r="D18" s="41">
        <f>'CurrentYearIncomeStmt '!E18</f>
        <v>878527</v>
      </c>
    </row>
    <row r="19" spans="1:5" x14ac:dyDescent="0.25">
      <c r="A19" s="10">
        <v>11</v>
      </c>
      <c r="B19" s="17" t="s">
        <v>8</v>
      </c>
      <c r="C19" s="32">
        <f>PriorYearIncomeStmt!E19</f>
        <v>0</v>
      </c>
      <c r="D19" s="41">
        <f>'CurrentYearIncomeStmt '!E19</f>
        <v>0</v>
      </c>
    </row>
    <row r="20" spans="1:5" x14ac:dyDescent="0.25">
      <c r="A20" s="10">
        <v>12</v>
      </c>
      <c r="B20" s="17" t="s">
        <v>9</v>
      </c>
      <c r="C20" s="32">
        <f>PriorYearIncomeStmt!E20</f>
        <v>267545</v>
      </c>
      <c r="D20" s="41">
        <f>'CurrentYearIncomeStmt '!E20</f>
        <v>265551</v>
      </c>
    </row>
    <row r="21" spans="1:5" x14ac:dyDescent="0.25">
      <c r="A21" s="10">
        <v>13</v>
      </c>
      <c r="B21" s="17" t="s">
        <v>10</v>
      </c>
      <c r="C21" s="32">
        <f>PriorYearIncomeStmt!E21</f>
        <v>698334</v>
      </c>
      <c r="D21" s="41">
        <f>'CurrentYearIncomeStmt '!E21</f>
        <v>674239</v>
      </c>
    </row>
    <row r="22" spans="1:5" x14ac:dyDescent="0.25">
      <c r="A22" s="10">
        <v>14</v>
      </c>
      <c r="B22" s="83" t="s">
        <v>237</v>
      </c>
      <c r="C22" s="40">
        <f>C16+C17+C18+C19+C20+C21</f>
        <v>3788454</v>
      </c>
      <c r="D22" s="42">
        <f>D16+D17+D18+D19+D20+D21</f>
        <v>3745389</v>
      </c>
      <c r="E22" s="1"/>
    </row>
    <row r="23" spans="1:5" x14ac:dyDescent="0.25">
      <c r="A23" s="10">
        <v>15</v>
      </c>
      <c r="B23" s="17" t="s">
        <v>14</v>
      </c>
      <c r="C23" s="32">
        <f>C15-C22</f>
        <v>-651602</v>
      </c>
      <c r="D23" s="41">
        <f>D15-D22</f>
        <v>-738202</v>
      </c>
    </row>
    <row r="24" spans="1:5" x14ac:dyDescent="0.25">
      <c r="A24" s="10">
        <v>16</v>
      </c>
      <c r="B24" s="17" t="s">
        <v>134</v>
      </c>
      <c r="C24" s="32">
        <f>PriorYearIncomeStmt!E24</f>
        <v>0</v>
      </c>
      <c r="D24" s="41">
        <f>'CurrentYearIncomeStmt '!E24</f>
        <v>0</v>
      </c>
    </row>
    <row r="25" spans="1:5" x14ac:dyDescent="0.25">
      <c r="A25" s="10">
        <v>17</v>
      </c>
      <c r="B25" s="17" t="s">
        <v>11</v>
      </c>
      <c r="C25" s="32">
        <f>PriorYearIncomeStmt!E25</f>
        <v>98365</v>
      </c>
      <c r="D25" s="41">
        <f>'CurrentYearIncomeStmt '!E25</f>
        <v>84324</v>
      </c>
    </row>
    <row r="26" spans="1:5" x14ac:dyDescent="0.25">
      <c r="A26" s="10">
        <v>18</v>
      </c>
      <c r="B26" s="17" t="s">
        <v>181</v>
      </c>
      <c r="C26" s="32">
        <f>PriorYearIncomeStmt!E26</f>
        <v>-242886</v>
      </c>
      <c r="D26" s="41">
        <f>'CurrentYearIncomeStmt '!E26</f>
        <v>5998</v>
      </c>
    </row>
    <row r="27" spans="1:5" x14ac:dyDescent="0.25">
      <c r="A27" s="10">
        <v>19</v>
      </c>
      <c r="B27" s="17" t="s">
        <v>13</v>
      </c>
      <c r="C27" s="32">
        <f>PriorYearIncomeStmt!E27</f>
        <v>0</v>
      </c>
      <c r="D27" s="41">
        <f>'CurrentYearIncomeStmt '!E27</f>
        <v>0</v>
      </c>
    </row>
    <row r="28" spans="1:5" x14ac:dyDescent="0.25">
      <c r="A28" s="10">
        <v>20</v>
      </c>
      <c r="B28" s="83" t="s">
        <v>12</v>
      </c>
      <c r="C28" s="37">
        <f>SUM(C25:C27)</f>
        <v>-144521</v>
      </c>
      <c r="D28" s="43">
        <f t="shared" ref="D28" si="1">SUM(D25:D27)</f>
        <v>90322</v>
      </c>
    </row>
    <row r="29" spans="1:5" x14ac:dyDescent="0.25">
      <c r="A29" s="10">
        <v>21</v>
      </c>
      <c r="B29" s="83" t="s">
        <v>22</v>
      </c>
      <c r="C29" s="37">
        <f>C23+C24-C28</f>
        <v>-507081</v>
      </c>
      <c r="D29" s="43">
        <f>D23+D24-D28</f>
        <v>-828524</v>
      </c>
    </row>
    <row r="30" spans="1:5" x14ac:dyDescent="0.25">
      <c r="A30" s="10">
        <v>22</v>
      </c>
      <c r="B30" s="17" t="s">
        <v>15</v>
      </c>
      <c r="C30" s="32">
        <f>PriorYearIncomeStmt!E30</f>
        <v>0</v>
      </c>
      <c r="D30" s="41">
        <f>'CurrentYearIncomeStmt '!E30</f>
        <v>0</v>
      </c>
    </row>
    <row r="31" spans="1:5" x14ac:dyDescent="0.25">
      <c r="A31" s="10">
        <v>23</v>
      </c>
      <c r="B31" s="17" t="s">
        <v>16</v>
      </c>
      <c r="C31" s="32">
        <f>PriorYearIncomeStmt!E31</f>
        <v>0</v>
      </c>
      <c r="D31" s="41">
        <f>'CurrentYearIncomeStmt '!E31</f>
        <v>0</v>
      </c>
    </row>
    <row r="32" spans="1:5" x14ac:dyDescent="0.25">
      <c r="A32" s="10">
        <v>24</v>
      </c>
      <c r="B32" s="17" t="s">
        <v>17</v>
      </c>
      <c r="C32" s="32">
        <f>PriorYearIncomeStmt!E32</f>
        <v>0</v>
      </c>
      <c r="D32" s="41">
        <f>'CurrentYearIncomeStmt '!E32</f>
        <v>0</v>
      </c>
    </row>
    <row r="33" spans="1:4" x14ac:dyDescent="0.25">
      <c r="A33" s="10">
        <v>25</v>
      </c>
      <c r="B33" s="17" t="s">
        <v>269</v>
      </c>
      <c r="C33" s="32">
        <f>PriorYearIncomeStmt!E33</f>
        <v>0</v>
      </c>
      <c r="D33" s="41">
        <f>'CurrentYearIncomeStmt '!E33</f>
        <v>0</v>
      </c>
    </row>
    <row r="34" spans="1:4" x14ac:dyDescent="0.25">
      <c r="A34" s="10">
        <v>26</v>
      </c>
      <c r="B34" s="83" t="s">
        <v>267</v>
      </c>
      <c r="C34" s="37">
        <f>SUM(C30:C33)</f>
        <v>0</v>
      </c>
      <c r="D34" s="43">
        <f t="shared" ref="D34" si="2">SUM(D30:D33)</f>
        <v>0</v>
      </c>
    </row>
    <row r="35" spans="1:4" x14ac:dyDescent="0.25">
      <c r="A35" s="10">
        <v>27</v>
      </c>
      <c r="B35" s="17" t="s">
        <v>18</v>
      </c>
      <c r="C35" s="32">
        <f>PriorYearIncomeStmt!E35</f>
        <v>42361</v>
      </c>
      <c r="D35" s="41">
        <f>'CurrentYearIncomeStmt '!E35</f>
        <v>23773</v>
      </c>
    </row>
    <row r="36" spans="1:4" x14ac:dyDescent="0.25">
      <c r="A36" s="10">
        <v>28</v>
      </c>
      <c r="B36" s="17" t="s">
        <v>19</v>
      </c>
      <c r="C36" s="32">
        <f>PriorYearIncomeStmt!E36</f>
        <v>0</v>
      </c>
      <c r="D36" s="41">
        <f>'CurrentYearIncomeStmt '!E36</f>
        <v>0</v>
      </c>
    </row>
    <row r="37" spans="1:4" x14ac:dyDescent="0.25">
      <c r="A37" s="10">
        <v>29</v>
      </c>
      <c r="B37" s="17" t="s">
        <v>78</v>
      </c>
      <c r="C37" s="32">
        <f>PriorYearIncomeStmt!E37</f>
        <v>0</v>
      </c>
      <c r="D37" s="41">
        <f>'CurrentYearIncomeStmt '!E37</f>
        <v>0</v>
      </c>
    </row>
    <row r="38" spans="1:4" x14ac:dyDescent="0.25">
      <c r="A38" s="10">
        <v>30</v>
      </c>
      <c r="B38" s="17" t="s">
        <v>20</v>
      </c>
      <c r="C38" s="32">
        <f>PriorYearIncomeStmt!E38</f>
        <v>16726</v>
      </c>
      <c r="D38" s="41">
        <f>'CurrentYearIncomeStmt '!E38</f>
        <v>25119</v>
      </c>
    </row>
    <row r="39" spans="1:4" x14ac:dyDescent="0.25">
      <c r="A39" s="10">
        <v>31</v>
      </c>
      <c r="B39" s="83" t="s">
        <v>21</v>
      </c>
      <c r="C39" s="37">
        <f>C29-C34+C35+C36+C37+C38</f>
        <v>-447994</v>
      </c>
      <c r="D39" s="43">
        <f t="shared" ref="D39" si="3">D29-D34+D35+D36+D37+D38</f>
        <v>-779632</v>
      </c>
    </row>
    <row r="40" spans="1:4" x14ac:dyDescent="0.25">
      <c r="A40" s="10">
        <v>32</v>
      </c>
      <c r="B40" s="17" t="s">
        <v>23</v>
      </c>
      <c r="C40" s="44"/>
      <c r="D40" s="70"/>
    </row>
    <row r="41" spans="1:4" x14ac:dyDescent="0.25">
      <c r="A41" s="10">
        <v>33</v>
      </c>
      <c r="B41" s="17" t="s">
        <v>24</v>
      </c>
      <c r="C41" s="32">
        <f>PriorYearIncomeStmt!E41</f>
        <v>6228269</v>
      </c>
      <c r="D41" s="41">
        <f>'CurrentYearIncomeStmt '!E41</f>
        <v>5780275</v>
      </c>
    </row>
    <row r="42" spans="1:4" x14ac:dyDescent="0.25">
      <c r="A42" s="10">
        <v>34</v>
      </c>
      <c r="B42" s="17" t="s">
        <v>25</v>
      </c>
      <c r="C42" s="32">
        <f>PriorYearIncomeStmt!E42</f>
        <v>0</v>
      </c>
      <c r="D42" s="41">
        <f>'CurrentYearIncomeStmt '!E42</f>
        <v>0</v>
      </c>
    </row>
    <row r="43" spans="1:4" x14ac:dyDescent="0.25">
      <c r="A43" s="10">
        <v>35</v>
      </c>
      <c r="B43" s="17" t="s">
        <v>26</v>
      </c>
      <c r="C43" s="32">
        <f>PriorYearIncomeStmt!E43</f>
        <v>0</v>
      </c>
      <c r="D43" s="41">
        <f>'CurrentYearIncomeStmt '!E43</f>
        <v>0</v>
      </c>
    </row>
    <row r="44" spans="1:4" x14ac:dyDescent="0.25">
      <c r="A44" s="10">
        <v>36</v>
      </c>
      <c r="B44" s="17" t="s">
        <v>27</v>
      </c>
      <c r="C44" s="32">
        <f>PriorYearIncomeStmt!E44</f>
        <v>0</v>
      </c>
      <c r="D44" s="41">
        <f>'CurrentYearIncomeStmt '!E44</f>
        <v>0</v>
      </c>
    </row>
    <row r="45" spans="1:4" x14ac:dyDescent="0.25">
      <c r="A45" s="10">
        <v>37</v>
      </c>
      <c r="B45" s="17" t="s">
        <v>28</v>
      </c>
      <c r="C45" s="32">
        <f>PriorYearIncomeStmt!E45</f>
        <v>0</v>
      </c>
      <c r="D45" s="41">
        <f>'CurrentYearIncomeStmt '!E45</f>
        <v>0</v>
      </c>
    </row>
    <row r="46" spans="1:4" x14ac:dyDescent="0.25">
      <c r="A46" s="10">
        <v>38</v>
      </c>
      <c r="B46" s="17" t="s">
        <v>29</v>
      </c>
      <c r="C46" s="32">
        <f>PriorYearIncomeStmt!E46</f>
        <v>0</v>
      </c>
      <c r="D46" s="41">
        <f>'CurrentYearIncomeStmt '!E46</f>
        <v>0</v>
      </c>
    </row>
    <row r="47" spans="1:4" x14ac:dyDescent="0.25">
      <c r="A47" s="10">
        <v>39</v>
      </c>
      <c r="B47" s="83" t="s">
        <v>30</v>
      </c>
      <c r="C47" s="37">
        <f>(C39+C41+C42)-(C43+C44+C45+C46)</f>
        <v>5780275</v>
      </c>
      <c r="D47" s="43">
        <f t="shared" ref="D47" si="4">(D39+D41+D42)-(D43+D44+D45+D46)</f>
        <v>5000643</v>
      </c>
    </row>
    <row r="48" spans="1:4" x14ac:dyDescent="0.25">
      <c r="A48" s="10">
        <v>40</v>
      </c>
      <c r="B48" s="17" t="s">
        <v>31</v>
      </c>
      <c r="C48" s="32">
        <f>PriorYearIncomeStmt!E48</f>
        <v>0</v>
      </c>
      <c r="D48" s="41">
        <f>'CurrentYearIncomeStmt '!E48</f>
        <v>0</v>
      </c>
    </row>
    <row r="49" spans="1:8" x14ac:dyDescent="0.25">
      <c r="A49" s="10">
        <v>41</v>
      </c>
      <c r="B49" s="17" t="s">
        <v>29</v>
      </c>
      <c r="C49" s="32">
        <f>PriorYearIncomeStmt!E49</f>
        <v>0</v>
      </c>
      <c r="D49" s="41">
        <f>'CurrentYearIncomeStmt '!E49</f>
        <v>0</v>
      </c>
    </row>
    <row r="50" spans="1:8" x14ac:dyDescent="0.25">
      <c r="A50" s="10">
        <v>42</v>
      </c>
      <c r="B50" s="17" t="s">
        <v>32</v>
      </c>
      <c r="C50" s="32">
        <f>PriorYearIncomeStmt!E50</f>
        <v>0</v>
      </c>
      <c r="D50" s="41">
        <f>'CurrentYearIncomeStmt '!E50</f>
        <v>0</v>
      </c>
    </row>
    <row r="51" spans="1:8" x14ac:dyDescent="0.25">
      <c r="A51" s="10">
        <v>43</v>
      </c>
      <c r="B51" s="83" t="s">
        <v>33</v>
      </c>
      <c r="C51" s="37">
        <f>C48+C49-C50</f>
        <v>0</v>
      </c>
      <c r="D51" s="43">
        <f t="shared" ref="D51" si="5">D48+D49-D50</f>
        <v>0</v>
      </c>
    </row>
    <row r="52" spans="1:8" x14ac:dyDescent="0.25">
      <c r="A52" s="10">
        <v>44</v>
      </c>
      <c r="B52" s="17" t="s">
        <v>34</v>
      </c>
      <c r="C52" s="32">
        <f>PriorYearIncomeStmt!E52</f>
        <v>0</v>
      </c>
      <c r="D52" s="41">
        <f>'CurrentYearIncomeStmt '!E52</f>
        <v>0</v>
      </c>
    </row>
    <row r="53" spans="1:8" x14ac:dyDescent="0.25">
      <c r="A53" s="10">
        <v>45</v>
      </c>
      <c r="B53" s="17" t="s">
        <v>35</v>
      </c>
      <c r="C53" s="49">
        <f>((C22+C28-C18-C19)/C15)</f>
        <v>0.91761772630650096</v>
      </c>
      <c r="D53" s="49">
        <f>((D22+D28-D18-D19)/D15)</f>
        <v>0.98337216807601258</v>
      </c>
    </row>
    <row r="54" spans="1:8" x14ac:dyDescent="0.25">
      <c r="A54" s="10">
        <v>46</v>
      </c>
      <c r="B54" s="17" t="s">
        <v>36</v>
      </c>
      <c r="C54" s="49">
        <f>((C22+C28+C34)/C15)</f>
        <v>1.1616528290145662</v>
      </c>
      <c r="D54" s="49">
        <f>((D22+D28+D34)/D15)</f>
        <v>1.2755146254622676</v>
      </c>
    </row>
    <row r="55" spans="1:8" x14ac:dyDescent="0.25">
      <c r="A55" s="10">
        <v>47</v>
      </c>
      <c r="B55" s="17" t="s">
        <v>37</v>
      </c>
      <c r="C55" s="49" t="e">
        <f>((C39+C34)/C34)</f>
        <v>#DIV/0!</v>
      </c>
      <c r="D55" s="49" t="e">
        <f t="shared" ref="D55" si="6">((D39+D34)/D34)</f>
        <v>#DIV/0!</v>
      </c>
    </row>
    <row r="56" spans="1:8" x14ac:dyDescent="0.25">
      <c r="A56" s="10">
        <v>48</v>
      </c>
      <c r="B56" s="17" t="s">
        <v>38</v>
      </c>
      <c r="C56" s="45" t="e">
        <f>(C39+C34+C18+C19)/C52</f>
        <v>#DIV/0!</v>
      </c>
      <c r="D56" s="49" t="e">
        <f>(D39+D34+D18+D19)/D52</f>
        <v>#DIV/0!</v>
      </c>
    </row>
    <row r="57" spans="1:8" x14ac:dyDescent="0.25">
      <c r="A57" s="19"/>
      <c r="B57" s="19"/>
      <c r="C57" s="19"/>
      <c r="D57" s="15"/>
    </row>
    <row r="59" spans="1:8" x14ac:dyDescent="0.25">
      <c r="B59" t="s">
        <v>182</v>
      </c>
      <c r="C59" s="48" t="s">
        <v>235</v>
      </c>
      <c r="D59" s="48" t="s">
        <v>258</v>
      </c>
    </row>
    <row r="60" spans="1:8" x14ac:dyDescent="0.25">
      <c r="A60" s="47" t="s">
        <v>157</v>
      </c>
      <c r="B60" t="s">
        <v>149</v>
      </c>
      <c r="C60" s="56"/>
      <c r="D60" s="56"/>
      <c r="E60" s="65"/>
      <c r="F60" s="65"/>
      <c r="G60" s="65"/>
      <c r="H60" s="65"/>
    </row>
    <row r="61" spans="1:8" x14ac:dyDescent="0.25">
      <c r="A61" s="65"/>
      <c r="B61" s="65" t="s">
        <v>183</v>
      </c>
      <c r="C61" s="65"/>
      <c r="D61" s="65"/>
      <c r="E61" s="65"/>
      <c r="F61" s="65"/>
      <c r="G61" s="65"/>
      <c r="H61" s="65"/>
    </row>
    <row r="62" spans="1:8" x14ac:dyDescent="0.25">
      <c r="A62" s="65"/>
      <c r="B62" s="65" t="s">
        <v>184</v>
      </c>
      <c r="C62" s="65"/>
      <c r="D62" s="65"/>
      <c r="E62" s="65"/>
      <c r="F62" s="65"/>
      <c r="G62" s="65"/>
      <c r="H62" s="65"/>
    </row>
    <row r="63" spans="1:8" x14ac:dyDescent="0.25">
      <c r="A63" s="65"/>
      <c r="B63" s="65" t="s">
        <v>185</v>
      </c>
      <c r="C63" s="65"/>
      <c r="D63" s="65"/>
      <c r="E63" s="65"/>
      <c r="F63" s="65"/>
      <c r="G63" s="65"/>
      <c r="H63" s="65"/>
    </row>
    <row r="64" spans="1:8" x14ac:dyDescent="0.25">
      <c r="A64" s="65"/>
      <c r="B64" s="65"/>
      <c r="C64" s="65"/>
      <c r="D64" s="65"/>
      <c r="E64" s="65"/>
      <c r="F64" s="65"/>
      <c r="G64" s="65"/>
      <c r="H64" s="65"/>
    </row>
    <row r="65" spans="1:8" x14ac:dyDescent="0.25">
      <c r="A65" s="65"/>
      <c r="B65" s="65"/>
      <c r="C65" s="65"/>
      <c r="D65" s="65"/>
      <c r="E65" s="65"/>
      <c r="F65" s="65"/>
      <c r="G65" s="65"/>
      <c r="H65" s="65"/>
    </row>
    <row r="66" spans="1:8" x14ac:dyDescent="0.25">
      <c r="A66" s="65"/>
      <c r="B66" s="65"/>
      <c r="C66" s="65"/>
      <c r="D66" s="65"/>
      <c r="E66" s="65"/>
      <c r="F66" s="65"/>
      <c r="G66" s="65"/>
      <c r="H66" s="65"/>
    </row>
    <row r="67" spans="1:8" x14ac:dyDescent="0.25">
      <c r="A67" s="65"/>
      <c r="B67" s="65"/>
      <c r="C67" s="65"/>
      <c r="D67" s="65"/>
      <c r="E67" s="65"/>
      <c r="F67" s="65"/>
      <c r="G67" s="65"/>
      <c r="H67" s="65"/>
    </row>
    <row r="68" spans="1:8" x14ac:dyDescent="0.25">
      <c r="A68" s="65"/>
      <c r="B68" s="65"/>
      <c r="C68" s="65"/>
      <c r="D68" s="65"/>
      <c r="E68" s="65"/>
      <c r="F68" s="65"/>
      <c r="G68" s="65"/>
      <c r="H68" s="65"/>
    </row>
    <row r="69" spans="1:8" x14ac:dyDescent="0.25">
      <c r="A69" s="65"/>
      <c r="B69" s="65"/>
      <c r="C69" s="65"/>
      <c r="D69" s="65"/>
      <c r="E69" s="65"/>
      <c r="F69" s="65"/>
      <c r="G69" s="65"/>
      <c r="H69" s="65"/>
    </row>
    <row r="70" spans="1:8" x14ac:dyDescent="0.25">
      <c r="A70" s="65"/>
      <c r="B70" s="65"/>
      <c r="C70" s="65"/>
      <c r="D70" s="65"/>
      <c r="E70" s="65"/>
      <c r="F70" s="65"/>
      <c r="G70" s="65"/>
      <c r="H70" s="65"/>
    </row>
    <row r="71" spans="1:8" x14ac:dyDescent="0.25">
      <c r="A71" s="65"/>
      <c r="B71" s="65"/>
      <c r="C71" s="65"/>
      <c r="D71" s="65"/>
      <c r="E71" s="65"/>
      <c r="F71" s="65"/>
      <c r="G71" s="65"/>
      <c r="H71" s="65"/>
    </row>
  </sheetData>
  <sheetProtection algorithmName="SHA-512" hashValue="0WuVgRd/zw5T4nDgahcn6fTwzCyBfoFqDaCoCihNpO+jhd1EDnJ4oQBGf46FFmlwu7UFCj6j1a54oe0Wdd1uyg==" saltValue="UCf0iA1VKEo792aWGaQvA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ADBDF0C987B394999279EEBF70227DF" ma:contentTypeVersion="76" ma:contentTypeDescription="" ma:contentTypeScope="" ma:versionID="d30bba7f54dbd86ba4d847a6b268105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2018-08-02T07:00:00+00:00</OpenedDate>
    <SignificantOrder xmlns="dc463f71-b30c-4ab2-9473-d307f9d35888">false</SignificantOrder>
    <Date1 xmlns="dc463f71-b30c-4ab2-9473-d307f9d35888">2018-08-01T07:00:00+00:00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Tenino Telephone Company</CaseCompanyNames>
    <Nickname xmlns="http://schemas.microsoft.com/sharepoint/v3" xsi:nil="true"/>
    <DocketNumber xmlns="dc463f71-b30c-4ab2-9473-d307f9d35888">180660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23F7507-5D32-44FA-9724-B37DC6F12219}"/>
</file>

<file path=customXml/itemProps2.xml><?xml version="1.0" encoding="utf-8"?>
<ds:datastoreItem xmlns:ds="http://schemas.openxmlformats.org/officeDocument/2006/customXml" ds:itemID="{6C7423FD-D853-47F4-A291-B644F6637C5F}"/>
</file>

<file path=customXml/itemProps3.xml><?xml version="1.0" encoding="utf-8"?>
<ds:datastoreItem xmlns:ds="http://schemas.openxmlformats.org/officeDocument/2006/customXml" ds:itemID="{8A047CB1-BF68-498D-B7FE-C5A7C5D4C2CB}"/>
</file>

<file path=customXml/itemProps4.xml><?xml version="1.0" encoding="utf-8"?>
<ds:datastoreItem xmlns:ds="http://schemas.openxmlformats.org/officeDocument/2006/customXml" ds:itemID="{AFBC5CF2-0ED4-48E0-8B60-F45B406CB8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Rick Vitzthum</cp:lastModifiedBy>
  <cp:lastPrinted>2017-11-21T19:20:02Z</cp:lastPrinted>
  <dcterms:created xsi:type="dcterms:W3CDTF">2014-05-21T17:51:51Z</dcterms:created>
  <dcterms:modified xsi:type="dcterms:W3CDTF">2018-08-01T18:40:13Z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0x0101006E56B4D1795A2E4DB2F0B01679ED314A005ADBDF0C987B394999279EEBF70227DF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