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H\Desktop\"/>
    </mc:Choice>
  </mc:AlternateContent>
  <bookViews>
    <workbookView xWindow="0" yWindow="0" windowWidth="23040" windowHeight="9360"/>
  </bookViews>
  <sheets>
    <sheet name="Sch 10-Updated Rate" sheetId="3" r:id="rId1"/>
    <sheet name="Meter COS" sheetId="4" r:id="rId2"/>
    <sheet name="Meter Cost" sheetId="5" r:id="rId3"/>
    <sheet name="AAMR COS " sheetId="12" r:id="rId4"/>
    <sheet name="AAMR Cost" sheetId="6" r:id="rId5"/>
  </sheets>
  <definedNames>
    <definedName name="_xlnm.Print_Area" localSheetId="3">'AAMR COS '!$I$3:$N$20</definedName>
    <definedName name="_xlnm.Print_Area" localSheetId="1">'Meter COS'!$I$3:$N$20</definedName>
  </definedNames>
  <calcPr calcId="152511"/>
</workbook>
</file>

<file path=xl/calcChain.xml><?xml version="1.0" encoding="utf-8"?>
<calcChain xmlns="http://schemas.openxmlformats.org/spreadsheetml/2006/main">
  <c r="F23" i="4" l="1"/>
  <c r="B13" i="5"/>
  <c r="K16" i="6" l="1"/>
  <c r="K17" i="6"/>
  <c r="K18" i="6"/>
  <c r="B2" i="6"/>
  <c r="K15" i="6"/>
  <c r="B4" i="6"/>
  <c r="H13" i="6"/>
  <c r="G13" i="6"/>
  <c r="H12" i="6"/>
  <c r="K12" i="6"/>
  <c r="K13" i="6"/>
  <c r="K14" i="6"/>
  <c r="K11" i="6"/>
  <c r="D43" i="4" l="1"/>
  <c r="I36" i="3" l="1"/>
  <c r="G23" i="3"/>
  <c r="G24" i="3"/>
  <c r="G25" i="3"/>
  <c r="G26" i="3"/>
  <c r="G27" i="3"/>
  <c r="G28" i="3"/>
  <c r="G29" i="3"/>
  <c r="G22" i="3"/>
  <c r="E16" i="3"/>
  <c r="E17" i="3"/>
  <c r="B13" i="6" l="1"/>
  <c r="B12" i="6"/>
  <c r="B8" i="6"/>
  <c r="B5" i="6"/>
  <c r="K5" i="6" l="1"/>
  <c r="F17" i="12" l="1"/>
  <c r="T29" i="12" l="1"/>
  <c r="T73" i="12"/>
  <c r="B73" i="4"/>
  <c r="G17" i="3" l="1"/>
  <c r="G16" i="3"/>
  <c r="G15" i="3"/>
  <c r="F9" i="4"/>
  <c r="F10" i="4"/>
  <c r="J8" i="12" l="1"/>
  <c r="F23" i="12" s="1"/>
  <c r="E85" i="12"/>
  <c r="E86" i="12" s="1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E29" i="12"/>
  <c r="F29" i="12" s="1"/>
  <c r="G29" i="12" s="1"/>
  <c r="H29" i="12" s="1"/>
  <c r="I29" i="12" s="1"/>
  <c r="J29" i="12" s="1"/>
  <c r="K29" i="12" s="1"/>
  <c r="L29" i="12" s="1"/>
  <c r="M29" i="12" s="1"/>
  <c r="N29" i="12" s="1"/>
  <c r="O29" i="12" s="1"/>
  <c r="P29" i="12" s="1"/>
  <c r="Q29" i="12" s="1"/>
  <c r="R29" i="12" s="1"/>
  <c r="S29" i="12" s="1"/>
  <c r="A29" i="12"/>
  <c r="A30" i="12" s="1"/>
  <c r="A33" i="12" s="1"/>
  <c r="A34" i="12" s="1"/>
  <c r="A35" i="12" s="1"/>
  <c r="A38" i="12" s="1"/>
  <c r="A39" i="12" s="1"/>
  <c r="A40" i="12" s="1"/>
  <c r="A41" i="12" s="1"/>
  <c r="A43" i="12" s="1"/>
  <c r="A44" i="12" s="1"/>
  <c r="A46" i="12" s="1"/>
  <c r="A53" i="12" s="1"/>
  <c r="D12" i="12"/>
  <c r="L6" i="12"/>
  <c r="L5" i="12"/>
  <c r="B14" i="5"/>
  <c r="B12" i="5"/>
  <c r="B11" i="5"/>
  <c r="B10" i="5"/>
  <c r="B9" i="5"/>
  <c r="B8" i="5"/>
  <c r="B7" i="5"/>
  <c r="T68" i="12" l="1"/>
  <c r="T28" i="12"/>
  <c r="T67" i="12" s="1"/>
  <c r="F12" i="12"/>
  <c r="H68" i="12"/>
  <c r="H28" i="12"/>
  <c r="E28" i="12"/>
  <c r="I28" i="12"/>
  <c r="M28" i="12"/>
  <c r="Q28" i="12"/>
  <c r="L28" i="12"/>
  <c r="F28" i="12"/>
  <c r="J28" i="12"/>
  <c r="N28" i="12"/>
  <c r="R28" i="12"/>
  <c r="Q68" i="12"/>
  <c r="M68" i="12"/>
  <c r="I68" i="12"/>
  <c r="E68" i="12"/>
  <c r="R68" i="12"/>
  <c r="L68" i="12"/>
  <c r="G68" i="12"/>
  <c r="P68" i="12"/>
  <c r="K68" i="12"/>
  <c r="F68" i="12"/>
  <c r="O68" i="12"/>
  <c r="J68" i="12"/>
  <c r="P28" i="12"/>
  <c r="S68" i="12"/>
  <c r="G28" i="12"/>
  <c r="K28" i="12"/>
  <c r="O28" i="12"/>
  <c r="S28" i="12"/>
  <c r="N68" i="12"/>
  <c r="B4" i="5"/>
  <c r="T69" i="12" l="1"/>
  <c r="T70" i="12" s="1"/>
  <c r="U28" i="12"/>
  <c r="I67" i="12"/>
  <c r="I69" i="12" s="1"/>
  <c r="I70" i="12" s="1"/>
  <c r="S67" i="12"/>
  <c r="S69" i="12" s="1"/>
  <c r="S70" i="12" s="1"/>
  <c r="R67" i="12"/>
  <c r="R69" i="12" s="1"/>
  <c r="R70" i="12" s="1"/>
  <c r="E67" i="12"/>
  <c r="E69" i="12" s="1"/>
  <c r="E70" i="12" s="1"/>
  <c r="G67" i="12"/>
  <c r="G69" i="12" s="1"/>
  <c r="G70" i="12" s="1"/>
  <c r="F67" i="12"/>
  <c r="F69" i="12" s="1"/>
  <c r="F70" i="12" s="1"/>
  <c r="O67" i="12"/>
  <c r="O69" i="12" s="1"/>
  <c r="O70" i="12" s="1"/>
  <c r="N67" i="12"/>
  <c r="L67" i="12"/>
  <c r="L69" i="12" s="1"/>
  <c r="L70" i="12" s="1"/>
  <c r="Q67" i="12"/>
  <c r="Q69" i="12" s="1"/>
  <c r="Q70" i="12" s="1"/>
  <c r="H67" i="12"/>
  <c r="H69" i="12" s="1"/>
  <c r="H70" i="12" s="1"/>
  <c r="N69" i="12"/>
  <c r="N70" i="12" s="1"/>
  <c r="K67" i="12"/>
  <c r="K69" i="12" s="1"/>
  <c r="K70" i="12" s="1"/>
  <c r="P67" i="12"/>
  <c r="P69" i="12" s="1"/>
  <c r="P70" i="12" s="1"/>
  <c r="J67" i="12"/>
  <c r="J69" i="12" s="1"/>
  <c r="J70" i="12" s="1"/>
  <c r="M67" i="12"/>
  <c r="M69" i="12" s="1"/>
  <c r="M70" i="12" s="1"/>
  <c r="U70" i="12" l="1"/>
  <c r="E57" i="12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E85" i="4"/>
  <c r="E76" i="12" l="1"/>
  <c r="E40" i="12"/>
  <c r="E38" i="12"/>
  <c r="F57" i="12"/>
  <c r="E39" i="12"/>
  <c r="F17" i="4"/>
  <c r="E41" i="12" l="1"/>
  <c r="F39" i="12"/>
  <c r="G57" i="12"/>
  <c r="F38" i="12"/>
  <c r="F40" i="12"/>
  <c r="E60" i="12"/>
  <c r="F76" i="12"/>
  <c r="E30" i="12"/>
  <c r="J18" i="4"/>
  <c r="J17" i="4"/>
  <c r="J16" i="4"/>
  <c r="J15" i="4"/>
  <c r="J14" i="4"/>
  <c r="J13" i="4"/>
  <c r="J12" i="4"/>
  <c r="J11" i="4"/>
  <c r="B6" i="5"/>
  <c r="J10" i="4" s="1"/>
  <c r="B5" i="5"/>
  <c r="J9" i="4" s="1"/>
  <c r="J8" i="4"/>
  <c r="F60" i="12" l="1"/>
  <c r="F61" i="12" s="1"/>
  <c r="F33" i="12" s="1"/>
  <c r="F41" i="12"/>
  <c r="G76" i="12"/>
  <c r="F30" i="12"/>
  <c r="E61" i="12"/>
  <c r="E33" i="12" s="1"/>
  <c r="H57" i="12"/>
  <c r="G39" i="12"/>
  <c r="G38" i="12"/>
  <c r="G40" i="12"/>
  <c r="B6" i="6"/>
  <c r="I57" i="12" l="1"/>
  <c r="H40" i="12"/>
  <c r="H39" i="12"/>
  <c r="H38" i="12"/>
  <c r="E62" i="12"/>
  <c r="E63" i="12" s="1"/>
  <c r="E34" i="12" s="1"/>
  <c r="E35" i="12" s="1"/>
  <c r="E43" i="12" s="1"/>
  <c r="G60" i="12"/>
  <c r="F62" i="12"/>
  <c r="F63" i="12" s="1"/>
  <c r="G41" i="12"/>
  <c r="E64" i="12"/>
  <c r="E78" i="12" s="1"/>
  <c r="H76" i="12"/>
  <c r="G30" i="12"/>
  <c r="H60" i="12" l="1"/>
  <c r="H61" i="12" s="1"/>
  <c r="H33" i="12" s="1"/>
  <c r="E44" i="12"/>
  <c r="E46" i="12" s="1"/>
  <c r="F34" i="12"/>
  <c r="F35" i="12" s="1"/>
  <c r="F43" i="12" s="1"/>
  <c r="F64" i="12"/>
  <c r="F78" i="12" s="1"/>
  <c r="J57" i="12"/>
  <c r="I40" i="12"/>
  <c r="I38" i="12"/>
  <c r="I39" i="12"/>
  <c r="I76" i="12"/>
  <c r="H30" i="12"/>
  <c r="H41" i="12"/>
  <c r="G61" i="12"/>
  <c r="G33" i="12" s="1"/>
  <c r="I60" i="12" l="1"/>
  <c r="I41" i="12"/>
  <c r="E53" i="12"/>
  <c r="J39" i="12"/>
  <c r="K57" i="12"/>
  <c r="J40" i="12"/>
  <c r="J38" i="12"/>
  <c r="F44" i="12"/>
  <c r="F46" i="12" s="1"/>
  <c r="I61" i="12"/>
  <c r="I33" i="12" s="1"/>
  <c r="J76" i="12"/>
  <c r="I30" i="12"/>
  <c r="G62" i="12"/>
  <c r="G63" i="12" s="1"/>
  <c r="H62" i="12"/>
  <c r="H63" i="12" s="1"/>
  <c r="J41" i="12" l="1"/>
  <c r="J60" i="12"/>
  <c r="F53" i="12"/>
  <c r="J30" i="12"/>
  <c r="K76" i="12"/>
  <c r="H34" i="12"/>
  <c r="H35" i="12" s="1"/>
  <c r="H43" i="12" s="1"/>
  <c r="H64" i="12"/>
  <c r="H78" i="12" s="1"/>
  <c r="L57" i="12"/>
  <c r="K39" i="12"/>
  <c r="K38" i="12"/>
  <c r="K40" i="12"/>
  <c r="I62" i="12"/>
  <c r="I63" i="12" s="1"/>
  <c r="I34" i="12" s="1"/>
  <c r="I35" i="12" s="1"/>
  <c r="I43" i="12" s="1"/>
  <c r="G34" i="12"/>
  <c r="G35" i="12" s="1"/>
  <c r="G43" i="12" s="1"/>
  <c r="G64" i="12"/>
  <c r="G78" i="12" s="1"/>
  <c r="I64" i="12" l="1"/>
  <c r="I78" i="12" s="1"/>
  <c r="J61" i="12"/>
  <c r="J33" i="12" s="1"/>
  <c r="I44" i="12"/>
  <c r="I46" i="12" s="1"/>
  <c r="I53" i="12" s="1"/>
  <c r="L76" i="12"/>
  <c r="K30" i="12"/>
  <c r="K60" i="12"/>
  <c r="L40" i="12"/>
  <c r="L38" i="12"/>
  <c r="M57" i="12"/>
  <c r="L39" i="12"/>
  <c r="G44" i="12"/>
  <c r="G46" i="12" s="1"/>
  <c r="K41" i="12"/>
  <c r="H44" i="12"/>
  <c r="H46" i="12" s="1"/>
  <c r="H53" i="12" s="1"/>
  <c r="L6" i="4"/>
  <c r="L5" i="4"/>
  <c r="J62" i="12" l="1"/>
  <c r="J63" i="12" s="1"/>
  <c r="J34" i="12" s="1"/>
  <c r="J35" i="12" s="1"/>
  <c r="J43" i="12" s="1"/>
  <c r="J44" i="12" s="1"/>
  <c r="J46" i="12" s="1"/>
  <c r="L60" i="12"/>
  <c r="G53" i="12"/>
  <c r="M76" i="12"/>
  <c r="L30" i="12"/>
  <c r="M40" i="12"/>
  <c r="M38" i="12"/>
  <c r="N57" i="12"/>
  <c r="M39" i="12"/>
  <c r="K61" i="12"/>
  <c r="K33" i="12" s="1"/>
  <c r="L41" i="12"/>
  <c r="E86" i="4"/>
  <c r="E29" i="4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A29" i="4"/>
  <c r="A30" i="4" s="1"/>
  <c r="A33" i="4" s="1"/>
  <c r="A34" i="4" s="1"/>
  <c r="A35" i="4" s="1"/>
  <c r="A38" i="4" s="1"/>
  <c r="A39" i="4" s="1"/>
  <c r="A40" i="4" s="1"/>
  <c r="A41" i="4" s="1"/>
  <c r="A43" i="4" s="1"/>
  <c r="A44" i="4" s="1"/>
  <c r="A46" i="4" s="1"/>
  <c r="A53" i="4" s="1"/>
  <c r="F11" i="4"/>
  <c r="D12" i="4"/>
  <c r="J64" i="12" l="1"/>
  <c r="J78" i="12" s="1"/>
  <c r="L61" i="12"/>
  <c r="L33" i="12" s="1"/>
  <c r="M60" i="12"/>
  <c r="M61" i="12" s="1"/>
  <c r="M33" i="12" s="1"/>
  <c r="J53" i="12"/>
  <c r="O57" i="12"/>
  <c r="N39" i="12"/>
  <c r="N38" i="12"/>
  <c r="N40" i="12"/>
  <c r="N76" i="12"/>
  <c r="M30" i="12"/>
  <c r="K62" i="12"/>
  <c r="K63" i="12" s="1"/>
  <c r="M41" i="12"/>
  <c r="I28" i="4"/>
  <c r="N28" i="4"/>
  <c r="S28" i="4"/>
  <c r="Y28" i="4"/>
  <c r="E28" i="4"/>
  <c r="J28" i="4"/>
  <c r="O28" i="4"/>
  <c r="U28" i="4"/>
  <c r="F28" i="4"/>
  <c r="K28" i="4"/>
  <c r="Q28" i="4"/>
  <c r="V28" i="4"/>
  <c r="W68" i="4"/>
  <c r="G28" i="4"/>
  <c r="M28" i="4"/>
  <c r="R28" i="4"/>
  <c r="W28" i="4"/>
  <c r="F12" i="4"/>
  <c r="V68" i="4"/>
  <c r="R68" i="4"/>
  <c r="N68" i="4"/>
  <c r="J68" i="4"/>
  <c r="F68" i="4"/>
  <c r="U68" i="4"/>
  <c r="P68" i="4"/>
  <c r="K68" i="4"/>
  <c r="E68" i="4"/>
  <c r="Y68" i="4"/>
  <c r="S68" i="4"/>
  <c r="L68" i="4"/>
  <c r="X68" i="4"/>
  <c r="Q68" i="4"/>
  <c r="I68" i="4"/>
  <c r="T68" i="4"/>
  <c r="G68" i="4"/>
  <c r="M68" i="4"/>
  <c r="H28" i="4"/>
  <c r="L28" i="4"/>
  <c r="P28" i="4"/>
  <c r="T28" i="4"/>
  <c r="X28" i="4"/>
  <c r="H68" i="4"/>
  <c r="O68" i="4"/>
  <c r="R67" i="4" l="1"/>
  <c r="V67" i="4"/>
  <c r="V69" i="4" s="1"/>
  <c r="V70" i="4" s="1"/>
  <c r="U67" i="4"/>
  <c r="Y67" i="4"/>
  <c r="Y69" i="4" s="1"/>
  <c r="Y70" i="4" s="1"/>
  <c r="M67" i="4"/>
  <c r="Q67" i="4"/>
  <c r="Q69" i="4" s="1"/>
  <c r="Q70" i="4" s="1"/>
  <c r="O67" i="4"/>
  <c r="O69" i="4" s="1"/>
  <c r="O70" i="4" s="1"/>
  <c r="S67" i="4"/>
  <c r="S69" i="4" s="1"/>
  <c r="S70" i="4" s="1"/>
  <c r="G67" i="4"/>
  <c r="G69" i="4" s="1"/>
  <c r="G70" i="4" s="1"/>
  <c r="K67" i="4"/>
  <c r="K69" i="4" s="1"/>
  <c r="K70" i="4" s="1"/>
  <c r="J67" i="4"/>
  <c r="J69" i="4" s="1"/>
  <c r="J70" i="4" s="1"/>
  <c r="N67" i="4"/>
  <c r="N69" i="4" s="1"/>
  <c r="N70" i="4" s="1"/>
  <c r="W67" i="4"/>
  <c r="F67" i="4"/>
  <c r="F69" i="4" s="1"/>
  <c r="F70" i="4" s="1"/>
  <c r="I67" i="4"/>
  <c r="I69" i="4" s="1"/>
  <c r="I70" i="4" s="1"/>
  <c r="N41" i="12"/>
  <c r="L62" i="12"/>
  <c r="L63" i="12" s="1"/>
  <c r="L34" i="12" s="1"/>
  <c r="L35" i="12" s="1"/>
  <c r="L43" i="12" s="1"/>
  <c r="K34" i="12"/>
  <c r="K35" i="12" s="1"/>
  <c r="K43" i="12" s="1"/>
  <c r="K64" i="12"/>
  <c r="K78" i="12" s="1"/>
  <c r="M62" i="12"/>
  <c r="M63" i="12" s="1"/>
  <c r="M34" i="12" s="1"/>
  <c r="M35" i="12" s="1"/>
  <c r="M43" i="12" s="1"/>
  <c r="O76" i="12"/>
  <c r="N30" i="12"/>
  <c r="P57" i="12"/>
  <c r="O39" i="12"/>
  <c r="O38" i="12"/>
  <c r="O40" i="12"/>
  <c r="N60" i="12"/>
  <c r="W69" i="4"/>
  <c r="W70" i="4" s="1"/>
  <c r="E67" i="4"/>
  <c r="E69" i="4" s="1"/>
  <c r="E70" i="4" s="1"/>
  <c r="Z28" i="4"/>
  <c r="U69" i="4"/>
  <c r="U70" i="4" s="1"/>
  <c r="R69" i="4"/>
  <c r="R70" i="4" s="1"/>
  <c r="M69" i="4"/>
  <c r="M70" i="4" s="1"/>
  <c r="T67" i="4"/>
  <c r="T69" i="4" s="1"/>
  <c r="T70" i="4" s="1"/>
  <c r="P67" i="4"/>
  <c r="P69" i="4" s="1"/>
  <c r="P70" i="4" s="1"/>
  <c r="L67" i="4"/>
  <c r="L69" i="4" s="1"/>
  <c r="L70" i="4" s="1"/>
  <c r="X67" i="4"/>
  <c r="X69" i="4" s="1"/>
  <c r="X70" i="4" s="1"/>
  <c r="H67" i="4"/>
  <c r="H69" i="4" s="1"/>
  <c r="H70" i="4" s="1"/>
  <c r="M64" i="12" l="1"/>
  <c r="M78" i="12" s="1"/>
  <c r="L44" i="12"/>
  <c r="L46" i="12" s="1"/>
  <c r="L53" i="12" s="1"/>
  <c r="L64" i="12"/>
  <c r="L78" i="12" s="1"/>
  <c r="M44" i="12"/>
  <c r="M46" i="12" s="1"/>
  <c r="M53" i="12" s="1"/>
  <c r="O60" i="12"/>
  <c r="N61" i="12"/>
  <c r="N33" i="12" s="1"/>
  <c r="P40" i="12"/>
  <c r="P38" i="12"/>
  <c r="P39" i="12"/>
  <c r="Q57" i="12"/>
  <c r="O41" i="12"/>
  <c r="P76" i="12"/>
  <c r="O30" i="12"/>
  <c r="K44" i="12"/>
  <c r="K46" i="12" s="1"/>
  <c r="K53" i="12" s="1"/>
  <c r="E57" i="4"/>
  <c r="E39" i="4" s="1"/>
  <c r="Z70" i="4"/>
  <c r="N62" i="12" l="1"/>
  <c r="N63" i="12" s="1"/>
  <c r="N34" i="12" s="1"/>
  <c r="Q40" i="12"/>
  <c r="Q38" i="12"/>
  <c r="R57" i="12"/>
  <c r="Q39" i="12"/>
  <c r="Q76" i="12"/>
  <c r="P30" i="12"/>
  <c r="P41" i="12"/>
  <c r="N35" i="12"/>
  <c r="N43" i="12" s="1"/>
  <c r="O61" i="12"/>
  <c r="O33" i="12" s="1"/>
  <c r="P60" i="12"/>
  <c r="E40" i="4"/>
  <c r="E60" i="4" s="1"/>
  <c r="E61" i="4" s="1"/>
  <c r="E33" i="4" s="1"/>
  <c r="E76" i="4"/>
  <c r="F57" i="4"/>
  <c r="F38" i="4" s="1"/>
  <c r="E38" i="4"/>
  <c r="N64" i="12" l="1"/>
  <c r="N78" i="12" s="1"/>
  <c r="P61" i="12"/>
  <c r="P33" i="12" s="1"/>
  <c r="S57" i="12"/>
  <c r="T57" i="12" s="1"/>
  <c r="R39" i="12"/>
  <c r="R40" i="12"/>
  <c r="R38" i="12"/>
  <c r="R76" i="12"/>
  <c r="Q30" i="12"/>
  <c r="Q41" i="12"/>
  <c r="O62" i="12"/>
  <c r="O63" i="12" s="1"/>
  <c r="O34" i="12" s="1"/>
  <c r="O35" i="12" s="1"/>
  <c r="O43" i="12" s="1"/>
  <c r="N44" i="12"/>
  <c r="N46" i="12" s="1"/>
  <c r="N53" i="12" s="1"/>
  <c r="Q60" i="12"/>
  <c r="F39" i="4"/>
  <c r="F40" i="4"/>
  <c r="E41" i="4"/>
  <c r="G57" i="4"/>
  <c r="F76" i="4"/>
  <c r="E30" i="4"/>
  <c r="E62" i="4"/>
  <c r="E63" i="4" s="1"/>
  <c r="E34" i="4" s="1"/>
  <c r="E35" i="4" s="1"/>
  <c r="T40" i="12" l="1"/>
  <c r="T38" i="12"/>
  <c r="T39" i="12"/>
  <c r="R60" i="12"/>
  <c r="R61" i="12" s="1"/>
  <c r="R33" i="12" s="1"/>
  <c r="O64" i="12"/>
  <c r="O78" i="12" s="1"/>
  <c r="R41" i="12"/>
  <c r="O44" i="12"/>
  <c r="O46" i="12" s="1"/>
  <c r="O53" i="12" s="1"/>
  <c r="Q61" i="12"/>
  <c r="Q33" i="12" s="1"/>
  <c r="S76" i="12"/>
  <c r="T76" i="12" s="1"/>
  <c r="T30" i="12" s="1"/>
  <c r="R30" i="12"/>
  <c r="P62" i="12"/>
  <c r="P63" i="12" s="1"/>
  <c r="S39" i="12"/>
  <c r="S40" i="12"/>
  <c r="S38" i="12"/>
  <c r="F60" i="4"/>
  <c r="F61" i="4" s="1"/>
  <c r="F33" i="4" s="1"/>
  <c r="F41" i="4"/>
  <c r="G38" i="4"/>
  <c r="G39" i="4"/>
  <c r="G40" i="4"/>
  <c r="H57" i="4"/>
  <c r="H40" i="4" s="1"/>
  <c r="G76" i="4"/>
  <c r="F30" i="4"/>
  <c r="E43" i="4"/>
  <c r="E64" i="4"/>
  <c r="E78" i="4" s="1"/>
  <c r="E44" i="4" l="1"/>
  <c r="T41" i="12"/>
  <c r="T60" i="12"/>
  <c r="R62" i="12"/>
  <c r="R63" i="12" s="1"/>
  <c r="R34" i="12" s="1"/>
  <c r="R35" i="12" s="1"/>
  <c r="R43" i="12" s="1"/>
  <c r="Q62" i="12"/>
  <c r="Q63" i="12" s="1"/>
  <c r="Q34" i="12" s="1"/>
  <c r="Q35" i="12" s="1"/>
  <c r="Q43" i="12" s="1"/>
  <c r="S41" i="12"/>
  <c r="S30" i="12"/>
  <c r="S60" i="12"/>
  <c r="P34" i="12"/>
  <c r="P35" i="12" s="1"/>
  <c r="P43" i="12" s="1"/>
  <c r="P64" i="12"/>
  <c r="P78" i="12" s="1"/>
  <c r="F62" i="4"/>
  <c r="F63" i="4" s="1"/>
  <c r="F34" i="4" s="1"/>
  <c r="F35" i="4" s="1"/>
  <c r="F43" i="4" s="1"/>
  <c r="F44" i="4" s="1"/>
  <c r="F46" i="4" s="1"/>
  <c r="G41" i="4"/>
  <c r="I57" i="4"/>
  <c r="H39" i="4"/>
  <c r="H60" i="4" s="1"/>
  <c r="H61" i="4" s="1"/>
  <c r="H33" i="4" s="1"/>
  <c r="H38" i="4"/>
  <c r="G60" i="4"/>
  <c r="G61" i="4" s="1"/>
  <c r="G33" i="4" s="1"/>
  <c r="H76" i="4"/>
  <c r="G30" i="4"/>
  <c r="F48" i="4" l="1"/>
  <c r="E46" i="4"/>
  <c r="E53" i="4" s="1"/>
  <c r="E48" i="4"/>
  <c r="T61" i="12"/>
  <c r="T33" i="12" s="1"/>
  <c r="R64" i="12"/>
  <c r="R78" i="12" s="1"/>
  <c r="Q64" i="12"/>
  <c r="Q78" i="12" s="1"/>
  <c r="S61" i="12"/>
  <c r="S33" i="12" s="1"/>
  <c r="Q44" i="12"/>
  <c r="Q46" i="12" s="1"/>
  <c r="Q53" i="12" s="1"/>
  <c r="R44" i="12"/>
  <c r="R46" i="12" s="1"/>
  <c r="R53" i="12" s="1"/>
  <c r="P44" i="12"/>
  <c r="P46" i="12" s="1"/>
  <c r="P53" i="12" s="1"/>
  <c r="F64" i="4"/>
  <c r="F78" i="4" s="1"/>
  <c r="H41" i="4"/>
  <c r="G62" i="4"/>
  <c r="G63" i="4" s="1"/>
  <c r="G34" i="4" s="1"/>
  <c r="G35" i="4" s="1"/>
  <c r="G43" i="4" s="1"/>
  <c r="I38" i="4"/>
  <c r="J57" i="4"/>
  <c r="I39" i="4"/>
  <c r="I40" i="4"/>
  <c r="I76" i="4"/>
  <c r="H30" i="4"/>
  <c r="H62" i="4"/>
  <c r="H63" i="4" s="1"/>
  <c r="H34" i="4" s="1"/>
  <c r="H35" i="4" s="1"/>
  <c r="F53" i="4"/>
  <c r="G44" i="4" l="1"/>
  <c r="T62" i="12"/>
  <c r="T63" i="12" s="1"/>
  <c r="T34" i="12" s="1"/>
  <c r="T35" i="12" s="1"/>
  <c r="T43" i="12" s="1"/>
  <c r="T44" i="12" s="1"/>
  <c r="T46" i="12" s="1"/>
  <c r="T53" i="12" s="1"/>
  <c r="S62" i="12"/>
  <c r="S63" i="12" s="1"/>
  <c r="S34" i="12" s="1"/>
  <c r="S35" i="12" s="1"/>
  <c r="S43" i="12" s="1"/>
  <c r="I60" i="4"/>
  <c r="I61" i="4" s="1"/>
  <c r="I33" i="4" s="1"/>
  <c r="I41" i="4"/>
  <c r="H43" i="4"/>
  <c r="H44" i="4" s="1"/>
  <c r="H46" i="4" s="1"/>
  <c r="G64" i="4"/>
  <c r="G78" i="4" s="1"/>
  <c r="J39" i="4"/>
  <c r="J38" i="4"/>
  <c r="K57" i="4"/>
  <c r="J40" i="4"/>
  <c r="J76" i="4"/>
  <c r="I30" i="4"/>
  <c r="H64" i="4"/>
  <c r="H78" i="4" s="1"/>
  <c r="H48" i="4" l="1"/>
  <c r="G46" i="4"/>
  <c r="G53" i="4" s="1"/>
  <c r="G48" i="4"/>
  <c r="T64" i="12"/>
  <c r="T78" i="12" s="1"/>
  <c r="S64" i="12"/>
  <c r="S78" i="12" s="1"/>
  <c r="S44" i="12"/>
  <c r="S46" i="12" s="1"/>
  <c r="I62" i="4"/>
  <c r="I63" i="4" s="1"/>
  <c r="I34" i="4" s="1"/>
  <c r="I35" i="4" s="1"/>
  <c r="I43" i="4" s="1"/>
  <c r="I44" i="4" s="1"/>
  <c r="I46" i="4" s="1"/>
  <c r="I53" i="4" s="1"/>
  <c r="J41" i="4"/>
  <c r="K39" i="4"/>
  <c r="K40" i="4"/>
  <c r="L57" i="4"/>
  <c r="K38" i="4"/>
  <c r="J60" i="4"/>
  <c r="K76" i="4"/>
  <c r="J30" i="4"/>
  <c r="H53" i="4"/>
  <c r="I48" i="4" l="1"/>
  <c r="S53" i="12"/>
  <c r="D47" i="12"/>
  <c r="D48" i="12" s="1"/>
  <c r="I64" i="4"/>
  <c r="I78" i="4" s="1"/>
  <c r="K60" i="4"/>
  <c r="K61" i="4" s="1"/>
  <c r="K33" i="4" s="1"/>
  <c r="M57" i="4"/>
  <c r="L40" i="4"/>
  <c r="L38" i="4"/>
  <c r="L39" i="4"/>
  <c r="J61" i="4"/>
  <c r="J33" i="4" s="1"/>
  <c r="K41" i="4"/>
  <c r="K30" i="4"/>
  <c r="L76" i="4"/>
  <c r="K62" i="4" l="1"/>
  <c r="K63" i="4" s="1"/>
  <c r="K34" i="4" s="1"/>
  <c r="K35" i="4" s="1"/>
  <c r="K43" i="4" s="1"/>
  <c r="K44" i="4" s="1"/>
  <c r="K46" i="4" s="1"/>
  <c r="K53" i="4" s="1"/>
  <c r="J62" i="4"/>
  <c r="J63" i="4" s="1"/>
  <c r="J34" i="4" s="1"/>
  <c r="J35" i="4" s="1"/>
  <c r="J43" i="4" s="1"/>
  <c r="L60" i="4"/>
  <c r="L61" i="4" s="1"/>
  <c r="L33" i="4" s="1"/>
  <c r="N57" i="4"/>
  <c r="M39" i="4"/>
  <c r="M40" i="4"/>
  <c r="M38" i="4"/>
  <c r="L41" i="4"/>
  <c r="M76" i="4"/>
  <c r="L30" i="4"/>
  <c r="K48" i="4" l="1"/>
  <c r="J44" i="4"/>
  <c r="K64" i="4"/>
  <c r="K78" i="4" s="1"/>
  <c r="L62" i="4"/>
  <c r="L63" i="4" s="1"/>
  <c r="L34" i="4" s="1"/>
  <c r="L35" i="4" s="1"/>
  <c r="L43" i="4" s="1"/>
  <c r="L44" i="4" s="1"/>
  <c r="L46" i="4" s="1"/>
  <c r="L53" i="4" s="1"/>
  <c r="J64" i="4"/>
  <c r="J78" i="4" s="1"/>
  <c r="M41" i="4"/>
  <c r="M60" i="4"/>
  <c r="O57" i="4"/>
  <c r="N38" i="4"/>
  <c r="N39" i="4"/>
  <c r="N40" i="4"/>
  <c r="N76" i="4"/>
  <c r="M30" i="4"/>
  <c r="J46" i="4" l="1"/>
  <c r="J53" i="4" s="1"/>
  <c r="J48" i="4"/>
  <c r="L48" i="4"/>
  <c r="L64" i="4"/>
  <c r="L78" i="4" s="1"/>
  <c r="N41" i="4"/>
  <c r="O39" i="4"/>
  <c r="O38" i="4"/>
  <c r="P57" i="4"/>
  <c r="O40" i="4"/>
  <c r="N60" i="4"/>
  <c r="M61" i="4"/>
  <c r="M62" i="4" s="1"/>
  <c r="M63" i="4" s="1"/>
  <c r="M34" i="4" s="1"/>
  <c r="O76" i="4"/>
  <c r="N30" i="4"/>
  <c r="N61" i="4" l="1"/>
  <c r="N33" i="4" s="1"/>
  <c r="O60" i="4"/>
  <c r="P39" i="4"/>
  <c r="Q57" i="4"/>
  <c r="P40" i="4"/>
  <c r="P38" i="4"/>
  <c r="M33" i="4"/>
  <c r="M35" i="4" s="1"/>
  <c r="M43" i="4" s="1"/>
  <c r="M44" i="4" s="1"/>
  <c r="M64" i="4"/>
  <c r="M78" i="4" s="1"/>
  <c r="O41" i="4"/>
  <c r="P76" i="4"/>
  <c r="O30" i="4"/>
  <c r="M46" i="4" l="1"/>
  <c r="M53" i="4" s="1"/>
  <c r="M48" i="4"/>
  <c r="D49" i="12"/>
  <c r="N62" i="4"/>
  <c r="N63" i="4" s="1"/>
  <c r="N34" i="4" s="1"/>
  <c r="N35" i="4" s="1"/>
  <c r="N43" i="4" s="1"/>
  <c r="N44" i="4" s="1"/>
  <c r="P41" i="4"/>
  <c r="P60" i="4"/>
  <c r="P61" i="4" s="1"/>
  <c r="P33" i="4" s="1"/>
  <c r="Q38" i="4"/>
  <c r="R57" i="4"/>
  <c r="Q39" i="4"/>
  <c r="Q40" i="4"/>
  <c r="O61" i="4"/>
  <c r="O62" i="4" s="1"/>
  <c r="O63" i="4" s="1"/>
  <c r="O34" i="4" s="1"/>
  <c r="Q76" i="4"/>
  <c r="P30" i="4"/>
  <c r="N46" i="4" l="1"/>
  <c r="N53" i="4" s="1"/>
  <c r="N48" i="4"/>
  <c r="K8" i="12"/>
  <c r="K36" i="3" s="1"/>
  <c r="N64" i="4"/>
  <c r="N78" i="4" s="1"/>
  <c r="P62" i="4"/>
  <c r="P63" i="4" s="1"/>
  <c r="P34" i="4" s="1"/>
  <c r="P35" i="4" s="1"/>
  <c r="P43" i="4" s="1"/>
  <c r="P44" i="4" s="1"/>
  <c r="P46" i="4" s="1"/>
  <c r="P53" i="4" s="1"/>
  <c r="R39" i="4"/>
  <c r="S57" i="4"/>
  <c r="R40" i="4"/>
  <c r="R38" i="4"/>
  <c r="O33" i="4"/>
  <c r="O35" i="4" s="1"/>
  <c r="O43" i="4" s="1"/>
  <c r="O44" i="4" s="1"/>
  <c r="O64" i="4"/>
  <c r="O78" i="4" s="1"/>
  <c r="Q41" i="4"/>
  <c r="Q60" i="4"/>
  <c r="R76" i="4"/>
  <c r="Q30" i="4"/>
  <c r="O46" i="4" l="1"/>
  <c r="O53" i="4" s="1"/>
  <c r="O48" i="4"/>
  <c r="P48" i="4"/>
  <c r="R41" i="4"/>
  <c r="R60" i="4"/>
  <c r="Q61" i="4"/>
  <c r="Q33" i="4" s="1"/>
  <c r="S39" i="4"/>
  <c r="T57" i="4"/>
  <c r="S40" i="4"/>
  <c r="S38" i="4"/>
  <c r="P64" i="4"/>
  <c r="P78" i="4" s="1"/>
  <c r="S76" i="4"/>
  <c r="R30" i="4"/>
  <c r="S60" i="4" l="1"/>
  <c r="S61" i="4" s="1"/>
  <c r="S33" i="4" s="1"/>
  <c r="S41" i="4"/>
  <c r="R61" i="4"/>
  <c r="R33" i="4" s="1"/>
  <c r="T38" i="4"/>
  <c r="T39" i="4"/>
  <c r="U57" i="4"/>
  <c r="T40" i="4"/>
  <c r="Q62" i="4"/>
  <c r="Q63" i="4" s="1"/>
  <c r="Q34" i="4" s="1"/>
  <c r="Q35" i="4" s="1"/>
  <c r="Q43" i="4" s="1"/>
  <c r="Q44" i="4" s="1"/>
  <c r="T76" i="4"/>
  <c r="S30" i="4"/>
  <c r="Q46" i="4" l="1"/>
  <c r="Q53" i="4" s="1"/>
  <c r="Q48" i="4"/>
  <c r="S62" i="4"/>
  <c r="S63" i="4" s="1"/>
  <c r="S34" i="4" s="1"/>
  <c r="S35" i="4" s="1"/>
  <c r="S43" i="4" s="1"/>
  <c r="S44" i="4" s="1"/>
  <c r="S46" i="4" s="1"/>
  <c r="S53" i="4" s="1"/>
  <c r="Q64" i="4"/>
  <c r="Q78" i="4" s="1"/>
  <c r="T41" i="4"/>
  <c r="R62" i="4"/>
  <c r="R63" i="4" s="1"/>
  <c r="R34" i="4" s="1"/>
  <c r="R35" i="4" s="1"/>
  <c r="R43" i="4" s="1"/>
  <c r="R44" i="4" s="1"/>
  <c r="T60" i="4"/>
  <c r="T61" i="4" s="1"/>
  <c r="T33" i="4" s="1"/>
  <c r="U40" i="4"/>
  <c r="V57" i="4"/>
  <c r="U39" i="4"/>
  <c r="U38" i="4"/>
  <c r="U76" i="4"/>
  <c r="T30" i="4"/>
  <c r="R46" i="4" l="1"/>
  <c r="R53" i="4" s="1"/>
  <c r="R48" i="4"/>
  <c r="S48" i="4"/>
  <c r="S64" i="4"/>
  <c r="S78" i="4" s="1"/>
  <c r="R64" i="4"/>
  <c r="R78" i="4" s="1"/>
  <c r="U60" i="4"/>
  <c r="U61" i="4" s="1"/>
  <c r="U33" i="4" s="1"/>
  <c r="T62" i="4"/>
  <c r="T63" i="4" s="1"/>
  <c r="T34" i="4" s="1"/>
  <c r="T35" i="4" s="1"/>
  <c r="T43" i="4" s="1"/>
  <c r="T44" i="4" s="1"/>
  <c r="T46" i="4" s="1"/>
  <c r="T53" i="4" s="1"/>
  <c r="U41" i="4"/>
  <c r="V39" i="4"/>
  <c r="W57" i="4"/>
  <c r="V40" i="4"/>
  <c r="V38" i="4"/>
  <c r="V76" i="4"/>
  <c r="U30" i="4"/>
  <c r="T48" i="4" l="1"/>
  <c r="V60" i="4"/>
  <c r="V61" i="4" s="1"/>
  <c r="V33" i="4" s="1"/>
  <c r="U62" i="4"/>
  <c r="U63" i="4" s="1"/>
  <c r="U34" i="4" s="1"/>
  <c r="U35" i="4" s="1"/>
  <c r="U43" i="4" s="1"/>
  <c r="V41" i="4"/>
  <c r="W38" i="4"/>
  <c r="W40" i="4"/>
  <c r="W39" i="4"/>
  <c r="X57" i="4"/>
  <c r="T64" i="4"/>
  <c r="T78" i="4" s="1"/>
  <c r="W76" i="4"/>
  <c r="V30" i="4"/>
  <c r="V62" i="4" l="1"/>
  <c r="V63" i="4" s="1"/>
  <c r="V34" i="4" s="1"/>
  <c r="V35" i="4" s="1"/>
  <c r="V43" i="4" s="1"/>
  <c r="V44" i="4" s="1"/>
  <c r="V46" i="4" s="1"/>
  <c r="V53" i="4" s="1"/>
  <c r="U64" i="4"/>
  <c r="U78" i="4" s="1"/>
  <c r="W60" i="4"/>
  <c r="W61" i="4" s="1"/>
  <c r="W33" i="4" s="1"/>
  <c r="W41" i="4"/>
  <c r="X38" i="4"/>
  <c r="Y57" i="4"/>
  <c r="X40" i="4"/>
  <c r="X39" i="4"/>
  <c r="W30" i="4"/>
  <c r="X76" i="4"/>
  <c r="U44" i="4"/>
  <c r="U46" i="4" l="1"/>
  <c r="U53" i="4" s="1"/>
  <c r="U48" i="4"/>
  <c r="V48" i="4"/>
  <c r="V64" i="4"/>
  <c r="V78" i="4" s="1"/>
  <c r="X41" i="4"/>
  <c r="W62" i="4"/>
  <c r="W63" i="4" s="1"/>
  <c r="W34" i="4" s="1"/>
  <c r="W35" i="4" s="1"/>
  <c r="W43" i="4" s="1"/>
  <c r="W44" i="4" s="1"/>
  <c r="W46" i="4" s="1"/>
  <c r="W53" i="4" s="1"/>
  <c r="X60" i="4"/>
  <c r="X61" i="4" s="1"/>
  <c r="X33" i="4" s="1"/>
  <c r="Y38" i="4"/>
  <c r="Y39" i="4"/>
  <c r="Y40" i="4"/>
  <c r="Y76" i="4"/>
  <c r="X30" i="4"/>
  <c r="W48" i="4" l="1"/>
  <c r="X62" i="4"/>
  <c r="X63" i="4" s="1"/>
  <c r="X34" i="4" s="1"/>
  <c r="X35" i="4" s="1"/>
  <c r="X43" i="4" s="1"/>
  <c r="X44" i="4" s="1"/>
  <c r="X46" i="4" s="1"/>
  <c r="X53" i="4" s="1"/>
  <c r="W64" i="4"/>
  <c r="W78" i="4" s="1"/>
  <c r="Y41" i="4"/>
  <c r="Y60" i="4"/>
  <c r="Y61" i="4" s="1"/>
  <c r="Y33" i="4" s="1"/>
  <c r="Y30" i="4"/>
  <c r="X48" i="4" l="1"/>
  <c r="X64" i="4"/>
  <c r="X78" i="4" s="1"/>
  <c r="Y62" i="4"/>
  <c r="Y63" i="4" s="1"/>
  <c r="Y34" i="4" s="1"/>
  <c r="Y35" i="4" s="1"/>
  <c r="Y43" i="4" s="1"/>
  <c r="E47" i="4" s="1"/>
  <c r="Y44" i="4" l="1"/>
  <c r="Y64" i="4"/>
  <c r="Y78" i="4" s="1"/>
  <c r="Y46" i="4" l="1"/>
  <c r="D47" i="4" s="1"/>
  <c r="D48" i="4" s="1"/>
  <c r="D49" i="4" s="1"/>
  <c r="Y48" i="4"/>
  <c r="E49" i="4" s="1"/>
  <c r="Y53" i="4" l="1"/>
  <c r="K8" i="4"/>
  <c r="E15" i="3" s="1"/>
</calcChain>
</file>

<file path=xl/comments1.xml><?xml version="1.0" encoding="utf-8"?>
<comments xmlns="http://schemas.openxmlformats.org/spreadsheetml/2006/main">
  <authors>
    <author>Speer, Andrew J.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The rates for diaphragm meters is a volumetric rate and the cacluated "old" rates below reflect the capacity for the given meters that match our offerenings at this time (i.e. 250, 630, and 1000).  </t>
        </r>
        <r>
          <rPr>
            <b/>
            <sz val="9"/>
            <color indexed="81"/>
            <rFont val="Tahoma"/>
            <family val="2"/>
          </rPr>
          <t>See NWN Rate Schedule 10, Tariff Sheet 110.1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Charge does not account for the site specific engineering consultation drawings fee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AAMR cost of service plus cell charge ($18).
</t>
        </r>
      </text>
    </comment>
  </commentList>
</comments>
</file>

<file path=xl/comments2.xml><?xml version="1.0" encoding="utf-8"?>
<comments xmlns="http://schemas.openxmlformats.org/spreadsheetml/2006/main">
  <authors>
    <author>Speer, Andrew J.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Speer, Andrew J.:</t>
        </r>
        <r>
          <rPr>
            <sz val="8"/>
            <color indexed="81"/>
            <rFont val="Tahoma"/>
            <family val="2"/>
          </rPr>
          <t xml:space="preserve">
Assumes 43 year rental period for COS calc. 43 years is the depreciation life that is used by accounting.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Updated on 5/10/2018 to match 2008 approved WA rate case outcome for ROR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Effective starting 1/1/2018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Matches the NWN's approved revenue sensitive rates for "O&amp;M Uncollectible", "WA Utility Tax", and "WUTC Fee". 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21 year depreciation rate, per accounting depreciation for meter sets.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Updated and "zeroed" out on 5/10/2018 to remain consistent with embedded cost of service methodology.</t>
        </r>
      </text>
    </comment>
  </commentList>
</comments>
</file>

<file path=xl/comments3.xml><?xml version="1.0" encoding="utf-8"?>
<comments xmlns="http://schemas.openxmlformats.org/spreadsheetml/2006/main">
  <authors>
    <author>Speer, Andrew J.</author>
  </authors>
  <commentList>
    <comment ref="K43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Updated Per Staff's find.</t>
        </r>
      </text>
    </comment>
  </commentList>
</comments>
</file>

<file path=xl/comments4.xml><?xml version="1.0" encoding="utf-8"?>
<comments xmlns="http://schemas.openxmlformats.org/spreadsheetml/2006/main">
  <authors>
    <author>Speer, Andrew J.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Speer, Andrew J.:</t>
        </r>
        <r>
          <rPr>
            <sz val="8"/>
            <color indexed="81"/>
            <rFont val="Tahoma"/>
            <family val="2"/>
          </rPr>
          <t xml:space="preserve">
Assumes 43 year rental period for COS calc. 43 years is the depreciation life that is used by accounting.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Effective starting 1/1/2018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15 year depreciation rate, per accounting depreciation for telemetering other.</t>
        </r>
      </text>
    </comment>
  </commentList>
</comments>
</file>

<file path=xl/comments5.xml><?xml version="1.0" encoding="utf-8"?>
<comments xmlns="http://schemas.openxmlformats.org/spreadsheetml/2006/main">
  <authors>
    <author>Speer, Andrew J.</author>
    <author>Taylor, Staci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Updated Per Staff's Request.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See "modem" documentation for further detail. </t>
        </r>
      </text>
    </comment>
    <comment ref="A4" authorId="1" shapeId="0">
      <text>
        <r>
          <rPr>
            <b/>
            <sz val="9"/>
            <color indexed="81"/>
            <rFont val="Tahoma"/>
            <family val="2"/>
          </rPr>
          <t>Taylor, Staci:</t>
        </r>
        <r>
          <rPr>
            <sz val="9"/>
            <color indexed="81"/>
            <rFont val="Tahoma"/>
            <family val="2"/>
          </rPr>
          <t xml:space="preserve">
2 cable lengths.  Average Cost for for cable based on a 70/30 estimated split respectively.  50m length -$355 (70%)  100m length - $875 (30%)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Updated Per Staff's Request.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Taylor, Staci:</t>
        </r>
        <r>
          <rPr>
            <sz val="9"/>
            <color indexed="81"/>
            <rFont val="Tahoma"/>
            <family val="2"/>
          </rPr>
          <t xml:space="preserve">
Avg Sys Ops time 2.25hours</t>
        </r>
      </text>
    </comment>
  </commentList>
</comments>
</file>

<file path=xl/sharedStrings.xml><?xml version="1.0" encoding="utf-8"?>
<sst xmlns="http://schemas.openxmlformats.org/spreadsheetml/2006/main" count="429" uniqueCount="214">
  <si>
    <t xml:space="preserve"> </t>
  </si>
  <si>
    <t>I. Telemetry Equipment Charge:</t>
  </si>
  <si>
    <t>Monthly Charge per affected service meter:</t>
  </si>
  <si>
    <t>II. Monthly Meter Rental Rates and Special Metering Equipment (Optional):</t>
  </si>
  <si>
    <t>Diaphragm Meters</t>
  </si>
  <si>
    <t>New Service Offers</t>
  </si>
  <si>
    <t>Meter Size</t>
  </si>
  <si>
    <t>Monthly Charge</t>
  </si>
  <si>
    <t>(Cubic Feet/hour)</t>
  </si>
  <si>
    <t>Rotary Meters</t>
  </si>
  <si>
    <t>8C175</t>
  </si>
  <si>
    <t>1.5M175/15C175</t>
  </si>
  <si>
    <t>3M175</t>
  </si>
  <si>
    <t>5M175</t>
  </si>
  <si>
    <t>7M175</t>
  </si>
  <si>
    <t>11M175</t>
  </si>
  <si>
    <t>16M175</t>
  </si>
  <si>
    <t>23M175</t>
  </si>
  <si>
    <t>38M175</t>
  </si>
  <si>
    <t>Metering Services and Charges</t>
  </si>
  <si>
    <t>Rental Read</t>
  </si>
  <si>
    <t>Remote Index</t>
  </si>
  <si>
    <t>Pulse Output</t>
  </si>
  <si>
    <t>Company provided Telephone service to AMR</t>
  </si>
  <si>
    <t>One Time Charge</t>
  </si>
  <si>
    <t>Installation Charge</t>
  </si>
  <si>
    <t xml:space="preserve">Current Effective Rates </t>
  </si>
  <si>
    <t>Meter Capacity</t>
  </si>
  <si>
    <t>NW Natural</t>
  </si>
  <si>
    <t>Determination of Cost of Service</t>
  </si>
  <si>
    <t>Input Capital Costs and Rates</t>
  </si>
  <si>
    <t>Meter</t>
  </si>
  <si>
    <t xml:space="preserve">Weighted </t>
  </si>
  <si>
    <t>Cost of Capital</t>
  </si>
  <si>
    <t>% of Capital</t>
  </si>
  <si>
    <t>Cost</t>
  </si>
  <si>
    <t>Common Equity</t>
  </si>
  <si>
    <t>State Tax Rate</t>
  </si>
  <si>
    <t>Federal Tax Rate</t>
  </si>
  <si>
    <t xml:space="preserve">Revenue Sensitive Rate (held to franchise rate/reg com fee) </t>
  </si>
  <si>
    <t>Depreciation Rate</t>
  </si>
  <si>
    <t>Property Tax Rate</t>
  </si>
  <si>
    <t>Incremental O&amp;M</t>
  </si>
  <si>
    <t>Inflation Rate</t>
  </si>
  <si>
    <t>Bonus Tax Depreciation toggled  (1 = yes, 2 = no)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</si>
  <si>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</si>
  <si>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</si>
  <si>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</si>
  <si>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</si>
  <si>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</si>
  <si>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</si>
  <si>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</si>
  <si>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</si>
  <si>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</si>
  <si>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</si>
  <si>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</si>
  <si>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</si>
  <si>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</si>
  <si>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</si>
  <si>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</si>
  <si>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</si>
  <si>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</si>
  <si>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</si>
  <si>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</si>
  <si>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</si>
  <si>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</si>
  <si>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</si>
  <si>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Depreciation</t>
  </si>
  <si>
    <t>O&amp;M</t>
  </si>
  <si>
    <t>Property Taxes</t>
  </si>
  <si>
    <t>Taxes on Equity Return</t>
  </si>
  <si>
    <t>State</t>
  </si>
  <si>
    <t>Federal</t>
  </si>
  <si>
    <t xml:space="preserve">      Total Taxes</t>
  </si>
  <si>
    <t>Return on Rate Base</t>
  </si>
  <si>
    <t xml:space="preserve">      Total Return</t>
  </si>
  <si>
    <t>Subtotal Cost of Service</t>
  </si>
  <si>
    <t>Revenue Sensitive Items</t>
  </si>
  <si>
    <t>Total Cost of Service</t>
  </si>
  <si>
    <t>Total COS NPV</t>
  </si>
  <si>
    <t>Annual Payment (Rental)</t>
  </si>
  <si>
    <t>Monthly Payment (Rental Rate)</t>
  </si>
  <si>
    <t>Annual Cost of Service as % of Investment</t>
  </si>
  <si>
    <t>Rate Base - net of deprec. &amp; def. tax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</si>
  <si>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</si>
  <si>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</si>
  <si>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</si>
  <si>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</si>
  <si>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</si>
  <si>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</si>
  <si>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</si>
  <si>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</si>
  <si>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</si>
  <si>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</si>
  <si>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</si>
  <si>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MACRS Depreciation - 15</t>
  </si>
  <si>
    <t>Property Tax Base</t>
  </si>
  <si>
    <t>Tax Calculation Check</t>
  </si>
  <si>
    <t>Meter Set Costs</t>
  </si>
  <si>
    <t>15C175</t>
  </si>
  <si>
    <t>Schedule 15 Rates</t>
  </si>
  <si>
    <t>Technical Assistance (Rotary meters only)</t>
  </si>
  <si>
    <t>Administrative Set-Up/Consultation Fee (all meters)</t>
  </si>
  <si>
    <t>Updated Rate (43 yr)</t>
  </si>
  <si>
    <t>Current Rates</t>
  </si>
  <si>
    <t>% Rate Increase (43 yr)</t>
  </si>
  <si>
    <t>Cost Estimating Guide, Fixed Construction Costs</t>
  </si>
  <si>
    <t>Effective Date: 02/10/2017</t>
  </si>
  <si>
    <t>Table 2: Costs for Residential, Commercial, and 2 psig Delivery Meter Sets</t>
  </si>
  <si>
    <t>Drawing Number</t>
  </si>
  <si>
    <t>Nominal Meter Size</t>
  </si>
  <si>
    <t>Main Pressure</t>
  </si>
  <si>
    <t>Delivery Pressure (psig)</t>
  </si>
  <si>
    <t>Capacity (SCFH)</t>
  </si>
  <si>
    <t>Capacity (Therms)</t>
  </si>
  <si>
    <t>Assembly Cost (WO/COH ($)*</t>
  </si>
  <si>
    <t>250 METER SETS</t>
  </si>
  <si>
    <t>B</t>
  </si>
  <si>
    <t>STANDARD</t>
  </si>
  <si>
    <t>250-RESIDENTIAL</t>
  </si>
  <si>
    <t>250-COMMERCIAL</t>
  </si>
  <si>
    <t>STANDARD &amp; 2</t>
  </si>
  <si>
    <t>250 ADD SET</t>
  </si>
  <si>
    <t>630 METER SETS</t>
  </si>
  <si>
    <t>630-RESIDENTIAL</t>
  </si>
  <si>
    <t>630-COMMERCIAL</t>
  </si>
  <si>
    <t>1000 METER SETS</t>
  </si>
  <si>
    <t>1000-RESIDENTIAL</t>
  </si>
  <si>
    <t>1000-COMMERCIAL</t>
  </si>
  <si>
    <t>ROTARY METER SETS</t>
  </si>
  <si>
    <t>15C175TQM</t>
  </si>
  <si>
    <t>3M175TQM</t>
  </si>
  <si>
    <t>5M175TQM</t>
  </si>
  <si>
    <t>7M175TQM</t>
  </si>
  <si>
    <t>11M175TQM</t>
  </si>
  <si>
    <t>SPECIALTY ASSEMBLIES</t>
  </si>
  <si>
    <t>Table 4: Costs for 5 psig (or Greater) Delivery Meter Sets</t>
  </si>
  <si>
    <t>Meter Set Assembly Costs</t>
  </si>
  <si>
    <t>Model</t>
  </si>
  <si>
    <t>Rate</t>
  </si>
  <si>
    <t>D-03-46-A-1-15</t>
  </si>
  <si>
    <t>D-03-46-A-2-17</t>
  </si>
  <si>
    <t>D-05-35-A-1-13</t>
  </si>
  <si>
    <t>D-05-38-A-8</t>
  </si>
  <si>
    <t>D-05-37-A-7</t>
  </si>
  <si>
    <t>D-05-39-A-7</t>
  </si>
  <si>
    <t>D-05-47-A-9</t>
  </si>
  <si>
    <t>D-05-46-A-13</t>
  </si>
  <si>
    <t>D-05-54-B-9</t>
  </si>
  <si>
    <t>D-05-53-B-9</t>
  </si>
  <si>
    <t>D-05-48-B-8</t>
  </si>
  <si>
    <t>D-05-50-B-6</t>
  </si>
  <si>
    <t>D-05-49-B-8</t>
  </si>
  <si>
    <t>D-05-51-B-6</t>
  </si>
  <si>
    <t>D-05-61-B-6</t>
  </si>
  <si>
    <t>D-05-62-B-7</t>
  </si>
  <si>
    <t>D-05-40-A-8</t>
  </si>
  <si>
    <t>D-05-41-A-9</t>
  </si>
  <si>
    <t>D-07-68-B-22</t>
  </si>
  <si>
    <t>23M232</t>
  </si>
  <si>
    <t>D-07-69-B-20</t>
  </si>
  <si>
    <t>D-07-72-B-19</t>
  </si>
  <si>
    <t>D-07-73-B-18</t>
  </si>
  <si>
    <t>D-07-77-B-14</t>
  </si>
  <si>
    <t>D-07-80-B-13</t>
  </si>
  <si>
    <t>D-07-81-B-13</t>
  </si>
  <si>
    <t>D-07-82-B-13</t>
  </si>
  <si>
    <t>D-07-83-B-19</t>
  </si>
  <si>
    <t>D-07-84-B-19</t>
  </si>
  <si>
    <t>D-07-86-B-10</t>
  </si>
  <si>
    <t>D-07-87-B-2</t>
  </si>
  <si>
    <t>23M175 (FILTER)</t>
  </si>
  <si>
    <t>FLOATING @ 40</t>
  </si>
  <si>
    <t>Install Costs (Labor and Disposables)</t>
  </si>
  <si>
    <t>AAMR Capital</t>
  </si>
  <si>
    <r>
      <t>No New Service after March</t>
    </r>
    <r>
      <rPr>
        <sz val="11"/>
        <color rgb="FFFF0000"/>
        <rFont val="Calibri"/>
        <family val="2"/>
      </rPr>
      <t xml:space="preserve"> 29, 2018</t>
    </r>
    <r>
      <rPr>
        <sz val="11"/>
        <color rgb="FFFF0000"/>
        <rFont val="Calibri"/>
        <family val="2"/>
        <scheme val="minor"/>
      </rPr>
      <t xml:space="preserve">. These charges are for service agreements initiated prior to </t>
    </r>
    <r>
      <rPr>
        <sz val="11"/>
        <color rgb="FFFF0000"/>
        <rFont val="Calibri"/>
        <family val="2"/>
      </rPr>
      <t>March 29, 2018</t>
    </r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</si>
  <si>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>Site specific engeering design costs for AAMR will be added to the installation charge (if needed)</t>
    </r>
  </si>
  <si>
    <r>
      <rPr>
        <sz val="11"/>
        <color rgb="FFFF0000"/>
        <rFont val="Calibri"/>
        <family val="2"/>
        <scheme val="minor"/>
      </rPr>
      <t xml:space="preserve">Advanced </t>
    </r>
    <r>
      <rPr>
        <sz val="11"/>
        <color theme="1"/>
        <rFont val="Calibri"/>
        <family val="2"/>
        <scheme val="minor"/>
      </rPr>
      <t>Automated Meter Reading (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AMR) Device</t>
    </r>
    <r>
      <rPr>
        <vertAlign val="superscript"/>
        <sz val="11"/>
        <color rgb="FFFF0000"/>
        <rFont val="Calibri"/>
        <family val="2"/>
        <scheme val="minor"/>
      </rPr>
      <t>1</t>
    </r>
  </si>
  <si>
    <t>Long-Term Debt</t>
  </si>
  <si>
    <t>Short-Term Debt</t>
  </si>
  <si>
    <r>
      <t xml:space="preserve">(Effective </t>
    </r>
    <r>
      <rPr>
        <strike/>
        <sz val="11"/>
        <color rgb="FFFF0000"/>
        <rFont val="Calibri"/>
        <family val="2"/>
        <scheme val="minor"/>
      </rPr>
      <t>November 1, 2012</t>
    </r>
    <r>
      <rPr>
        <sz val="11"/>
        <color theme="1"/>
        <rFont val="Calibri"/>
        <family val="2"/>
        <scheme val="minor"/>
      </rPr>
      <t>)</t>
    </r>
  </si>
  <si>
    <t>Old Rate</t>
  </si>
  <si>
    <t>New Rate</t>
  </si>
  <si>
    <t>n/a</t>
  </si>
  <si>
    <t>New adds</t>
  </si>
  <si>
    <t>MACRS Depreciation - 20</t>
  </si>
  <si>
    <t>Install Labor - Internal labor cost that directly assign to projects (direct assign to capital projects)  - Sys Ops  ($115/hr for 2.25 hrs which includes travel time)</t>
  </si>
  <si>
    <t>Internal workgroup that direct bills to capital projects</t>
  </si>
  <si>
    <t>Outside contractor - see attached documentation</t>
  </si>
  <si>
    <t>Power Supply/Comm Box</t>
  </si>
  <si>
    <t>Turck Cable and mini-lock for power supply box</t>
  </si>
  <si>
    <t>Outside contractor (.5 hrs per job site) - see attached documentation</t>
  </si>
  <si>
    <t>Total Cost</t>
  </si>
  <si>
    <t># of Units</t>
  </si>
  <si>
    <t>Modem Cost/Units</t>
  </si>
  <si>
    <t>Cellular Modem</t>
  </si>
  <si>
    <t>New VA/VC Device with Installed Retrofit Kit Installed</t>
  </si>
  <si>
    <t>Cost Description</t>
  </si>
  <si>
    <t>Labor Cost for Modem Configuration</t>
  </si>
  <si>
    <t>See Quote Documentation</t>
  </si>
  <si>
    <t>See Quote &amp; Invoice Documentation</t>
  </si>
  <si>
    <t>Capital Cost (Device, modem and Cables)</t>
  </si>
  <si>
    <t>See Screen Shot Documentation</t>
  </si>
  <si>
    <t>See Modem Quotes and Invoices Documentation (and table to the right)</t>
  </si>
  <si>
    <t>Communication - Celluar Data Plan (monthly fee)</t>
  </si>
  <si>
    <t>Install Labor - Electrical Contractor</t>
  </si>
  <si>
    <t>AAMR Device Cost/Units</t>
  </si>
  <si>
    <t>VA</t>
  </si>
  <si>
    <t>VC</t>
  </si>
  <si>
    <t>Turck Cable Counts</t>
  </si>
  <si>
    <t>15M (@49 ft)</t>
  </si>
  <si>
    <t>33M (@108 ft)</t>
  </si>
  <si>
    <t>Total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</si>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</sst>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  <numFmt numFmtId="166" formatCode="#,##0.0000"/>
    <numFmt numFmtId="167" formatCode="#,##0.00000"/>
    <numFmt numFmtId="168" formatCode="&quot;$&quot;#,##0.00"/>
    <numFmt numFmtId="169" formatCode="0.0%"/>
    <numFmt numFmtId="170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>
      <alignment vertical="top"/>
    </xf>
    <xf numFmtId="3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10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0" fillId="5" borderId="0" applyNumberFormat="0" applyBorder="0" applyAlignment="0" applyProtection="0"/>
  </cellStyleXfs>
  <cellXfs count="178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44" fontId="1" fillId="0" borderId="0" xfId="1" applyFont="1"/>
    <xf numFmtId="0" fontId="0" fillId="0" borderId="2" xfId="0" applyBorder="1"/>
    <xf numFmtId="0" fontId="2" fillId="0" borderId="0" xfId="0" applyFont="1" applyAlignment="1">
      <alignment wrapText="1"/>
    </xf>
    <xf numFmtId="44" fontId="2" fillId="0" borderId="0" xfId="1" applyFont="1"/>
    <xf numFmtId="0" fontId="5" fillId="0" borderId="0" xfId="3" applyFont="1" applyFill="1" applyAlignment="1" applyProtection="1">
      <alignment horizontal="left"/>
    </xf>
    <xf numFmtId="0" fontId="5" fillId="0" borderId="0" xfId="4" applyFont="1">
      <alignment vertical="top"/>
    </xf>
    <xf numFmtId="0" fontId="0" fillId="0" borderId="0" xfId="4" applyFont="1">
      <alignment vertical="top"/>
    </xf>
    <xf numFmtId="0" fontId="1" fillId="0" borderId="0" xfId="4">
      <alignment vertical="top"/>
    </xf>
    <xf numFmtId="3" fontId="1" fillId="0" borderId="0" xfId="5" applyFont="1">
      <alignment vertical="top"/>
    </xf>
    <xf numFmtId="0" fontId="5" fillId="0" borderId="3" xfId="4" quotePrefix="1" applyFont="1" applyBorder="1" applyAlignment="1">
      <alignment horizontal="left" vertical="top"/>
    </xf>
    <xf numFmtId="0" fontId="5" fillId="0" borderId="4" xfId="4" applyFont="1" applyBorder="1">
      <alignment vertical="top"/>
    </xf>
    <xf numFmtId="0" fontId="0" fillId="0" borderId="4" xfId="4" applyFont="1" applyBorder="1">
      <alignment vertical="top"/>
    </xf>
    <xf numFmtId="3" fontId="1" fillId="0" borderId="5" xfId="5" applyFont="1" applyBorder="1">
      <alignment vertical="top"/>
    </xf>
    <xf numFmtId="3" fontId="1" fillId="0" borderId="0" xfId="5" applyFont="1" applyBorder="1">
      <alignment vertical="top"/>
    </xf>
    <xf numFmtId="0" fontId="2" fillId="3" borderId="1" xfId="4" applyFont="1" applyFill="1" applyBorder="1">
      <alignment vertical="top"/>
    </xf>
    <xf numFmtId="0" fontId="5" fillId="0" borderId="6" xfId="4" applyFont="1" applyBorder="1">
      <alignment vertical="top"/>
    </xf>
    <xf numFmtId="0" fontId="5" fillId="0" borderId="0" xfId="4" applyFont="1" applyBorder="1">
      <alignment vertical="top"/>
    </xf>
    <xf numFmtId="0" fontId="0" fillId="0" borderId="0" xfId="4" applyFont="1" applyBorder="1">
      <alignment vertical="top"/>
    </xf>
    <xf numFmtId="3" fontId="1" fillId="0" borderId="7" xfId="5" applyFont="1" applyBorder="1">
      <alignment vertical="top"/>
    </xf>
    <xf numFmtId="0" fontId="1" fillId="0" borderId="1" xfId="4" applyFill="1" applyBorder="1" applyAlignment="1"/>
    <xf numFmtId="0" fontId="5" fillId="0" borderId="0" xfId="4" applyFont="1" applyBorder="1" applyAlignment="1">
      <alignment horizontal="center" vertical="top"/>
    </xf>
    <xf numFmtId="0" fontId="5" fillId="0" borderId="7" xfId="4" applyFont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0" fontId="5" fillId="0" borderId="8" xfId="4" applyFont="1" applyBorder="1" applyAlignment="1">
      <alignment horizontal="center" vertical="top"/>
    </xf>
    <xf numFmtId="0" fontId="1" fillId="0" borderId="0" xfId="4" applyBorder="1">
      <alignment vertical="top"/>
    </xf>
    <xf numFmtId="0" fontId="1" fillId="0" borderId="7" xfId="4" applyBorder="1">
      <alignment vertical="top"/>
    </xf>
    <xf numFmtId="10" fontId="1" fillId="0" borderId="0" xfId="4" applyNumberFormat="1" applyBorder="1">
      <alignment vertical="top"/>
    </xf>
    <xf numFmtId="10" fontId="1" fillId="0" borderId="7" xfId="4" applyNumberFormat="1" applyBorder="1">
      <alignment vertical="top"/>
    </xf>
    <xf numFmtId="10" fontId="1" fillId="0" borderId="2" xfId="4" applyNumberFormat="1" applyBorder="1">
      <alignment vertical="top"/>
    </xf>
    <xf numFmtId="10" fontId="1" fillId="0" borderId="8" xfId="4" applyNumberFormat="1" applyBorder="1">
      <alignment vertical="top"/>
    </xf>
    <xf numFmtId="10" fontId="1" fillId="0" borderId="9" xfId="4" applyNumberFormat="1" applyBorder="1">
      <alignment vertical="top"/>
    </xf>
    <xf numFmtId="10" fontId="1" fillId="0" borderId="10" xfId="4" applyNumberFormat="1" applyBorder="1">
      <alignment vertical="top"/>
    </xf>
    <xf numFmtId="10" fontId="1" fillId="0" borderId="7" xfId="7" applyFont="1" applyBorder="1">
      <alignment vertical="top"/>
    </xf>
    <xf numFmtId="10" fontId="1" fillId="0" borderId="0" xfId="7" applyFont="1" applyBorder="1">
      <alignment vertical="top"/>
    </xf>
    <xf numFmtId="3" fontId="1" fillId="0" borderId="0" xfId="6" applyNumberFormat="1" applyFont="1">
      <alignment vertical="top"/>
    </xf>
    <xf numFmtId="164" fontId="1" fillId="0" borderId="7" xfId="6" applyNumberFormat="1" applyFont="1" applyBorder="1">
      <alignment vertical="top"/>
    </xf>
    <xf numFmtId="3" fontId="1" fillId="0" borderId="7" xfId="6" applyNumberFormat="1" applyFont="1" applyBorder="1">
      <alignment vertical="top"/>
    </xf>
    <xf numFmtId="0" fontId="5" fillId="0" borderId="11" xfId="4" applyFont="1" applyBorder="1">
      <alignment vertical="top"/>
    </xf>
    <xf numFmtId="0" fontId="5" fillId="0" borderId="12" xfId="4" applyFont="1" applyBorder="1">
      <alignment vertical="top"/>
    </xf>
    <xf numFmtId="164" fontId="1" fillId="0" borderId="0" xfId="6" applyNumberFormat="1" applyFont="1" applyAlignment="1">
      <alignment horizontal="center" vertical="top"/>
    </xf>
    <xf numFmtId="10" fontId="1" fillId="0" borderId="0" xfId="7" applyFont="1">
      <alignment vertical="top"/>
    </xf>
    <xf numFmtId="3" fontId="1" fillId="0" borderId="0" xfId="5" applyFont="1" applyProtection="1">
      <alignment vertical="top"/>
      <protection hidden="1"/>
    </xf>
    <xf numFmtId="3" fontId="5" fillId="0" borderId="2" xfId="5" applyFont="1" applyBorder="1" applyAlignment="1">
      <alignment horizontal="center" vertical="top"/>
    </xf>
    <xf numFmtId="3" fontId="5" fillId="0" borderId="2" xfId="5" quotePrefix="1" applyFont="1" applyBorder="1" applyAlignment="1">
      <alignment horizontal="center" vertical="top"/>
    </xf>
    <xf numFmtId="0" fontId="5" fillId="0" borderId="0" xfId="4" applyFont="1" applyAlignment="1">
      <alignment horizontal="center" vertical="top"/>
    </xf>
    <xf numFmtId="37" fontId="1" fillId="0" borderId="0" xfId="5" applyNumberFormat="1" applyFont="1">
      <alignment vertical="top"/>
    </xf>
    <xf numFmtId="37" fontId="1" fillId="0" borderId="2" xfId="5" applyNumberFormat="1" applyFont="1" applyBorder="1">
      <alignment vertical="top"/>
    </xf>
    <xf numFmtId="37" fontId="1" fillId="0" borderId="0" xfId="5" applyNumberFormat="1" applyFont="1" applyBorder="1">
      <alignment vertical="top"/>
    </xf>
    <xf numFmtId="5" fontId="1" fillId="0" borderId="9" xfId="8" applyFont="1" applyFill="1" applyBorder="1">
      <alignment vertical="top"/>
    </xf>
    <xf numFmtId="8" fontId="0" fillId="0" borderId="0" xfId="4" applyNumberFormat="1" applyFont="1">
      <alignment vertical="top"/>
    </xf>
    <xf numFmtId="5" fontId="1" fillId="0" borderId="0" xfId="8" applyFont="1" applyFill="1" applyBorder="1">
      <alignment vertical="top"/>
    </xf>
    <xf numFmtId="8" fontId="1" fillId="0" borderId="0" xfId="4" applyNumberFormat="1">
      <alignment vertical="top"/>
    </xf>
    <xf numFmtId="5" fontId="1" fillId="0" borderId="0" xfId="8" applyFont="1" applyFill="1">
      <alignment vertical="top"/>
    </xf>
    <xf numFmtId="0" fontId="5" fillId="0" borderId="0" xfId="4" quotePrefix="1" applyFont="1" applyAlignment="1">
      <alignment horizontal="left" vertical="top"/>
    </xf>
    <xf numFmtId="5" fontId="1" fillId="0" borderId="0" xfId="8" applyFont="1">
      <alignment vertical="top"/>
    </xf>
    <xf numFmtId="166" fontId="1" fillId="0" borderId="0" xfId="6" applyNumberFormat="1" applyFont="1">
      <alignment vertical="top"/>
    </xf>
    <xf numFmtId="37" fontId="1" fillId="0" borderId="0" xfId="4" applyNumberFormat="1">
      <alignment vertical="top"/>
    </xf>
    <xf numFmtId="0" fontId="4" fillId="0" borderId="0" xfId="4" applyFont="1">
      <alignment vertical="top"/>
    </xf>
    <xf numFmtId="10" fontId="4" fillId="0" borderId="0" xfId="7" applyNumberFormat="1" applyFont="1" applyFill="1" applyProtection="1">
      <alignment vertical="top"/>
    </xf>
    <xf numFmtId="37" fontId="1" fillId="0" borderId="0" xfId="6" applyNumberFormat="1" applyFont="1">
      <alignment vertical="top"/>
    </xf>
    <xf numFmtId="0" fontId="8" fillId="0" borderId="0" xfId="4" applyFont="1">
      <alignment vertical="top"/>
    </xf>
    <xf numFmtId="0" fontId="2" fillId="0" borderId="0" xfId="4" applyFont="1">
      <alignment vertical="top"/>
    </xf>
    <xf numFmtId="0" fontId="1" fillId="0" borderId="1" xfId="4" applyFill="1" applyBorder="1" applyAlignment="1">
      <alignment horizontal="left"/>
    </xf>
    <xf numFmtId="0" fontId="0" fillId="0" borderId="0" xfId="0" applyFont="1"/>
    <xf numFmtId="0" fontId="3" fillId="0" borderId="0" xfId="0" applyFont="1"/>
    <xf numFmtId="0" fontId="0" fillId="0" borderId="0" xfId="0" applyFill="1"/>
    <xf numFmtId="44" fontId="2" fillId="0" borderId="0" xfId="1" applyNumberFormat="1" applyFont="1" applyBorder="1" applyAlignment="1">
      <alignment vertical="top"/>
    </xf>
    <xf numFmtId="9" fontId="2" fillId="0" borderId="0" xfId="2" applyFont="1"/>
    <xf numFmtId="44" fontId="1" fillId="0" borderId="1" xfId="1" applyBorder="1" applyAlignment="1">
      <alignment vertical="top"/>
    </xf>
    <xf numFmtId="0" fontId="2" fillId="3" borderId="1" xfId="4" applyFont="1" applyFill="1" applyBorder="1" applyAlignment="1">
      <alignment vertical="top" wrapText="1"/>
    </xf>
    <xf numFmtId="9" fontId="1" fillId="0" borderId="1" xfId="2" applyBorder="1" applyAlignment="1">
      <alignment vertical="top"/>
    </xf>
    <xf numFmtId="167" fontId="1" fillId="0" borderId="0" xfId="6" applyNumberFormat="1" applyFont="1">
      <alignment vertical="top"/>
    </xf>
    <xf numFmtId="0" fontId="2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0" fontId="1" fillId="6" borderId="7" xfId="4" applyNumberFormat="1" applyFill="1" applyBorder="1">
      <alignment vertical="top"/>
    </xf>
    <xf numFmtId="10" fontId="1" fillId="6" borderId="7" xfId="7" applyFont="1" applyFill="1" applyBorder="1">
      <alignment vertical="top"/>
    </xf>
    <xf numFmtId="169" fontId="1" fillId="0" borderId="0" xfId="4" applyNumberFormat="1">
      <alignment vertical="top"/>
    </xf>
    <xf numFmtId="9" fontId="1" fillId="0" borderId="0" xfId="2" applyAlignment="1">
      <alignment vertical="top"/>
    </xf>
    <xf numFmtId="0" fontId="1" fillId="0" borderId="0" xfId="4" applyFill="1" applyBorder="1" applyAlignment="1">
      <alignment horizontal="left"/>
    </xf>
    <xf numFmtId="165" fontId="0" fillId="0" borderId="0" xfId="1" applyNumberFormat="1" applyFont="1" applyFill="1" applyBorder="1" applyAlignment="1">
      <alignment vertical="top"/>
    </xf>
    <xf numFmtId="0" fontId="1" fillId="0" borderId="14" xfId="4" applyFill="1" applyBorder="1" applyAlignment="1"/>
    <xf numFmtId="44" fontId="1" fillId="0" borderId="14" xfId="1" applyBorder="1" applyAlignment="1">
      <alignment vertical="top"/>
    </xf>
    <xf numFmtId="9" fontId="1" fillId="0" borderId="14" xfId="2" applyBorder="1" applyAlignment="1">
      <alignment vertical="top"/>
    </xf>
    <xf numFmtId="44" fontId="1" fillId="0" borderId="0" xfId="1" applyFill="1" applyBorder="1" applyAlignment="1">
      <alignment vertical="top"/>
    </xf>
    <xf numFmtId="44" fontId="1" fillId="0" borderId="0" xfId="1" applyFont="1" applyFill="1" applyBorder="1" applyAlignment="1">
      <alignment vertical="top"/>
    </xf>
    <xf numFmtId="0" fontId="1" fillId="0" borderId="0" xfId="4" applyFill="1" applyBorder="1">
      <alignment vertical="top"/>
    </xf>
    <xf numFmtId="3" fontId="1" fillId="0" borderId="0" xfId="6" applyNumberFormat="1" applyFont="1" applyFill="1" applyBorder="1">
      <alignment vertical="top"/>
    </xf>
    <xf numFmtId="165" fontId="1" fillId="0" borderId="0" xfId="4" applyNumberFormat="1">
      <alignment vertical="top"/>
    </xf>
    <xf numFmtId="0" fontId="1" fillId="0" borderId="0" xfId="4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 vertical="top"/>
    </xf>
    <xf numFmtId="9" fontId="2" fillId="0" borderId="0" xfId="2" applyFont="1" applyFill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165" fontId="1" fillId="0" borderId="0" xfId="1" applyNumberFormat="1" applyFill="1" applyBorder="1" applyAlignment="1">
      <alignment vertical="top"/>
    </xf>
    <xf numFmtId="44" fontId="2" fillId="4" borderId="0" xfId="1" applyFont="1" applyFill="1" applyBorder="1" applyAlignment="1">
      <alignment vertical="top"/>
    </xf>
    <xf numFmtId="0" fontId="1" fillId="0" borderId="12" xfId="4" applyFill="1" applyBorder="1">
      <alignment vertical="top"/>
    </xf>
    <xf numFmtId="165" fontId="2" fillId="2" borderId="13" xfId="1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44" fontId="0" fillId="0" borderId="0" xfId="1" applyFont="1" applyAlignment="1">
      <alignment horizontal="center"/>
    </xf>
    <xf numFmtId="44" fontId="1" fillId="0" borderId="0" xfId="1" applyAlignment="1">
      <alignment vertical="top"/>
    </xf>
    <xf numFmtId="0" fontId="1" fillId="0" borderId="0" xfId="4" applyAlignment="1">
      <alignment horizontal="center" vertical="top"/>
    </xf>
    <xf numFmtId="0" fontId="0" fillId="0" borderId="1" xfId="4" applyFont="1" applyFill="1" applyBorder="1" applyAlignment="1">
      <alignment horizontal="left"/>
    </xf>
    <xf numFmtId="165" fontId="0" fillId="7" borderId="1" xfId="1" applyNumberFormat="1" applyFont="1" applyFill="1" applyBorder="1" applyAlignment="1">
      <alignment vertical="top"/>
    </xf>
    <xf numFmtId="44" fontId="2" fillId="0" borderId="0" xfId="1" applyFont="1" applyFill="1" applyBorder="1" applyAlignment="1">
      <alignment vertical="top"/>
    </xf>
    <xf numFmtId="0" fontId="0" fillId="0" borderId="0" xfId="4" applyFont="1" applyFill="1" applyBorder="1" applyAlignment="1">
      <alignment horizontal="center"/>
    </xf>
    <xf numFmtId="0" fontId="0" fillId="0" borderId="0" xfId="0" applyFill="1" applyBorder="1"/>
    <xf numFmtId="0" fontId="10" fillId="0" borderId="0" xfId="11" applyFill="1" applyBorder="1" applyAlignment="1">
      <alignment wrapText="1"/>
    </xf>
    <xf numFmtId="168" fontId="10" fillId="0" borderId="0" xfId="11" applyNumberFormat="1" applyFill="1" applyBorder="1" applyAlignment="1">
      <alignment vertical="top"/>
    </xf>
    <xf numFmtId="3" fontId="0" fillId="0" borderId="0" xfId="0" applyNumberFormat="1" applyBorder="1" applyAlignment="1">
      <alignment vertical="top"/>
    </xf>
    <xf numFmtId="168" fontId="10" fillId="0" borderId="0" xfId="11" applyNumberFormat="1" applyFill="1" applyBorder="1"/>
    <xf numFmtId="0" fontId="14" fillId="0" borderId="0" xfId="0" applyFont="1"/>
    <xf numFmtId="44" fontId="14" fillId="0" borderId="0" xfId="1" applyFont="1"/>
    <xf numFmtId="0" fontId="3" fillId="0" borderId="0" xfId="0" applyFont="1" applyFill="1" applyAlignment="1">
      <alignment horizontal="right"/>
    </xf>
    <xf numFmtId="44" fontId="3" fillId="0" borderId="0" xfId="1" applyFont="1"/>
    <xf numFmtId="0" fontId="16" fillId="0" borderId="0" xfId="0" applyFont="1"/>
    <xf numFmtId="0" fontId="2" fillId="0" borderId="0" xfId="0" applyFont="1" applyFill="1" applyBorder="1"/>
    <xf numFmtId="3" fontId="2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8" fillId="0" borderId="0" xfId="0" applyFont="1"/>
    <xf numFmtId="44" fontId="18" fillId="0" borderId="0" xfId="1" applyFont="1"/>
    <xf numFmtId="8" fontId="2" fillId="4" borderId="0" xfId="1" applyNumberFormat="1" applyFont="1" applyFill="1" applyBorder="1" applyAlignment="1">
      <alignment vertical="top"/>
    </xf>
    <xf numFmtId="8" fontId="2" fillId="0" borderId="0" xfId="1" applyNumberFormat="1" applyFont="1" applyFill="1" applyBorder="1" applyAlignment="1">
      <alignment vertical="top"/>
    </xf>
    <xf numFmtId="169" fontId="1" fillId="0" borderId="0" xfId="4" applyNumberFormat="1" applyBorder="1">
      <alignment vertical="top"/>
    </xf>
    <xf numFmtId="0" fontId="19" fillId="0" borderId="0" xfId="0" applyFont="1"/>
    <xf numFmtId="170" fontId="1" fillId="0" borderId="0" xfId="4" applyNumberFormat="1" applyBorder="1">
      <alignment vertical="top"/>
    </xf>
    <xf numFmtId="9" fontId="9" fillId="0" borderId="0" xfId="2" applyFont="1"/>
    <xf numFmtId="0" fontId="9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0" fontId="1" fillId="0" borderId="0" xfId="2" applyNumberFormat="1" applyFont="1" applyAlignment="1">
      <alignment vertical="top"/>
    </xf>
    <xf numFmtId="10" fontId="1" fillId="0" borderId="0" xfId="2" applyNumberFormat="1" applyFill="1" applyBorder="1" applyAlignment="1">
      <alignment vertical="top"/>
    </xf>
    <xf numFmtId="170" fontId="1" fillId="0" borderId="0" xfId="2" applyNumberFormat="1" applyFont="1" applyAlignment="1">
      <alignment horizontal="center" vertical="top"/>
    </xf>
    <xf numFmtId="10" fontId="1" fillId="0" borderId="7" xfId="7" applyFont="1" applyFill="1" applyBorder="1">
      <alignment vertical="top"/>
    </xf>
    <xf numFmtId="10" fontId="1" fillId="0" borderId="7" xfId="4" applyNumberFormat="1" applyFill="1" applyBorder="1">
      <alignment vertical="top"/>
    </xf>
    <xf numFmtId="165" fontId="0" fillId="0" borderId="0" xfId="1" applyNumberFormat="1" applyFont="1"/>
    <xf numFmtId="44" fontId="0" fillId="0" borderId="0" xfId="1" applyFont="1"/>
    <xf numFmtId="44" fontId="0" fillId="0" borderId="0" xfId="0" applyNumberFormat="1"/>
    <xf numFmtId="165" fontId="0" fillId="0" borderId="0" xfId="1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15" xfId="0" applyBorder="1"/>
    <xf numFmtId="0" fontId="0" fillId="0" borderId="17" xfId="0" applyBorder="1"/>
    <xf numFmtId="0" fontId="3" fillId="0" borderId="17" xfId="11" applyFon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9" xfId="0" applyFill="1" applyBorder="1" applyAlignment="1">
      <alignment wrapText="1"/>
    </xf>
    <xf numFmtId="165" fontId="3" fillId="0" borderId="1" xfId="1" applyNumberFormat="1" applyFont="1" applyFill="1" applyBorder="1" applyAlignment="1">
      <alignment horizontal="right"/>
    </xf>
    <xf numFmtId="10" fontId="1" fillId="6" borderId="10" xfId="4" applyNumberFormat="1" applyFill="1" applyBorder="1">
      <alignment vertical="top"/>
    </xf>
    <xf numFmtId="8" fontId="14" fillId="0" borderId="0" xfId="1" applyNumberFormat="1" applyFont="1"/>
    <xf numFmtId="165" fontId="0" fillId="0" borderId="16" xfId="1" applyNumberFormat="1" applyFont="1" applyFill="1" applyBorder="1"/>
    <xf numFmtId="165" fontId="0" fillId="0" borderId="18" xfId="1" applyNumberFormat="1" applyFont="1" applyFill="1" applyBorder="1"/>
    <xf numFmtId="44" fontId="0" fillId="0" borderId="18" xfId="0" applyNumberFormat="1" applyFill="1" applyBorder="1"/>
    <xf numFmtId="44" fontId="0" fillId="0" borderId="20" xfId="0" applyNumberFormat="1" applyFill="1" applyBorder="1"/>
    <xf numFmtId="0" fontId="2" fillId="0" borderId="0" xfId="0" applyFont="1" applyAlignment="1">
      <alignment horizontal="center" vertical="center"/>
    </xf>
    <xf numFmtId="165" fontId="0" fillId="0" borderId="0" xfId="4" applyNumberFormat="1" applyFont="1">
      <alignment vertical="top"/>
    </xf>
    <xf numFmtId="44" fontId="0" fillId="0" borderId="0" xfId="1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9" fontId="2" fillId="0" borderId="0" xfId="2" applyFont="1" applyAlignment="1">
      <alignment horizontal="center" vertical="center"/>
    </xf>
    <xf numFmtId="0" fontId="5" fillId="0" borderId="0" xfId="4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180"/>
    </xf>
  </cellXfs>
  <cellStyles count="12">
    <cellStyle name="Comma 2" xfId="6"/>
    <cellStyle name="Comma0" xfId="5"/>
    <cellStyle name="Currency" xfId="1" builtinId="4"/>
    <cellStyle name="Currency0" xfId="8"/>
    <cellStyle name="Date" xfId="9"/>
    <cellStyle name="Fixed" xfId="10"/>
    <cellStyle name="Neutral" xfId="11" builtinId="28"/>
    <cellStyle name="Normal" xfId="0" builtinId="0"/>
    <cellStyle name="Normal 2" xfId="4"/>
    <cellStyle name="Normal_Lane" xfId="3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52"/>
  <sheetViews>
    <sheetView tabSelected="1" topLeftCell="A13" workbookViewId="0">
      <selection activeCell="L36" sqref="L36"/>
    </sheetView>
  </sheetViews>
  <sheetFormatPr defaultRowHeight="14.4" x14ac:dyDescent="0.3"/>
  <cols>
    <col min="3" max="3" width="15" customWidth="1"/>
    <col min="5" max="5" width="14.88671875" customWidth="1"/>
    <col min="6" max="6" width="2.77734375" customWidth="1"/>
    <col min="7" max="7" width="13.77734375" customWidth="1"/>
    <col min="8" max="8" width="3.44140625" customWidth="1"/>
    <col min="9" max="9" width="10.21875" customWidth="1"/>
    <col min="10" max="10" width="2.77734375" customWidth="1"/>
    <col min="11" max="11" width="10.21875" customWidth="1"/>
    <col min="12" max="12" width="2.6640625" customWidth="1"/>
    <col min="13" max="13" width="10.88671875" customWidth="1"/>
    <col min="14" max="14" width="2.77734375" customWidth="1"/>
    <col min="15" max="15" width="11.44140625" customWidth="1"/>
  </cols>
  <sheetData>
    <row r="1" spans="1:9" x14ac:dyDescent="0.3">
      <c r="A1" s="2" t="s">
        <v>26</v>
      </c>
    </row>
    <row r="2" spans="1:9" x14ac:dyDescent="0.3">
      <c r="A2" t="s">
        <v>180</v>
      </c>
    </row>
    <row r="4" spans="1:9" x14ac:dyDescent="0.3">
      <c r="A4" s="133" t="s">
        <v>1</v>
      </c>
      <c r="B4" s="120"/>
      <c r="C4" s="120"/>
      <c r="D4" s="120"/>
      <c r="E4" s="120"/>
      <c r="F4" s="120"/>
      <c r="G4" s="120"/>
    </row>
    <row r="5" spans="1:9" x14ac:dyDescent="0.3">
      <c r="A5" s="120"/>
      <c r="B5" s="120"/>
      <c r="C5" s="120"/>
      <c r="D5" s="120"/>
      <c r="E5" s="120"/>
      <c r="F5" s="120"/>
      <c r="G5" s="120"/>
    </row>
    <row r="6" spans="1:9" x14ac:dyDescent="0.3">
      <c r="A6" s="120"/>
      <c r="B6" s="128" t="s">
        <v>2</v>
      </c>
      <c r="C6" s="120"/>
      <c r="D6" s="120"/>
      <c r="E6" s="120"/>
      <c r="F6" s="120"/>
      <c r="G6" s="129">
        <v>127</v>
      </c>
    </row>
    <row r="8" spans="1:9" x14ac:dyDescent="0.3">
      <c r="A8" s="2" t="s">
        <v>3</v>
      </c>
    </row>
    <row r="10" spans="1:9" x14ac:dyDescent="0.3">
      <c r="A10" s="4" t="s">
        <v>4</v>
      </c>
      <c r="B10" s="4"/>
    </row>
    <row r="12" spans="1:9" x14ac:dyDescent="0.3">
      <c r="B12" t="s">
        <v>5</v>
      </c>
    </row>
    <row r="13" spans="1:9" x14ac:dyDescent="0.3">
      <c r="C13" t="s">
        <v>6</v>
      </c>
      <c r="E13" s="136" t="s">
        <v>182</v>
      </c>
      <c r="F13" s="81"/>
      <c r="G13" s="136" t="s">
        <v>181</v>
      </c>
    </row>
    <row r="14" spans="1:9" x14ac:dyDescent="0.3">
      <c r="C14" t="s">
        <v>8</v>
      </c>
      <c r="E14" t="s">
        <v>7</v>
      </c>
    </row>
    <row r="15" spans="1:9" x14ac:dyDescent="0.3">
      <c r="C15" s="68">
        <v>250</v>
      </c>
      <c r="E15" s="121">
        <f>ROUND('Meter COS'!K8,2)</f>
        <v>2.35</v>
      </c>
      <c r="G15" s="69">
        <f>0.40628+(0.0016525*(C15-150))</f>
        <v>0.57152999999999998</v>
      </c>
      <c r="I15" s="70"/>
    </row>
    <row r="16" spans="1:9" x14ac:dyDescent="0.3">
      <c r="C16" s="68">
        <v>630</v>
      </c>
      <c r="E16" s="121">
        <f>ROUND('Meter COS'!K9,2)</f>
        <v>6.71</v>
      </c>
      <c r="G16" s="69">
        <f>0.40628+(0.0016525*(C16-150))</f>
        <v>1.1994799999999999</v>
      </c>
      <c r="I16" s="70"/>
    </row>
    <row r="17" spans="1:15" x14ac:dyDescent="0.3">
      <c r="C17" s="68">
        <v>1000</v>
      </c>
      <c r="E17" s="121">
        <f>ROUND('Meter COS'!K10,2)</f>
        <v>11.51</v>
      </c>
      <c r="G17" s="69">
        <f>1.48041+(0.0024103*(C17-800))</f>
        <v>1.9624700000000002</v>
      </c>
      <c r="I17" s="70"/>
    </row>
    <row r="18" spans="1:15" x14ac:dyDescent="0.3">
      <c r="C18" s="68"/>
    </row>
    <row r="19" spans="1:15" x14ac:dyDescent="0.3">
      <c r="A19" s="4" t="s">
        <v>9</v>
      </c>
      <c r="B19" s="4"/>
    </row>
    <row r="20" spans="1:15" x14ac:dyDescent="0.3">
      <c r="E20" t="s">
        <v>27</v>
      </c>
      <c r="G20" s="136" t="s">
        <v>182</v>
      </c>
      <c r="H20" s="81"/>
      <c r="I20" s="136" t="s">
        <v>181</v>
      </c>
    </row>
    <row r="21" spans="1:15" x14ac:dyDescent="0.3">
      <c r="C21" s="2" t="s">
        <v>6</v>
      </c>
      <c r="E21" t="s">
        <v>8</v>
      </c>
      <c r="G21" s="66" t="s">
        <v>7</v>
      </c>
      <c r="H21" s="66"/>
      <c r="I21" s="66"/>
    </row>
    <row r="22" spans="1:15" x14ac:dyDescent="0.3">
      <c r="C22" s="107" t="s">
        <v>11</v>
      </c>
      <c r="E22">
        <v>1500</v>
      </c>
      <c r="G22" s="121">
        <f>ROUND('Meter COS'!K11,2)</f>
        <v>30.9</v>
      </c>
      <c r="I22" s="6">
        <v>15</v>
      </c>
      <c r="K22" s="70"/>
    </row>
    <row r="23" spans="1:15" x14ac:dyDescent="0.3">
      <c r="C23" s="107" t="s">
        <v>12</v>
      </c>
      <c r="E23">
        <v>3000</v>
      </c>
      <c r="G23" s="121">
        <f>ROUND('Meter COS'!K12,2)</f>
        <v>33.35</v>
      </c>
      <c r="I23" s="6">
        <v>16</v>
      </c>
      <c r="K23" s="70"/>
    </row>
    <row r="24" spans="1:15" x14ac:dyDescent="0.3">
      <c r="C24" s="107" t="s">
        <v>13</v>
      </c>
      <c r="E24">
        <v>5000</v>
      </c>
      <c r="G24" s="121">
        <f>ROUND('Meter COS'!K13,2)</f>
        <v>37.53</v>
      </c>
      <c r="I24" s="6">
        <v>18</v>
      </c>
      <c r="K24" s="70"/>
    </row>
    <row r="25" spans="1:15" x14ac:dyDescent="0.3">
      <c r="C25" s="107" t="s">
        <v>14</v>
      </c>
      <c r="E25">
        <v>7000</v>
      </c>
      <c r="G25" s="121">
        <f>ROUND('Meter COS'!K14,2)</f>
        <v>38.56</v>
      </c>
      <c r="I25" s="6">
        <v>22</v>
      </c>
      <c r="K25" s="70"/>
    </row>
    <row r="26" spans="1:15" x14ac:dyDescent="0.3">
      <c r="C26" s="107" t="s">
        <v>15</v>
      </c>
      <c r="E26">
        <v>11000</v>
      </c>
      <c r="G26" s="121">
        <f>ROUND('Meter COS'!K15,2)</f>
        <v>59.74</v>
      </c>
      <c r="I26" s="6">
        <v>25</v>
      </c>
      <c r="K26" s="70"/>
    </row>
    <row r="27" spans="1:15" x14ac:dyDescent="0.3">
      <c r="C27" s="107" t="s">
        <v>16</v>
      </c>
      <c r="E27">
        <v>16000</v>
      </c>
      <c r="G27" s="121">
        <f>ROUND('Meter COS'!K16,2)</f>
        <v>77.42</v>
      </c>
      <c r="I27" s="6">
        <v>32</v>
      </c>
      <c r="K27" s="70"/>
    </row>
    <row r="28" spans="1:15" x14ac:dyDescent="0.3">
      <c r="C28" s="107" t="s">
        <v>17</v>
      </c>
      <c r="E28">
        <v>23000</v>
      </c>
      <c r="G28" s="121">
        <f>ROUND('Meter COS'!K17,2)</f>
        <v>215.1</v>
      </c>
      <c r="I28" s="137" t="s">
        <v>183</v>
      </c>
      <c r="K28" s="135" t="s">
        <v>184</v>
      </c>
    </row>
    <row r="29" spans="1:15" x14ac:dyDescent="0.3">
      <c r="C29" s="107" t="s">
        <v>18</v>
      </c>
      <c r="E29">
        <v>38000</v>
      </c>
      <c r="G29" s="121">
        <f>ROUND('Meter COS'!K18,2)</f>
        <v>284.89</v>
      </c>
      <c r="I29" s="137" t="s">
        <v>183</v>
      </c>
      <c r="K29" s="135" t="s">
        <v>184</v>
      </c>
    </row>
    <row r="31" spans="1:15" x14ac:dyDescent="0.3">
      <c r="B31" s="120" t="s">
        <v>175</v>
      </c>
      <c r="C31" s="68"/>
    </row>
    <row r="32" spans="1:15" x14ac:dyDescent="0.3">
      <c r="C32" s="122" t="s">
        <v>10</v>
      </c>
      <c r="D32" s="67"/>
      <c r="E32" s="67"/>
      <c r="F32" s="67"/>
      <c r="G32" s="123">
        <v>13</v>
      </c>
      <c r="M32" s="136" t="s">
        <v>181</v>
      </c>
      <c r="O32" s="136" t="s">
        <v>181</v>
      </c>
    </row>
    <row r="33" spans="2:15" x14ac:dyDescent="0.3">
      <c r="I33" s="136" t="s">
        <v>182</v>
      </c>
      <c r="K33" s="136" t="s">
        <v>182</v>
      </c>
    </row>
    <row r="34" spans="2:15" ht="28.8" x14ac:dyDescent="0.3">
      <c r="C34" s="2" t="s">
        <v>19</v>
      </c>
      <c r="G34" s="5" t="s">
        <v>24</v>
      </c>
      <c r="I34" s="5" t="s">
        <v>25</v>
      </c>
      <c r="K34" s="5" t="s">
        <v>7</v>
      </c>
      <c r="M34" s="5" t="s">
        <v>25</v>
      </c>
      <c r="O34" s="5" t="s">
        <v>7</v>
      </c>
    </row>
    <row r="35" spans="2:15" x14ac:dyDescent="0.3">
      <c r="B35" s="67" t="s">
        <v>20</v>
      </c>
      <c r="C35" s="124"/>
      <c r="D35" s="67"/>
      <c r="E35" s="67"/>
      <c r="F35" s="67"/>
      <c r="G35" s="123">
        <v>0</v>
      </c>
      <c r="H35" s="123"/>
      <c r="I35" s="123">
        <v>0</v>
      </c>
      <c r="J35" s="123"/>
      <c r="K35" s="123">
        <v>0.76</v>
      </c>
    </row>
    <row r="36" spans="2:15" ht="16.2" x14ac:dyDescent="0.3">
      <c r="B36" t="s">
        <v>177</v>
      </c>
      <c r="C36" s="2"/>
      <c r="G36" s="3">
        <v>0</v>
      </c>
      <c r="H36" s="3"/>
      <c r="I36" s="121">
        <f>ROUND('AAMR Cost'!B12,2)</f>
        <v>1270.53</v>
      </c>
      <c r="J36" s="3"/>
      <c r="K36" s="159">
        <f>ROUND('AAMR COS '!K8+'AAMR Cost'!B10,2)</f>
        <v>52.53</v>
      </c>
      <c r="M36" s="6">
        <v>200</v>
      </c>
      <c r="O36" s="6">
        <v>18</v>
      </c>
    </row>
    <row r="37" spans="2:15" x14ac:dyDescent="0.3">
      <c r="B37" t="s">
        <v>21</v>
      </c>
      <c r="C37" s="2"/>
      <c r="G37" s="3">
        <v>0</v>
      </c>
      <c r="H37" s="3"/>
      <c r="I37" s="3">
        <v>50</v>
      </c>
      <c r="J37" s="3"/>
      <c r="K37" s="3">
        <v>4</v>
      </c>
    </row>
    <row r="38" spans="2:15" x14ac:dyDescent="0.3">
      <c r="B38" t="s">
        <v>22</v>
      </c>
      <c r="C38" s="2"/>
      <c r="G38" s="3">
        <v>0</v>
      </c>
      <c r="H38" s="3"/>
      <c r="I38" s="3">
        <v>100</v>
      </c>
      <c r="J38" s="3"/>
      <c r="K38" s="3">
        <v>8</v>
      </c>
    </row>
    <row r="39" spans="2:15" x14ac:dyDescent="0.3">
      <c r="B39" t="s">
        <v>102</v>
      </c>
      <c r="C39" s="2"/>
      <c r="G39" s="3">
        <v>100</v>
      </c>
      <c r="H39" s="3"/>
      <c r="I39" s="3">
        <v>0</v>
      </c>
      <c r="J39" s="3"/>
      <c r="K39" s="3">
        <v>0</v>
      </c>
    </row>
    <row r="40" spans="2:15" x14ac:dyDescent="0.3">
      <c r="B40" t="s">
        <v>101</v>
      </c>
      <c r="C40" s="2"/>
      <c r="G40" s="3">
        <v>100</v>
      </c>
      <c r="H40" s="3"/>
      <c r="I40" s="3">
        <v>0</v>
      </c>
      <c r="J40" s="3"/>
      <c r="K40" s="3">
        <v>0</v>
      </c>
    </row>
    <row r="41" spans="2:15" x14ac:dyDescent="0.3">
      <c r="B41" s="128" t="s">
        <v>23</v>
      </c>
      <c r="C41" s="128"/>
      <c r="D41" s="128"/>
      <c r="E41" s="128"/>
      <c r="F41" s="128"/>
      <c r="G41" s="129">
        <v>0</v>
      </c>
      <c r="H41" s="129"/>
      <c r="I41" s="129">
        <v>0</v>
      </c>
      <c r="J41" s="129"/>
      <c r="K41" s="129">
        <v>127</v>
      </c>
    </row>
    <row r="43" spans="2:15" ht="16.2" x14ac:dyDescent="0.3">
      <c r="B43" s="120" t="s">
        <v>176</v>
      </c>
    </row>
    <row r="45" spans="2:15" x14ac:dyDescent="0.3">
      <c r="C45" s="2"/>
      <c r="G45" s="5"/>
      <c r="I45" s="5"/>
      <c r="K45" s="5"/>
    </row>
    <row r="46" spans="2:15" x14ac:dyDescent="0.3">
      <c r="G46" s="3"/>
      <c r="H46" s="3"/>
      <c r="I46" s="3"/>
      <c r="J46" s="3"/>
      <c r="K46" s="3"/>
    </row>
    <row r="47" spans="2:15" x14ac:dyDescent="0.3">
      <c r="G47" s="3"/>
      <c r="H47" s="3"/>
      <c r="I47" s="3"/>
      <c r="J47" s="3"/>
      <c r="K47" s="3"/>
    </row>
    <row r="48" spans="2:15" x14ac:dyDescent="0.3">
      <c r="G48" s="3"/>
      <c r="H48" s="3"/>
      <c r="I48" s="3"/>
      <c r="J48" s="3"/>
      <c r="K48" s="3"/>
    </row>
    <row r="49" spans="7:11" x14ac:dyDescent="0.3">
      <c r="G49" s="3"/>
      <c r="H49" s="3"/>
      <c r="I49" s="3"/>
      <c r="J49" s="3"/>
      <c r="K49" s="3"/>
    </row>
    <row r="50" spans="7:11" x14ac:dyDescent="0.3">
      <c r="G50" s="3"/>
      <c r="H50" s="3"/>
      <c r="I50" s="3"/>
      <c r="J50" s="3"/>
      <c r="K50" s="3"/>
    </row>
    <row r="51" spans="7:11" x14ac:dyDescent="0.3">
      <c r="G51" s="3"/>
      <c r="H51" s="3"/>
      <c r="I51" s="3"/>
      <c r="J51" s="3"/>
      <c r="K51" s="3"/>
    </row>
    <row r="52" spans="7:11" x14ac:dyDescent="0.3">
      <c r="G52" s="3"/>
      <c r="H52" s="3"/>
      <c r="I52" s="3"/>
      <c r="J52" s="3"/>
      <c r="K52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86"/>
  <sheetViews>
    <sheetView topLeftCell="A7" workbookViewId="0">
      <pane xSplit="4" ySplit="20" topLeftCell="E46" activePane="bottomRight" state="frozen"/>
      <selection activeCell="A7" sqref="A7"/>
      <selection pane="topRight" activeCell="E7" sqref="E7"/>
      <selection pane="bottomLeft" activeCell="A27" sqref="A27"/>
      <selection pane="bottomRight" activeCell="F23" sqref="F23"/>
    </sheetView>
  </sheetViews>
  <sheetFormatPr defaultColWidth="10.33203125" defaultRowHeight="14.4" x14ac:dyDescent="0.3"/>
  <cols>
    <col min="1" max="2" width="5.6640625" style="8" customWidth="1"/>
    <col min="3" max="3" width="28.44140625" style="8" customWidth="1"/>
    <col min="4" max="25" width="13.6640625" style="10" customWidth="1"/>
    <col min="26" max="16384" width="10.33203125" style="10"/>
  </cols>
  <sheetData>
    <row r="1" spans="1:13" x14ac:dyDescent="0.25">
      <c r="A1" s="7" t="s">
        <v>28</v>
      </c>
      <c r="D1" s="9"/>
      <c r="E1" s="174"/>
      <c r="F1" s="174"/>
      <c r="I1" s="11"/>
    </row>
    <row r="2" spans="1:13" x14ac:dyDescent="0.3">
      <c r="A2" s="8" t="s">
        <v>29</v>
      </c>
      <c r="D2" s="9"/>
      <c r="E2" s="9"/>
      <c r="F2" s="11"/>
      <c r="G2" s="11"/>
    </row>
    <row r="3" spans="1:13" ht="15" thickBot="1" x14ac:dyDescent="0.35">
      <c r="D3" s="9"/>
      <c r="E3" s="9"/>
      <c r="F3" s="11"/>
      <c r="G3" s="11"/>
      <c r="I3" s="64" t="s">
        <v>100</v>
      </c>
    </row>
    <row r="4" spans="1:13" ht="36" customHeight="1" x14ac:dyDescent="0.3">
      <c r="A4" s="12" t="s">
        <v>30</v>
      </c>
      <c r="B4" s="13"/>
      <c r="C4" s="13"/>
      <c r="D4" s="14"/>
      <c r="E4" s="14"/>
      <c r="F4" s="15"/>
      <c r="G4" s="16"/>
      <c r="I4" s="17" t="s">
        <v>31</v>
      </c>
      <c r="J4" s="17" t="s">
        <v>104</v>
      </c>
      <c r="K4" s="72" t="s">
        <v>103</v>
      </c>
      <c r="L4" s="72" t="s">
        <v>105</v>
      </c>
    </row>
    <row r="5" spans="1:13" x14ac:dyDescent="0.3">
      <c r="A5" s="18"/>
      <c r="B5" s="19"/>
      <c r="C5" s="19"/>
      <c r="D5" s="20"/>
      <c r="E5" s="20"/>
      <c r="F5" s="21"/>
      <c r="G5" s="16"/>
      <c r="I5" s="22">
        <v>250</v>
      </c>
      <c r="J5" s="71">
        <v>1</v>
      </c>
      <c r="K5" s="71">
        <v>2.0048601954472138</v>
      </c>
      <c r="L5" s="73">
        <f t="shared" ref="L5:L6" si="0">(K5/J5)-1</f>
        <v>1.0048601954472138</v>
      </c>
    </row>
    <row r="6" spans="1:13" x14ac:dyDescent="0.3">
      <c r="A6" s="18"/>
      <c r="B6" s="19"/>
      <c r="C6" s="19"/>
      <c r="D6" s="23"/>
      <c r="E6" s="23"/>
      <c r="F6" s="24" t="s">
        <v>32</v>
      </c>
      <c r="G6" s="23"/>
      <c r="I6" s="90">
        <v>630</v>
      </c>
      <c r="J6" s="91">
        <v>3</v>
      </c>
      <c r="K6" s="91">
        <v>5.1176694462731458</v>
      </c>
      <c r="L6" s="92">
        <f t="shared" si="0"/>
        <v>0.70588981542438201</v>
      </c>
    </row>
    <row r="7" spans="1:13" x14ac:dyDescent="0.3">
      <c r="A7" s="18" t="s">
        <v>33</v>
      </c>
      <c r="B7" s="19"/>
      <c r="C7" s="19"/>
      <c r="D7" s="25" t="s">
        <v>34</v>
      </c>
      <c r="E7" s="25" t="s">
        <v>35</v>
      </c>
      <c r="F7" s="26" t="s">
        <v>35</v>
      </c>
      <c r="G7" s="23"/>
      <c r="H7" s="97"/>
      <c r="I7" s="99" t="s">
        <v>138</v>
      </c>
      <c r="J7" s="100" t="s">
        <v>35</v>
      </c>
      <c r="K7" s="100" t="s">
        <v>139</v>
      </c>
      <c r="L7" s="101"/>
      <c r="M7" s="102"/>
    </row>
    <row r="8" spans="1:13" x14ac:dyDescent="0.3">
      <c r="A8" s="18"/>
      <c r="B8" s="19"/>
      <c r="C8" s="19"/>
      <c r="D8" s="27"/>
      <c r="E8" s="27"/>
      <c r="F8" s="28"/>
      <c r="G8" s="27"/>
      <c r="I8" s="98">
        <v>250</v>
      </c>
      <c r="J8" s="103">
        <f>'Meter Cost'!B4</f>
        <v>237.09250000000003</v>
      </c>
      <c r="K8" s="104">
        <f>-D49</f>
        <v>2.3504745614005658</v>
      </c>
      <c r="L8" s="93"/>
      <c r="M8" s="54"/>
    </row>
    <row r="9" spans="1:13" x14ac:dyDescent="0.3">
      <c r="A9" s="18" t="s">
        <v>179</v>
      </c>
      <c r="B9" s="19"/>
      <c r="C9" s="19"/>
      <c r="D9" s="29">
        <v>5.0299999999999997E-2</v>
      </c>
      <c r="E9" s="134">
        <v>5.28E-2</v>
      </c>
      <c r="F9" s="30">
        <f t="shared" ref="F9:F10" si="1">D9*E9</f>
        <v>2.65584E-3</v>
      </c>
      <c r="G9" s="29"/>
      <c r="I9" s="98">
        <v>630</v>
      </c>
      <c r="J9" s="103">
        <f>'Meter Cost'!B5</f>
        <v>676.44499999999994</v>
      </c>
      <c r="K9" s="104">
        <f t="dataTable" ref="K9:K18" dt2D="0" dtr="0" r1="F23"/>
        <v>6.706103165163829</v>
      </c>
      <c r="L9" s="93"/>
      <c r="M9" s="54"/>
    </row>
    <row r="10" spans="1:13" x14ac:dyDescent="0.3">
      <c r="A10" s="18" t="s">
        <v>178</v>
      </c>
      <c r="B10" s="19"/>
      <c r="C10" s="19"/>
      <c r="D10" s="29">
        <v>0.44230000000000003</v>
      </c>
      <c r="E10" s="134">
        <v>6.7960000000000007E-2</v>
      </c>
      <c r="F10" s="30">
        <f t="shared" si="1"/>
        <v>3.0058708000000003E-2</v>
      </c>
      <c r="G10" s="29"/>
      <c r="I10" s="98">
        <v>1000</v>
      </c>
      <c r="J10" s="103">
        <f>'Meter Cost'!B6</f>
        <v>1161.02</v>
      </c>
      <c r="K10" s="104">
        <v>11.510056097418868</v>
      </c>
      <c r="L10" s="93"/>
      <c r="M10" s="54"/>
    </row>
    <row r="11" spans="1:13" x14ac:dyDescent="0.3">
      <c r="A11" s="18" t="s">
        <v>36</v>
      </c>
      <c r="B11" s="19"/>
      <c r="C11" s="19"/>
      <c r="D11" s="31">
        <v>0.50739999999999996</v>
      </c>
      <c r="E11" s="132">
        <v>0.10100000000000001</v>
      </c>
      <c r="F11" s="32">
        <f>D11*E11</f>
        <v>5.1247399999999999E-2</v>
      </c>
      <c r="G11" s="29"/>
      <c r="I11" s="98" t="s">
        <v>11</v>
      </c>
      <c r="J11" s="103">
        <f>'Meter Cost'!B7</f>
        <v>3117.1499999999996</v>
      </c>
      <c r="K11" s="104">
        <v>30.902629897908085</v>
      </c>
      <c r="L11" s="93"/>
      <c r="M11" s="54"/>
    </row>
    <row r="12" spans="1:13" ht="15" thickBot="1" x14ac:dyDescent="0.35">
      <c r="A12" s="18"/>
      <c r="B12" s="19"/>
      <c r="C12" s="19"/>
      <c r="D12" s="33">
        <f>D9+D10+D11</f>
        <v>1</v>
      </c>
      <c r="E12" s="29"/>
      <c r="F12" s="158">
        <f>F9+F10+F11</f>
        <v>8.3961948000000008E-2</v>
      </c>
      <c r="G12" s="29"/>
      <c r="I12" s="98" t="s">
        <v>12</v>
      </c>
      <c r="J12" s="103">
        <f>'Meter Cost'!B8</f>
        <v>3364.3149999999996</v>
      </c>
      <c r="K12" s="104">
        <v>33.352960654758554</v>
      </c>
      <c r="L12" s="93"/>
      <c r="M12" s="54"/>
    </row>
    <row r="13" spans="1:13" ht="15" thickTop="1" x14ac:dyDescent="0.3">
      <c r="A13" s="18"/>
      <c r="B13" s="19"/>
      <c r="C13" s="19"/>
      <c r="D13" s="27"/>
      <c r="E13" s="27"/>
      <c r="F13" s="28"/>
      <c r="G13" s="27"/>
      <c r="I13" s="98" t="s">
        <v>13</v>
      </c>
      <c r="J13" s="103">
        <f>'Meter Cost'!B9</f>
        <v>3785.9775</v>
      </c>
      <c r="K13" s="104">
        <v>37.533215111338002</v>
      </c>
      <c r="L13" s="93"/>
      <c r="M13" s="54"/>
    </row>
    <row r="14" spans="1:13" x14ac:dyDescent="0.3">
      <c r="A14" s="18" t="s">
        <v>37</v>
      </c>
      <c r="B14" s="19"/>
      <c r="C14" s="19"/>
      <c r="D14" s="27"/>
      <c r="E14" s="27"/>
      <c r="F14" s="142">
        <v>0</v>
      </c>
      <c r="G14" s="29"/>
      <c r="I14" s="98" t="s">
        <v>14</v>
      </c>
      <c r="J14" s="103">
        <f>'Meter Cost'!B10</f>
        <v>3889.4049999999997</v>
      </c>
      <c r="K14" s="104">
        <v>38.558568961414501</v>
      </c>
      <c r="L14" s="93"/>
      <c r="M14" s="54"/>
    </row>
    <row r="15" spans="1:13" x14ac:dyDescent="0.3">
      <c r="A15" s="18" t="s">
        <v>38</v>
      </c>
      <c r="B15" s="19"/>
      <c r="C15" s="19"/>
      <c r="D15" s="27"/>
      <c r="E15" s="27"/>
      <c r="F15" s="84">
        <v>0.21</v>
      </c>
      <c r="G15" s="29"/>
      <c r="I15" s="98" t="s">
        <v>15</v>
      </c>
      <c r="J15" s="103">
        <f>'Meter Cost'!B11</f>
        <v>6025.7300000000005</v>
      </c>
      <c r="K15" s="104">
        <v>59.737550023169128</v>
      </c>
      <c r="L15" s="93"/>
      <c r="M15" s="54"/>
    </row>
    <row r="16" spans="1:13" x14ac:dyDescent="0.3">
      <c r="A16" s="18" t="s">
        <v>39</v>
      </c>
      <c r="B16" s="19"/>
      <c r="C16" s="19"/>
      <c r="D16" s="27"/>
      <c r="E16" s="27"/>
      <c r="F16" s="85">
        <v>4.3720000000000002E-2</v>
      </c>
      <c r="G16" s="36"/>
      <c r="I16" s="98" t="s">
        <v>16</v>
      </c>
      <c r="J16" s="103">
        <f>'Meter Cost'!B12</f>
        <v>7809.0499999999993</v>
      </c>
      <c r="K16" s="104">
        <v>77.416929568438832</v>
      </c>
      <c r="L16" s="93"/>
      <c r="M16" s="54"/>
    </row>
    <row r="17" spans="1:26" x14ac:dyDescent="0.3">
      <c r="A17" s="18" t="s">
        <v>40</v>
      </c>
      <c r="B17" s="19"/>
      <c r="C17" s="19"/>
      <c r="D17" s="27"/>
      <c r="E17" s="27"/>
      <c r="F17" s="85">
        <f>1/21</f>
        <v>4.7619047619047616E-2</v>
      </c>
      <c r="G17" s="37"/>
      <c r="I17" s="98" t="s">
        <v>17</v>
      </c>
      <c r="J17" s="103">
        <f>'Meter Cost'!B13</f>
        <v>21697.32</v>
      </c>
      <c r="K17" s="104">
        <v>215.10169537445384</v>
      </c>
      <c r="L17" s="93"/>
      <c r="M17" s="54"/>
    </row>
    <row r="18" spans="1:26" x14ac:dyDescent="0.3">
      <c r="A18" s="18" t="s">
        <v>41</v>
      </c>
      <c r="B18" s="19"/>
      <c r="C18" s="19"/>
      <c r="D18" s="27"/>
      <c r="E18" s="27"/>
      <c r="F18" s="141">
        <v>0</v>
      </c>
      <c r="G18" s="37"/>
      <c r="H18" s="37"/>
      <c r="I18" s="98" t="s">
        <v>18</v>
      </c>
      <c r="J18" s="103">
        <f>'Meter Cost'!B14</f>
        <v>28736.799999999999</v>
      </c>
      <c r="K18" s="104">
        <v>284.88930428442796</v>
      </c>
      <c r="L18" s="94"/>
      <c r="M18" s="54"/>
    </row>
    <row r="19" spans="1:26" x14ac:dyDescent="0.3">
      <c r="A19" s="18" t="s">
        <v>42</v>
      </c>
      <c r="B19" s="19"/>
      <c r="C19" s="19"/>
      <c r="D19" s="27"/>
      <c r="E19" s="27"/>
      <c r="F19" s="38">
        <v>0</v>
      </c>
      <c r="G19" s="37"/>
      <c r="H19" s="37"/>
      <c r="I19" s="88"/>
      <c r="J19" s="95"/>
      <c r="K19" s="94"/>
      <c r="L19" s="96"/>
    </row>
    <row r="20" spans="1:26" x14ac:dyDescent="0.3">
      <c r="A20" s="18" t="s">
        <v>43</v>
      </c>
      <c r="B20" s="19"/>
      <c r="C20" s="19"/>
      <c r="D20" s="27"/>
      <c r="E20" s="27"/>
      <c r="F20" s="35">
        <v>0</v>
      </c>
      <c r="G20" s="37"/>
      <c r="H20" s="37"/>
      <c r="I20" s="88"/>
      <c r="J20" s="139"/>
      <c r="K20" s="94"/>
      <c r="L20" s="96"/>
    </row>
    <row r="21" spans="1:26" x14ac:dyDescent="0.3">
      <c r="A21" s="18" t="s">
        <v>44</v>
      </c>
      <c r="B21" s="19"/>
      <c r="C21" s="19"/>
      <c r="D21" s="27"/>
      <c r="E21" s="27"/>
      <c r="F21" s="39">
        <v>2</v>
      </c>
      <c r="G21" s="37"/>
      <c r="H21" s="37"/>
      <c r="I21" s="37"/>
      <c r="J21" s="138"/>
      <c r="K21" s="37"/>
      <c r="L21" s="37"/>
      <c r="M21" s="37"/>
      <c r="N21" s="37"/>
    </row>
    <row r="22" spans="1:26" x14ac:dyDescent="0.3">
      <c r="A22" s="18"/>
      <c r="B22" s="19"/>
      <c r="C22" s="19"/>
      <c r="D22" s="27"/>
      <c r="E22" s="27"/>
      <c r="F22" s="39"/>
      <c r="G22" s="37"/>
      <c r="H22" s="37"/>
      <c r="I22" s="138"/>
      <c r="J22" s="138"/>
      <c r="K22" s="74"/>
      <c r="L22" s="74"/>
      <c r="M22" s="74"/>
      <c r="N22" s="74"/>
      <c r="O22" s="74"/>
      <c r="P22" s="74"/>
    </row>
    <row r="23" spans="1:26" ht="15" thickBot="1" x14ac:dyDescent="0.35">
      <c r="A23" s="40" t="s">
        <v>45</v>
      </c>
      <c r="B23" s="41"/>
      <c r="C23" s="41"/>
      <c r="D23" s="41"/>
      <c r="E23" s="105"/>
      <c r="F23" s="106">
        <f>J8</f>
        <v>237.09250000000003</v>
      </c>
      <c r="J23" s="140"/>
    </row>
    <row r="25" spans="1:26" x14ac:dyDescent="0.3">
      <c r="B25" s="10"/>
      <c r="C25" s="10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6" x14ac:dyDescent="0.3">
      <c r="E26" s="45" t="s">
        <v>46</v>
      </c>
      <c r="F26" s="46" t="s">
        <v>47</v>
      </c>
      <c r="G26" s="46" t="s">
        <v>48</v>
      </c>
      <c r="H26" s="46" t="s">
        <v>49</v>
      </c>
      <c r="I26" s="46" t="s">
        <v>50</v>
      </c>
      <c r="J26" s="46" t="s">
        <v>51</v>
      </c>
      <c r="K26" s="46" t="s">
        <v>52</v>
      </c>
      <c r="L26" s="46" t="s">
        <v>53</v>
      </c>
      <c r="M26" s="46" t="s">
        <v>54</v>
      </c>
      <c r="N26" s="46" t="s">
        <v>55</v>
      </c>
      <c r="O26" s="46" t="s">
        <v>56</v>
      </c>
      <c r="P26" s="46" t="s">
        <v>57</v>
      </c>
      <c r="Q26" s="46" t="s">
        <v>58</v>
      </c>
      <c r="R26" s="46" t="s">
        <v>59</v>
      </c>
      <c r="S26" s="46" t="s">
        <v>60</v>
      </c>
      <c r="T26" s="46" t="s">
        <v>61</v>
      </c>
      <c r="U26" s="46" t="s">
        <v>62</v>
      </c>
      <c r="V26" s="46" t="s">
        <v>63</v>
      </c>
      <c r="W26" s="46" t="s">
        <v>64</v>
      </c>
      <c r="X26" s="46" t="s">
        <v>65</v>
      </c>
      <c r="Y26" s="46" t="s">
        <v>66</v>
      </c>
    </row>
    <row r="27" spans="1:26" x14ac:dyDescent="0.3">
      <c r="D27" s="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6" x14ac:dyDescent="0.3">
      <c r="A28" s="47">
        <v>1</v>
      </c>
      <c r="B28" s="8" t="s">
        <v>67</v>
      </c>
      <c r="D28" s="9"/>
      <c r="E28" s="48">
        <f t="shared" ref="E28:Y28" si="2">$F23*$F17</f>
        <v>11.290119047619049</v>
      </c>
      <c r="F28" s="48">
        <f>$F23*$F17</f>
        <v>11.290119047619049</v>
      </c>
      <c r="G28" s="48">
        <f t="shared" si="2"/>
        <v>11.290119047619049</v>
      </c>
      <c r="H28" s="48">
        <f t="shared" si="2"/>
        <v>11.290119047619049</v>
      </c>
      <c r="I28" s="48">
        <f t="shared" si="2"/>
        <v>11.290119047619049</v>
      </c>
      <c r="J28" s="48">
        <f t="shared" si="2"/>
        <v>11.290119047619049</v>
      </c>
      <c r="K28" s="48">
        <f t="shared" si="2"/>
        <v>11.290119047619049</v>
      </c>
      <c r="L28" s="48">
        <f t="shared" si="2"/>
        <v>11.290119047619049</v>
      </c>
      <c r="M28" s="48">
        <f t="shared" si="2"/>
        <v>11.290119047619049</v>
      </c>
      <c r="N28" s="48">
        <f t="shared" si="2"/>
        <v>11.290119047619049</v>
      </c>
      <c r="O28" s="48">
        <f t="shared" si="2"/>
        <v>11.290119047619049</v>
      </c>
      <c r="P28" s="48">
        <f t="shared" si="2"/>
        <v>11.290119047619049</v>
      </c>
      <c r="Q28" s="48">
        <f t="shared" si="2"/>
        <v>11.290119047619049</v>
      </c>
      <c r="R28" s="48">
        <f t="shared" si="2"/>
        <v>11.290119047619049</v>
      </c>
      <c r="S28" s="48">
        <f t="shared" si="2"/>
        <v>11.290119047619049</v>
      </c>
      <c r="T28" s="48">
        <f t="shared" si="2"/>
        <v>11.290119047619049</v>
      </c>
      <c r="U28" s="48">
        <f t="shared" si="2"/>
        <v>11.290119047619049</v>
      </c>
      <c r="V28" s="48">
        <f t="shared" si="2"/>
        <v>11.290119047619049</v>
      </c>
      <c r="W28" s="48">
        <f t="shared" si="2"/>
        <v>11.290119047619049</v>
      </c>
      <c r="X28" s="48">
        <f t="shared" si="2"/>
        <v>11.290119047619049</v>
      </c>
      <c r="Y28" s="48">
        <f t="shared" si="2"/>
        <v>11.290119047619049</v>
      </c>
      <c r="Z28" s="59">
        <f>SUM(E28:Y28)</f>
        <v>237.09249999999994</v>
      </c>
    </row>
    <row r="29" spans="1:26" x14ac:dyDescent="0.3">
      <c r="A29" s="47">
        <f>+A28+1</f>
        <v>2</v>
      </c>
      <c r="B29" s="8" t="s">
        <v>68</v>
      </c>
      <c r="D29" s="9"/>
      <c r="E29" s="48">
        <f>+F19</f>
        <v>0</v>
      </c>
      <c r="F29" s="48">
        <f>+E29*(1+$F$20)</f>
        <v>0</v>
      </c>
      <c r="G29" s="48">
        <f t="shared" ref="G29:Y29" si="3">+F29*(1+$F$20)</f>
        <v>0</v>
      </c>
      <c r="H29" s="48">
        <f t="shared" si="3"/>
        <v>0</v>
      </c>
      <c r="I29" s="48">
        <f t="shared" si="3"/>
        <v>0</v>
      </c>
      <c r="J29" s="48">
        <f t="shared" si="3"/>
        <v>0</v>
      </c>
      <c r="K29" s="48">
        <f t="shared" si="3"/>
        <v>0</v>
      </c>
      <c r="L29" s="48">
        <f t="shared" si="3"/>
        <v>0</v>
      </c>
      <c r="M29" s="48">
        <f t="shared" si="3"/>
        <v>0</v>
      </c>
      <c r="N29" s="48">
        <f t="shared" si="3"/>
        <v>0</v>
      </c>
      <c r="O29" s="48">
        <f t="shared" si="3"/>
        <v>0</v>
      </c>
      <c r="P29" s="48">
        <f t="shared" si="3"/>
        <v>0</v>
      </c>
      <c r="Q29" s="48">
        <f t="shared" si="3"/>
        <v>0</v>
      </c>
      <c r="R29" s="48">
        <f t="shared" si="3"/>
        <v>0</v>
      </c>
      <c r="S29" s="48">
        <f t="shared" si="3"/>
        <v>0</v>
      </c>
      <c r="T29" s="48">
        <f t="shared" si="3"/>
        <v>0</v>
      </c>
      <c r="U29" s="48">
        <f t="shared" si="3"/>
        <v>0</v>
      </c>
      <c r="V29" s="48">
        <f t="shared" si="3"/>
        <v>0</v>
      </c>
      <c r="W29" s="48">
        <f t="shared" si="3"/>
        <v>0</v>
      </c>
      <c r="X29" s="48">
        <f t="shared" si="3"/>
        <v>0</v>
      </c>
      <c r="Y29" s="48">
        <f t="shared" si="3"/>
        <v>0</v>
      </c>
    </row>
    <row r="30" spans="1:26" x14ac:dyDescent="0.3">
      <c r="A30" s="47">
        <f>+A29+1</f>
        <v>3</v>
      </c>
      <c r="B30" s="8" t="s">
        <v>69</v>
      </c>
      <c r="D30" s="9"/>
      <c r="E30" s="48">
        <f t="shared" ref="E30:Y30" si="4">E76*$F18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  <c r="N30" s="48">
        <f t="shared" si="4"/>
        <v>0</v>
      </c>
      <c r="O30" s="48">
        <f t="shared" si="4"/>
        <v>0</v>
      </c>
      <c r="P30" s="48">
        <f t="shared" si="4"/>
        <v>0</v>
      </c>
      <c r="Q30" s="48">
        <f t="shared" si="4"/>
        <v>0</v>
      </c>
      <c r="R30" s="48">
        <f t="shared" si="4"/>
        <v>0</v>
      </c>
      <c r="S30" s="48">
        <f t="shared" si="4"/>
        <v>0</v>
      </c>
      <c r="T30" s="48">
        <f t="shared" si="4"/>
        <v>0</v>
      </c>
      <c r="U30" s="48">
        <f t="shared" si="4"/>
        <v>0</v>
      </c>
      <c r="V30" s="48">
        <f t="shared" si="4"/>
        <v>0</v>
      </c>
      <c r="W30" s="48">
        <f t="shared" si="4"/>
        <v>0</v>
      </c>
      <c r="X30" s="48">
        <f t="shared" si="4"/>
        <v>0</v>
      </c>
      <c r="Y30" s="48">
        <f t="shared" si="4"/>
        <v>0</v>
      </c>
    </row>
    <row r="31" spans="1:26" x14ac:dyDescent="0.3">
      <c r="D31" s="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6" x14ac:dyDescent="0.3">
      <c r="B32" s="8" t="s">
        <v>70</v>
      </c>
      <c r="D32" s="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25" x14ac:dyDescent="0.3">
      <c r="A33" s="47">
        <f>+A30+1</f>
        <v>4</v>
      </c>
      <c r="C33" s="8" t="s">
        <v>71</v>
      </c>
      <c r="D33" s="9"/>
      <c r="E33" s="48">
        <f>E61</f>
        <v>0</v>
      </c>
      <c r="F33" s="48">
        <f>F61</f>
        <v>0</v>
      </c>
      <c r="G33" s="48">
        <f>G61</f>
        <v>0</v>
      </c>
      <c r="H33" s="48">
        <f t="shared" ref="H33:Y33" si="5">H61</f>
        <v>0</v>
      </c>
      <c r="I33" s="48">
        <f t="shared" si="5"/>
        <v>0</v>
      </c>
      <c r="J33" s="48">
        <f t="shared" si="5"/>
        <v>0</v>
      </c>
      <c r="K33" s="48">
        <f t="shared" si="5"/>
        <v>0</v>
      </c>
      <c r="L33" s="48">
        <f t="shared" si="5"/>
        <v>0</v>
      </c>
      <c r="M33" s="48">
        <f t="shared" si="5"/>
        <v>0</v>
      </c>
      <c r="N33" s="48">
        <f t="shared" si="5"/>
        <v>0</v>
      </c>
      <c r="O33" s="48">
        <f t="shared" si="5"/>
        <v>0</v>
      </c>
      <c r="P33" s="48">
        <f t="shared" si="5"/>
        <v>0</v>
      </c>
      <c r="Q33" s="48">
        <f t="shared" si="5"/>
        <v>0</v>
      </c>
      <c r="R33" s="48">
        <f t="shared" si="5"/>
        <v>0</v>
      </c>
      <c r="S33" s="48">
        <f t="shared" si="5"/>
        <v>0</v>
      </c>
      <c r="T33" s="48">
        <f t="shared" si="5"/>
        <v>0</v>
      </c>
      <c r="U33" s="48">
        <f t="shared" si="5"/>
        <v>0</v>
      </c>
      <c r="V33" s="48">
        <f t="shared" si="5"/>
        <v>0</v>
      </c>
      <c r="W33" s="48">
        <f t="shared" si="5"/>
        <v>0</v>
      </c>
      <c r="X33" s="48">
        <f t="shared" si="5"/>
        <v>0</v>
      </c>
      <c r="Y33" s="48">
        <f t="shared" si="5"/>
        <v>0</v>
      </c>
    </row>
    <row r="34" spans="1:25" x14ac:dyDescent="0.3">
      <c r="A34" s="47">
        <f>+A33+1</f>
        <v>5</v>
      </c>
      <c r="C34" s="8" t="s">
        <v>72</v>
      </c>
      <c r="D34" s="9"/>
      <c r="E34" s="49">
        <f>E63</f>
        <v>5.0077217976482942</v>
      </c>
      <c r="F34" s="49">
        <f>F63</f>
        <v>4.755932428690631</v>
      </c>
      <c r="G34" s="49">
        <f>G63</f>
        <v>4.4883943414770293</v>
      </c>
      <c r="H34" s="49">
        <f t="shared" ref="H34:Y34" si="6">H63</f>
        <v>4.226462733396561</v>
      </c>
      <c r="I34" s="49">
        <f t="shared" si="6"/>
        <v>3.9697179255889763</v>
      </c>
      <c r="J34" s="49">
        <f t="shared" si="6"/>
        <v>3.71777252218327</v>
      </c>
      <c r="K34" s="49">
        <f t="shared" si="6"/>
        <v>3.4702660297994803</v>
      </c>
      <c r="L34" s="49">
        <f t="shared" si="6"/>
        <v>3.2268648575486876</v>
      </c>
      <c r="M34" s="49">
        <f t="shared" si="6"/>
        <v>2.985755777534667</v>
      </c>
      <c r="N34" s="49">
        <f t="shared" si="6"/>
        <v>2.7449749079113577</v>
      </c>
      <c r="O34" s="49">
        <f t="shared" si="6"/>
        <v>2.5041940382880483</v>
      </c>
      <c r="P34" s="49">
        <f t="shared" si="6"/>
        <v>2.2634131686647385</v>
      </c>
      <c r="Q34" s="49">
        <f t="shared" si="6"/>
        <v>2.0226322990414287</v>
      </c>
      <c r="R34" s="49">
        <f t="shared" si="6"/>
        <v>1.7818514294181194</v>
      </c>
      <c r="S34" s="49">
        <f t="shared" si="6"/>
        <v>1.5410705597948093</v>
      </c>
      <c r="T34" s="49">
        <f t="shared" si="6"/>
        <v>1.3002896901715</v>
      </c>
      <c r="U34" s="49">
        <f t="shared" si="6"/>
        <v>1.0595088205481904</v>
      </c>
      <c r="V34" s="49">
        <f t="shared" si="6"/>
        <v>0.81872795092488071</v>
      </c>
      <c r="W34" s="49">
        <f t="shared" si="6"/>
        <v>0.57794708130157102</v>
      </c>
      <c r="X34" s="49">
        <f t="shared" si="6"/>
        <v>0.33716621167826122</v>
      </c>
      <c r="Y34" s="49">
        <f t="shared" si="6"/>
        <v>0.10838923355785605</v>
      </c>
    </row>
    <row r="35" spans="1:25" x14ac:dyDescent="0.3">
      <c r="A35" s="47">
        <f>+A34+1</f>
        <v>6</v>
      </c>
      <c r="C35" s="8" t="s">
        <v>73</v>
      </c>
      <c r="D35" s="9"/>
      <c r="E35" s="48">
        <f>E33+E34</f>
        <v>5.0077217976482942</v>
      </c>
      <c r="F35" s="48">
        <f>F33+F34</f>
        <v>4.755932428690631</v>
      </c>
      <c r="G35" s="48">
        <f>G33+G34</f>
        <v>4.4883943414770293</v>
      </c>
      <c r="H35" s="48">
        <f t="shared" ref="H35:Y35" si="7">H33+H34</f>
        <v>4.226462733396561</v>
      </c>
      <c r="I35" s="48">
        <f t="shared" si="7"/>
        <v>3.9697179255889763</v>
      </c>
      <c r="J35" s="48">
        <f t="shared" si="7"/>
        <v>3.71777252218327</v>
      </c>
      <c r="K35" s="48">
        <f t="shared" si="7"/>
        <v>3.4702660297994803</v>
      </c>
      <c r="L35" s="48">
        <f t="shared" si="7"/>
        <v>3.2268648575486876</v>
      </c>
      <c r="M35" s="48">
        <f t="shared" si="7"/>
        <v>2.985755777534667</v>
      </c>
      <c r="N35" s="48">
        <f t="shared" si="7"/>
        <v>2.7449749079113577</v>
      </c>
      <c r="O35" s="48">
        <f t="shared" si="7"/>
        <v>2.5041940382880483</v>
      </c>
      <c r="P35" s="48">
        <f t="shared" si="7"/>
        <v>2.2634131686647385</v>
      </c>
      <c r="Q35" s="48">
        <f t="shared" si="7"/>
        <v>2.0226322990414287</v>
      </c>
      <c r="R35" s="48">
        <f t="shared" si="7"/>
        <v>1.7818514294181194</v>
      </c>
      <c r="S35" s="48">
        <f t="shared" si="7"/>
        <v>1.5410705597948093</v>
      </c>
      <c r="T35" s="48">
        <f t="shared" si="7"/>
        <v>1.3002896901715</v>
      </c>
      <c r="U35" s="48">
        <f t="shared" si="7"/>
        <v>1.0595088205481904</v>
      </c>
      <c r="V35" s="48">
        <f t="shared" si="7"/>
        <v>0.81872795092488071</v>
      </c>
      <c r="W35" s="48">
        <f t="shared" si="7"/>
        <v>0.57794708130157102</v>
      </c>
      <c r="X35" s="48">
        <f t="shared" si="7"/>
        <v>0.33716621167826122</v>
      </c>
      <c r="Y35" s="48">
        <f t="shared" si="7"/>
        <v>0.10838923355785605</v>
      </c>
    </row>
    <row r="36" spans="1:25" x14ac:dyDescent="0.3">
      <c r="D36" s="9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25" x14ac:dyDescent="0.3">
      <c r="B37" s="8" t="s">
        <v>74</v>
      </c>
      <c r="D37" s="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 x14ac:dyDescent="0.3">
      <c r="A38" s="47">
        <f>+A35+1</f>
        <v>7</v>
      </c>
      <c r="C38" s="8" t="s">
        <v>179</v>
      </c>
      <c r="D38" s="9"/>
      <c r="E38" s="48">
        <f t="shared" ref="E38:Y38" si="8">E57*$F9</f>
        <v>0.61535640504356082</v>
      </c>
      <c r="F38" s="48">
        <f t="shared" si="8"/>
        <v>0.5844161477427785</v>
      </c>
      <c r="G38" s="48">
        <f t="shared" si="8"/>
        <v>0.55154066419708581</v>
      </c>
      <c r="H38" s="48">
        <f t="shared" si="8"/>
        <v>0.51935411326061631</v>
      </c>
      <c r="I38" s="48">
        <f t="shared" si="8"/>
        <v>0.48780492416223836</v>
      </c>
      <c r="J38" s="48">
        <f t="shared" si="8"/>
        <v>0.45684549311321471</v>
      </c>
      <c r="K38" s="48">
        <f t="shared" si="8"/>
        <v>0.42643152214347052</v>
      </c>
      <c r="L38" s="48">
        <f t="shared" si="8"/>
        <v>0.3965220191015934</v>
      </c>
      <c r="M38" s="48">
        <f t="shared" si="8"/>
        <v>0.36689417180974421</v>
      </c>
      <c r="N38" s="48">
        <f t="shared" si="8"/>
        <v>0.33730665550557509</v>
      </c>
      <c r="O38" s="48">
        <f t="shared" si="8"/>
        <v>0.30771913920140592</v>
      </c>
      <c r="P38" s="48">
        <f t="shared" si="8"/>
        <v>0.27813162289723681</v>
      </c>
      <c r="Q38" s="48">
        <f t="shared" si="8"/>
        <v>0.24854410659306767</v>
      </c>
      <c r="R38" s="48">
        <f t="shared" si="8"/>
        <v>0.21895659028889852</v>
      </c>
      <c r="S38" s="48">
        <f t="shared" si="8"/>
        <v>0.18936907398472938</v>
      </c>
      <c r="T38" s="48">
        <f t="shared" si="8"/>
        <v>0.15978155768056024</v>
      </c>
      <c r="U38" s="48">
        <f t="shared" si="8"/>
        <v>0.1301940413763911</v>
      </c>
      <c r="V38" s="48">
        <f t="shared" si="8"/>
        <v>0.10060652507222194</v>
      </c>
      <c r="W38" s="48">
        <f t="shared" si="8"/>
        <v>7.1019008768052783E-2</v>
      </c>
      <c r="X38" s="48">
        <f t="shared" si="8"/>
        <v>4.1431492463883626E-2</v>
      </c>
      <c r="Y38" s="48">
        <f t="shared" si="8"/>
        <v>1.3319032446832735E-2</v>
      </c>
    </row>
    <row r="39" spans="1:25" x14ac:dyDescent="0.3">
      <c r="A39" s="47">
        <f>+A38+1</f>
        <v>8</v>
      </c>
      <c r="C39" s="8" t="s">
        <v>178</v>
      </c>
      <c r="D39" s="9"/>
      <c r="E39" s="48">
        <f t="shared" ref="E39:Y39" si="9">E57*$F10</f>
        <v>6.9645831432368377</v>
      </c>
      <c r="F39" s="48">
        <f t="shared" si="9"/>
        <v>6.6144023493452311</v>
      </c>
      <c r="G39" s="48">
        <f t="shared" si="9"/>
        <v>6.2423187297526423</v>
      </c>
      <c r="H39" s="48">
        <f t="shared" si="9"/>
        <v>5.8780324263132551</v>
      </c>
      <c r="I39" s="48">
        <f t="shared" si="9"/>
        <v>5.5209597627699214</v>
      </c>
      <c r="J39" s="48">
        <f t="shared" si="9"/>
        <v>5.1705619610391187</v>
      </c>
      <c r="K39" s="48">
        <f t="shared" si="9"/>
        <v>4.8263376581820125</v>
      </c>
      <c r="L39" s="48">
        <f t="shared" si="9"/>
        <v>4.4878229064044595</v>
      </c>
      <c r="M39" s="48">
        <f t="shared" si="9"/>
        <v>4.1524959249544153</v>
      </c>
      <c r="N39" s="48">
        <f t="shared" si="9"/>
        <v>3.8176254082695777</v>
      </c>
      <c r="O39" s="48">
        <f t="shared" si="9"/>
        <v>3.4827548915847397</v>
      </c>
      <c r="P39" s="48">
        <f t="shared" si="9"/>
        <v>3.1478843748999021</v>
      </c>
      <c r="Q39" s="48">
        <f t="shared" si="9"/>
        <v>2.8130138582150641</v>
      </c>
      <c r="R39" s="48">
        <f t="shared" si="9"/>
        <v>2.4781433415302265</v>
      </c>
      <c r="S39" s="48">
        <f t="shared" si="9"/>
        <v>2.1432728248453885</v>
      </c>
      <c r="T39" s="48">
        <f t="shared" si="9"/>
        <v>1.8084023081605509</v>
      </c>
      <c r="U39" s="48">
        <f t="shared" si="9"/>
        <v>1.4735317914757131</v>
      </c>
      <c r="V39" s="48">
        <f t="shared" si="9"/>
        <v>1.1386612747908753</v>
      </c>
      <c r="W39" s="48">
        <f t="shared" si="9"/>
        <v>0.80379075810603751</v>
      </c>
      <c r="X39" s="48">
        <f t="shared" si="9"/>
        <v>0.46892024142119954</v>
      </c>
      <c r="Y39" s="48">
        <f t="shared" si="9"/>
        <v>0.15074436229662583</v>
      </c>
    </row>
    <row r="40" spans="1:25" x14ac:dyDescent="0.3">
      <c r="A40" s="47">
        <f>+A39+1</f>
        <v>9</v>
      </c>
      <c r="C40" s="8" t="s">
        <v>36</v>
      </c>
      <c r="D40" s="9"/>
      <c r="E40" s="49">
        <f t="shared" ref="E40:Y40" si="10">E57*$F11</f>
        <v>11.873989333630556</v>
      </c>
      <c r="F40" s="49">
        <f t="shared" si="10"/>
        <v>11.276962501443334</v>
      </c>
      <c r="G40" s="49">
        <f t="shared" si="10"/>
        <v>10.64259331675618</v>
      </c>
      <c r="H40" s="49">
        <f t="shared" si="10"/>
        <v>10.021517856464286</v>
      </c>
      <c r="I40" s="49">
        <f t="shared" si="10"/>
        <v>9.4127410049219424</v>
      </c>
      <c r="J40" s="49">
        <f t="shared" si="10"/>
        <v>8.8153441938408026</v>
      </c>
      <c r="K40" s="49">
        <f t="shared" si="10"/>
        <v>8.2284726443969856</v>
      </c>
      <c r="L40" s="49">
        <f t="shared" si="10"/>
        <v>7.6513353672310815</v>
      </c>
      <c r="M40" s="49">
        <f t="shared" si="10"/>
        <v>7.0796329524379047</v>
      </c>
      <c r="N40" s="49">
        <f t="shared" si="10"/>
        <v>6.5087087691112444</v>
      </c>
      <c r="O40" s="49">
        <f t="shared" si="10"/>
        <v>5.9377845857845841</v>
      </c>
      <c r="P40" s="49">
        <f t="shared" si="10"/>
        <v>5.3668604024579238</v>
      </c>
      <c r="Q40" s="49">
        <f t="shared" si="10"/>
        <v>4.7959362191312636</v>
      </c>
      <c r="R40" s="49">
        <f t="shared" si="10"/>
        <v>4.2250120358046033</v>
      </c>
      <c r="S40" s="49">
        <f t="shared" si="10"/>
        <v>3.6540878524779425</v>
      </c>
      <c r="T40" s="49">
        <f t="shared" si="10"/>
        <v>3.0831636691512823</v>
      </c>
      <c r="U40" s="49">
        <f t="shared" si="10"/>
        <v>2.512239485824622</v>
      </c>
      <c r="V40" s="49">
        <f t="shared" si="10"/>
        <v>1.9413153024979617</v>
      </c>
      <c r="W40" s="49">
        <f t="shared" si="10"/>
        <v>1.370391119171301</v>
      </c>
      <c r="X40" s="49">
        <f t="shared" si="10"/>
        <v>0.79946693584464035</v>
      </c>
      <c r="Y40" s="49">
        <f t="shared" si="10"/>
        <v>0.2570056115638803</v>
      </c>
    </row>
    <row r="41" spans="1:25" x14ac:dyDescent="0.3">
      <c r="A41" s="47">
        <f>+A40+1</f>
        <v>10</v>
      </c>
      <c r="C41" s="8" t="s">
        <v>75</v>
      </c>
      <c r="D41" s="9"/>
      <c r="E41" s="48">
        <f t="shared" ref="E41:Y41" si="11">E38+E39+E40</f>
        <v>19.453928881910954</v>
      </c>
      <c r="F41" s="48">
        <f t="shared" si="11"/>
        <v>18.475780998531341</v>
      </c>
      <c r="G41" s="48">
        <f t="shared" si="11"/>
        <v>17.436452710705908</v>
      </c>
      <c r="H41" s="48">
        <f t="shared" si="11"/>
        <v>16.418904396038158</v>
      </c>
      <c r="I41" s="48">
        <f t="shared" si="11"/>
        <v>15.421505691854101</v>
      </c>
      <c r="J41" s="48">
        <f t="shared" si="11"/>
        <v>14.442751647993136</v>
      </c>
      <c r="K41" s="48">
        <f t="shared" si="11"/>
        <v>13.481241824722469</v>
      </c>
      <c r="L41" s="48">
        <f t="shared" si="11"/>
        <v>12.535680292737133</v>
      </c>
      <c r="M41" s="48">
        <f t="shared" si="11"/>
        <v>11.599023049202064</v>
      </c>
      <c r="N41" s="48">
        <f t="shared" si="11"/>
        <v>10.663640832886397</v>
      </c>
      <c r="O41" s="48">
        <f t="shared" si="11"/>
        <v>9.7282586165707308</v>
      </c>
      <c r="P41" s="48">
        <f t="shared" si="11"/>
        <v>8.7928764002550626</v>
      </c>
      <c r="Q41" s="48">
        <f t="shared" si="11"/>
        <v>7.8574941839393952</v>
      </c>
      <c r="R41" s="48">
        <f t="shared" si="11"/>
        <v>6.9221119676237279</v>
      </c>
      <c r="S41" s="48">
        <f t="shared" si="11"/>
        <v>5.9867297513080606</v>
      </c>
      <c r="T41" s="48">
        <f t="shared" si="11"/>
        <v>5.0513475349923933</v>
      </c>
      <c r="U41" s="48">
        <f t="shared" si="11"/>
        <v>4.115965318676726</v>
      </c>
      <c r="V41" s="48">
        <f t="shared" si="11"/>
        <v>3.1805831023610587</v>
      </c>
      <c r="W41" s="48">
        <f t="shared" si="11"/>
        <v>2.2452008860453914</v>
      </c>
      <c r="X41" s="48">
        <f t="shared" si="11"/>
        <v>1.3098186697297236</v>
      </c>
      <c r="Y41" s="48">
        <f t="shared" si="11"/>
        <v>0.4210690063073389</v>
      </c>
    </row>
    <row r="42" spans="1:25" x14ac:dyDescent="0.3">
      <c r="D42" s="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x14ac:dyDescent="0.3">
      <c r="A43" s="47">
        <f>+A41+1</f>
        <v>11</v>
      </c>
      <c r="B43" s="8" t="s">
        <v>76</v>
      </c>
      <c r="D43" s="165">
        <f>-F23</f>
        <v>-237.09250000000003</v>
      </c>
      <c r="E43" s="50">
        <f t="shared" ref="E43:Y43" si="12">E28+E30+E35+E41+E29</f>
        <v>35.751769727178299</v>
      </c>
      <c r="F43" s="50">
        <f t="shared" si="12"/>
        <v>34.52183247484102</v>
      </c>
      <c r="G43" s="50">
        <f t="shared" si="12"/>
        <v>33.214966099801984</v>
      </c>
      <c r="H43" s="50">
        <f t="shared" si="12"/>
        <v>31.935486177053768</v>
      </c>
      <c r="I43" s="50">
        <f t="shared" si="12"/>
        <v>30.681342665062125</v>
      </c>
      <c r="J43" s="50">
        <f t="shared" si="12"/>
        <v>29.450643217795452</v>
      </c>
      <c r="K43" s="50">
        <f t="shared" si="12"/>
        <v>28.241626902141</v>
      </c>
      <c r="L43" s="50">
        <f t="shared" si="12"/>
        <v>27.052664197904868</v>
      </c>
      <c r="M43" s="50">
        <f t="shared" si="12"/>
        <v>25.874897874355781</v>
      </c>
      <c r="N43" s="50">
        <f t="shared" si="12"/>
        <v>24.698734788416804</v>
      </c>
      <c r="O43" s="50">
        <f t="shared" si="12"/>
        <v>23.522571702477826</v>
      </c>
      <c r="P43" s="50">
        <f t="shared" si="12"/>
        <v>22.346408616538852</v>
      </c>
      <c r="Q43" s="50">
        <f t="shared" si="12"/>
        <v>21.170245530599871</v>
      </c>
      <c r="R43" s="50">
        <f t="shared" si="12"/>
        <v>19.994082444660897</v>
      </c>
      <c r="S43" s="50">
        <f t="shared" si="12"/>
        <v>18.81791935872192</v>
      </c>
      <c r="T43" s="50">
        <f t="shared" si="12"/>
        <v>17.641756272782942</v>
      </c>
      <c r="U43" s="50">
        <f t="shared" si="12"/>
        <v>16.465593186843964</v>
      </c>
      <c r="V43" s="50">
        <f t="shared" si="12"/>
        <v>15.289430100904989</v>
      </c>
      <c r="W43" s="50">
        <f t="shared" si="12"/>
        <v>14.113267014966013</v>
      </c>
      <c r="X43" s="50">
        <f t="shared" si="12"/>
        <v>12.937103929027034</v>
      </c>
      <c r="Y43" s="50">
        <f t="shared" si="12"/>
        <v>11.819577287484245</v>
      </c>
    </row>
    <row r="44" spans="1:25" x14ac:dyDescent="0.3">
      <c r="A44" s="47">
        <f>+A43+1</f>
        <v>12</v>
      </c>
      <c r="B44" s="8" t="s">
        <v>77</v>
      </c>
      <c r="D44" s="9"/>
      <c r="E44" s="49">
        <f t="shared" ref="E44:Y44" si="13">E43/(1-$F16)-E43</f>
        <v>1.634528979453961</v>
      </c>
      <c r="F44" s="49">
        <f t="shared" si="13"/>
        <v>1.5782976908437334</v>
      </c>
      <c r="G44" s="49">
        <f t="shared" si="13"/>
        <v>1.5185492929720823</v>
      </c>
      <c r="H44" s="49">
        <f t="shared" si="13"/>
        <v>1.460052971578186</v>
      </c>
      <c r="I44" s="49">
        <f t="shared" si="13"/>
        <v>1.4027150011675644</v>
      </c>
      <c r="J44" s="49">
        <f t="shared" si="13"/>
        <v>1.3464488658991272</v>
      </c>
      <c r="K44" s="49">
        <f t="shared" si="13"/>
        <v>1.2911740579763276</v>
      </c>
      <c r="L44" s="49">
        <f t="shared" si="13"/>
        <v>1.2368160776471342</v>
      </c>
      <c r="M44" s="49">
        <f t="shared" si="13"/>
        <v>1.1829699827109579</v>
      </c>
      <c r="N44" s="49">
        <f t="shared" si="13"/>
        <v>1.1291971859179135</v>
      </c>
      <c r="O44" s="49">
        <f t="shared" si="13"/>
        <v>1.0754243891248692</v>
      </c>
      <c r="P44" s="49">
        <f t="shared" si="13"/>
        <v>1.0216515923318248</v>
      </c>
      <c r="Q44" s="49">
        <f t="shared" si="13"/>
        <v>0.96787879553878042</v>
      </c>
      <c r="R44" s="49">
        <f t="shared" si="13"/>
        <v>0.91410599874573606</v>
      </c>
      <c r="S44" s="49">
        <f t="shared" si="13"/>
        <v>0.86033320195269525</v>
      </c>
      <c r="T44" s="49">
        <f t="shared" si="13"/>
        <v>0.80656040515965088</v>
      </c>
      <c r="U44" s="49">
        <f t="shared" si="13"/>
        <v>0.75278760836660652</v>
      </c>
      <c r="V44" s="49">
        <f t="shared" si="13"/>
        <v>0.69901481157356216</v>
      </c>
      <c r="W44" s="49">
        <f t="shared" si="13"/>
        <v>0.64524201478051779</v>
      </c>
      <c r="X44" s="49">
        <f t="shared" si="13"/>
        <v>0.59146921798747343</v>
      </c>
      <c r="Y44" s="49">
        <f t="shared" si="13"/>
        <v>0.54037721065881428</v>
      </c>
    </row>
    <row r="45" spans="1:25" x14ac:dyDescent="0.3">
      <c r="D45" s="9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thickBot="1" x14ac:dyDescent="0.35">
      <c r="A46" s="47">
        <f>+A44+1</f>
        <v>13</v>
      </c>
      <c r="B46" s="8" t="s">
        <v>78</v>
      </c>
      <c r="D46" s="97"/>
      <c r="E46" s="51">
        <f>E43+E44</f>
        <v>37.38629870663226</v>
      </c>
      <c r="F46" s="51">
        <f>F43+F44</f>
        <v>36.100130165684753</v>
      </c>
      <c r="G46" s="51">
        <f>G43+G44</f>
        <v>34.733515392774066</v>
      </c>
      <c r="H46" s="51">
        <f t="shared" ref="H46:Y46" si="14">H43+H44</f>
        <v>33.395539148631954</v>
      </c>
      <c r="I46" s="51">
        <f t="shared" si="14"/>
        <v>32.08405766622969</v>
      </c>
      <c r="J46" s="51">
        <f t="shared" si="14"/>
        <v>30.797092083694579</v>
      </c>
      <c r="K46" s="51">
        <f t="shared" si="14"/>
        <v>29.532800960117328</v>
      </c>
      <c r="L46" s="51">
        <f t="shared" si="14"/>
        <v>28.289480275552002</v>
      </c>
      <c r="M46" s="51">
        <f t="shared" si="14"/>
        <v>27.057867857066739</v>
      </c>
      <c r="N46" s="51">
        <f t="shared" si="14"/>
        <v>25.827931974334717</v>
      </c>
      <c r="O46" s="51">
        <f t="shared" si="14"/>
        <v>24.597996091602695</v>
      </c>
      <c r="P46" s="51">
        <f t="shared" si="14"/>
        <v>23.368060208870677</v>
      </c>
      <c r="Q46" s="51">
        <f t="shared" si="14"/>
        <v>22.138124326138652</v>
      </c>
      <c r="R46" s="51">
        <f t="shared" si="14"/>
        <v>20.908188443406633</v>
      </c>
      <c r="S46" s="51">
        <f t="shared" si="14"/>
        <v>19.678252560674615</v>
      </c>
      <c r="T46" s="51">
        <f t="shared" si="14"/>
        <v>18.448316677942593</v>
      </c>
      <c r="U46" s="51">
        <f t="shared" si="14"/>
        <v>17.218380795210571</v>
      </c>
      <c r="V46" s="51">
        <f t="shared" si="14"/>
        <v>15.988444912478551</v>
      </c>
      <c r="W46" s="51">
        <f t="shared" si="14"/>
        <v>14.758509029746531</v>
      </c>
      <c r="X46" s="51">
        <f t="shared" si="14"/>
        <v>13.528573147014507</v>
      </c>
      <c r="Y46" s="51">
        <f t="shared" si="14"/>
        <v>12.359954498143059</v>
      </c>
    </row>
    <row r="47" spans="1:25" ht="15" thickTop="1" x14ac:dyDescent="0.3">
      <c r="A47" s="47"/>
      <c r="C47" s="8" t="s">
        <v>79</v>
      </c>
      <c r="D47" s="52">
        <f>NPV(F12,E46:Y46)</f>
        <v>274.13837810448535</v>
      </c>
      <c r="E47" s="53">
        <f>NPV(F12,D43:Y43)</f>
        <v>23.119398480727149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47"/>
      <c r="C48" s="8" t="s">
        <v>80</v>
      </c>
      <c r="D48" s="52">
        <f>PMT(F12,21,D47)</f>
        <v>-28.205694736806791</v>
      </c>
      <c r="E48" s="53">
        <f>SUM(E28:E30,E41,E44)</f>
        <v>32.378576908983966</v>
      </c>
      <c r="F48" s="53">
        <f t="shared" ref="F48:Y48" si="15">SUM(F28:F30,F41,F44)</f>
        <v>31.344197736994126</v>
      </c>
      <c r="G48" s="53">
        <f t="shared" si="15"/>
        <v>30.245121051297041</v>
      </c>
      <c r="H48" s="53">
        <f t="shared" si="15"/>
        <v>29.169076415235395</v>
      </c>
      <c r="I48" s="53">
        <f t="shared" si="15"/>
        <v>28.114339740640716</v>
      </c>
      <c r="J48" s="53">
        <f t="shared" si="15"/>
        <v>27.079319561511312</v>
      </c>
      <c r="K48" s="53">
        <f t="shared" si="15"/>
        <v>26.062534930317845</v>
      </c>
      <c r="L48" s="53">
        <f t="shared" si="15"/>
        <v>25.062615418003318</v>
      </c>
      <c r="M48" s="53">
        <f t="shared" si="15"/>
        <v>24.072112079532069</v>
      </c>
      <c r="N48" s="53">
        <f t="shared" si="15"/>
        <v>23.082957066423358</v>
      </c>
      <c r="O48" s="53">
        <f t="shared" si="15"/>
        <v>22.093802053314647</v>
      </c>
      <c r="P48" s="53">
        <f t="shared" si="15"/>
        <v>21.104647040205936</v>
      </c>
      <c r="Q48" s="53">
        <f t="shared" si="15"/>
        <v>20.115492027097226</v>
      </c>
      <c r="R48" s="53">
        <f t="shared" si="15"/>
        <v>19.126337013988515</v>
      </c>
      <c r="S48" s="53">
        <f t="shared" si="15"/>
        <v>18.137182000879804</v>
      </c>
      <c r="T48" s="53">
        <f t="shared" si="15"/>
        <v>17.148026987771093</v>
      </c>
      <c r="U48" s="53">
        <f t="shared" si="15"/>
        <v>16.158871974662382</v>
      </c>
      <c r="V48" s="53">
        <f t="shared" si="15"/>
        <v>15.16971696155367</v>
      </c>
      <c r="W48" s="53">
        <f t="shared" si="15"/>
        <v>14.180561948444957</v>
      </c>
      <c r="X48" s="53">
        <f t="shared" si="15"/>
        <v>13.191406935336246</v>
      </c>
      <c r="Y48" s="53">
        <f t="shared" si="15"/>
        <v>12.251565264585203</v>
      </c>
    </row>
    <row r="49" spans="1:25" x14ac:dyDescent="0.3">
      <c r="A49" s="47"/>
      <c r="C49" s="8" t="s">
        <v>81</v>
      </c>
      <c r="D49" s="54">
        <f>D48/12</f>
        <v>-2.3504745614005658</v>
      </c>
      <c r="E49" s="53">
        <f>NPV(F12,E48:Y48)</f>
        <v>242.93507085997706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3">
      <c r="A50" s="47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3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3"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x14ac:dyDescent="0.3">
      <c r="A53" s="47">
        <f>+A46+1</f>
        <v>14</v>
      </c>
      <c r="B53" s="8" t="s">
        <v>82</v>
      </c>
      <c r="C53" s="10"/>
      <c r="E53" s="43">
        <f>+E46/$F$23</f>
        <v>0.15768655147941102</v>
      </c>
      <c r="F53" s="43">
        <f t="shared" ref="F53:Y53" si="16">+F46/$F$23</f>
        <v>0.15226179725501543</v>
      </c>
      <c r="G53" s="43">
        <f t="shared" si="16"/>
        <v>0.14649773988116058</v>
      </c>
      <c r="H53" s="43">
        <f t="shared" si="16"/>
        <v>0.14085447303745141</v>
      </c>
      <c r="I53" s="43">
        <f t="shared" si="16"/>
        <v>0.13532295482239923</v>
      </c>
      <c r="J53" s="43">
        <f t="shared" si="16"/>
        <v>0.12989483886539885</v>
      </c>
      <c r="K53" s="43">
        <f t="shared" si="16"/>
        <v>0.12456235840491506</v>
      </c>
      <c r="L53" s="43">
        <f t="shared" si="16"/>
        <v>0.11931832628848234</v>
      </c>
      <c r="M53" s="43">
        <f t="shared" si="16"/>
        <v>0.11412367686479638</v>
      </c>
      <c r="N53" s="43">
        <f t="shared" si="16"/>
        <v>0.10893609867176192</v>
      </c>
      <c r="O53" s="43">
        <f t="shared" si="16"/>
        <v>0.10374852047872747</v>
      </c>
      <c r="P53" s="43">
        <f t="shared" si="16"/>
        <v>9.8560942285693023E-2</v>
      </c>
      <c r="Q53" s="43">
        <f t="shared" si="16"/>
        <v>9.3373364092658562E-2</v>
      </c>
      <c r="R53" s="43">
        <f t="shared" si="16"/>
        <v>8.8185785899624114E-2</v>
      </c>
      <c r="S53" s="43">
        <f t="shared" si="16"/>
        <v>8.299820770658968E-2</v>
      </c>
      <c r="T53" s="43">
        <f t="shared" si="16"/>
        <v>7.7810629513555218E-2</v>
      </c>
      <c r="U53" s="43">
        <f t="shared" si="16"/>
        <v>7.2623051320520757E-2</v>
      </c>
      <c r="V53" s="43">
        <f t="shared" si="16"/>
        <v>6.7435473127486309E-2</v>
      </c>
      <c r="W53" s="43">
        <f t="shared" si="16"/>
        <v>6.2247894934451868E-2</v>
      </c>
      <c r="X53" s="43">
        <f t="shared" si="16"/>
        <v>5.70603167414174E-2</v>
      </c>
      <c r="Y53" s="43">
        <f t="shared" si="16"/>
        <v>5.2131360115326542E-2</v>
      </c>
    </row>
    <row r="54" spans="1:25" x14ac:dyDescent="0.3">
      <c r="A54" s="47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x14ac:dyDescent="0.3"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x14ac:dyDescent="0.3"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x14ac:dyDescent="0.3">
      <c r="A57" s="56" t="s">
        <v>83</v>
      </c>
      <c r="D57" s="9"/>
      <c r="E57" s="57">
        <f>F23-E28/2-E70/2</f>
        <v>231.6993512574405</v>
      </c>
      <c r="F57" s="57">
        <f t="shared" ref="F57:Y57" si="17">+E57-E28/2-F28/2-E70/2-F70/2</f>
        <v>220.04945619569645</v>
      </c>
      <c r="G57" s="57">
        <f t="shared" si="17"/>
        <v>207.67089289907742</v>
      </c>
      <c r="H57" s="57">
        <f t="shared" si="17"/>
        <v>195.55173250670836</v>
      </c>
      <c r="I57" s="57">
        <f t="shared" si="17"/>
        <v>183.67255714283931</v>
      </c>
      <c r="J57" s="57">
        <f t="shared" si="17"/>
        <v>172.01544261447026</v>
      </c>
      <c r="K57" s="57">
        <f t="shared" si="17"/>
        <v>160.56370946422621</v>
      </c>
      <c r="L57" s="57">
        <f t="shared" si="17"/>
        <v>149.30192297035717</v>
      </c>
      <c r="M57" s="57">
        <f t="shared" si="17"/>
        <v>138.14618795173814</v>
      </c>
      <c r="N57" s="57">
        <f t="shared" si="17"/>
        <v>127.0056387077441</v>
      </c>
      <c r="O57" s="57">
        <f t="shared" si="17"/>
        <v>115.86508946375005</v>
      </c>
      <c r="P57" s="57">
        <f t="shared" si="17"/>
        <v>104.72454021975601</v>
      </c>
      <c r="Q57" s="57">
        <f t="shared" si="17"/>
        <v>93.583990975761964</v>
      </c>
      <c r="R57" s="57">
        <f t="shared" si="17"/>
        <v>82.443441731767919</v>
      </c>
      <c r="S57" s="57">
        <f t="shared" si="17"/>
        <v>71.302892487773875</v>
      </c>
      <c r="T57" s="57">
        <f t="shared" si="17"/>
        <v>60.16234324377983</v>
      </c>
      <c r="U57" s="57">
        <f t="shared" si="17"/>
        <v>49.021793999785785</v>
      </c>
      <c r="V57" s="57">
        <f t="shared" si="17"/>
        <v>37.881244755791741</v>
      </c>
      <c r="W57" s="57">
        <f t="shared" si="17"/>
        <v>26.740695511797693</v>
      </c>
      <c r="X57" s="57">
        <f t="shared" si="17"/>
        <v>15.600146267803643</v>
      </c>
      <c r="Y57" s="57">
        <f t="shared" si="17"/>
        <v>5.0149980596845953</v>
      </c>
    </row>
    <row r="58" spans="1:25" x14ac:dyDescent="0.3">
      <c r="D58" s="9"/>
      <c r="E58" s="5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x14ac:dyDescent="0.3">
      <c r="A59" s="8" t="s">
        <v>84</v>
      </c>
      <c r="D59" s="9"/>
      <c r="E59" s="5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3">
      <c r="B60" s="8" t="s">
        <v>85</v>
      </c>
      <c r="D60" s="9"/>
      <c r="E60" s="48">
        <f t="shared" ref="E60:Y60" si="18">(E40+E39)/$E$86</f>
        <v>23.846294274515689</v>
      </c>
      <c r="F60" s="48">
        <f t="shared" si="18"/>
        <v>22.647297279479197</v>
      </c>
      <c r="G60" s="48">
        <f t="shared" si="18"/>
        <v>21.373306387985853</v>
      </c>
      <c r="H60" s="48">
        <f t="shared" si="18"/>
        <v>20.126013016174099</v>
      </c>
      <c r="I60" s="48">
        <f t="shared" si="18"/>
        <v>18.903418693280841</v>
      </c>
      <c r="J60" s="48">
        <f t="shared" si="18"/>
        <v>17.703678677063191</v>
      </c>
      <c r="K60" s="48">
        <f t="shared" si="18"/>
        <v>16.525076332378479</v>
      </c>
      <c r="L60" s="48">
        <f t="shared" si="18"/>
        <v>15.366023131184228</v>
      </c>
      <c r="M60" s="48">
        <f t="shared" si="18"/>
        <v>14.217884654926987</v>
      </c>
      <c r="N60" s="48">
        <f t="shared" si="18"/>
        <v>13.07130908529218</v>
      </c>
      <c r="O60" s="48">
        <f t="shared" si="18"/>
        <v>11.924733515657373</v>
      </c>
      <c r="P60" s="48">
        <f t="shared" si="18"/>
        <v>10.778157946022565</v>
      </c>
      <c r="Q60" s="48">
        <f t="shared" si="18"/>
        <v>9.6315823763877564</v>
      </c>
      <c r="R60" s="48">
        <f t="shared" si="18"/>
        <v>8.4850068067529492</v>
      </c>
      <c r="S60" s="48">
        <f t="shared" si="18"/>
        <v>7.3384312371181402</v>
      </c>
      <c r="T60" s="48">
        <f t="shared" si="18"/>
        <v>6.1918556674833329</v>
      </c>
      <c r="U60" s="48">
        <f t="shared" si="18"/>
        <v>5.0452800978485257</v>
      </c>
      <c r="V60" s="48">
        <f t="shared" si="18"/>
        <v>3.8987045282137176</v>
      </c>
      <c r="W60" s="48">
        <f t="shared" si="18"/>
        <v>2.7521289585789095</v>
      </c>
      <c r="X60" s="48">
        <f t="shared" si="18"/>
        <v>1.6055533889441012</v>
      </c>
      <c r="Y60" s="48">
        <f t="shared" si="18"/>
        <v>0.51613920741836217</v>
      </c>
    </row>
    <row r="61" spans="1:25" x14ac:dyDescent="0.3">
      <c r="B61" s="8" t="s">
        <v>86</v>
      </c>
      <c r="D61" s="9"/>
      <c r="E61" s="49">
        <f t="shared" ref="E61:Y61" si="19">E60*$F14</f>
        <v>0</v>
      </c>
      <c r="F61" s="49">
        <f t="shared" si="19"/>
        <v>0</v>
      </c>
      <c r="G61" s="49">
        <f t="shared" si="19"/>
        <v>0</v>
      </c>
      <c r="H61" s="49">
        <f t="shared" si="19"/>
        <v>0</v>
      </c>
      <c r="I61" s="49">
        <f t="shared" si="19"/>
        <v>0</v>
      </c>
      <c r="J61" s="49">
        <f t="shared" si="19"/>
        <v>0</v>
      </c>
      <c r="K61" s="49">
        <f t="shared" si="19"/>
        <v>0</v>
      </c>
      <c r="L61" s="49">
        <f t="shared" si="19"/>
        <v>0</v>
      </c>
      <c r="M61" s="49">
        <f t="shared" si="19"/>
        <v>0</v>
      </c>
      <c r="N61" s="49">
        <f t="shared" si="19"/>
        <v>0</v>
      </c>
      <c r="O61" s="49">
        <f t="shared" si="19"/>
        <v>0</v>
      </c>
      <c r="P61" s="49">
        <f t="shared" si="19"/>
        <v>0</v>
      </c>
      <c r="Q61" s="49">
        <f t="shared" si="19"/>
        <v>0</v>
      </c>
      <c r="R61" s="49">
        <f t="shared" si="19"/>
        <v>0</v>
      </c>
      <c r="S61" s="49">
        <f t="shared" si="19"/>
        <v>0</v>
      </c>
      <c r="T61" s="49">
        <f t="shared" si="19"/>
        <v>0</v>
      </c>
      <c r="U61" s="49">
        <f t="shared" si="19"/>
        <v>0</v>
      </c>
      <c r="V61" s="49">
        <f t="shared" si="19"/>
        <v>0</v>
      </c>
      <c r="W61" s="49">
        <f t="shared" si="19"/>
        <v>0</v>
      </c>
      <c r="X61" s="49">
        <f t="shared" si="19"/>
        <v>0</v>
      </c>
      <c r="Y61" s="49">
        <f t="shared" si="19"/>
        <v>0</v>
      </c>
    </row>
    <row r="62" spans="1:25" x14ac:dyDescent="0.3">
      <c r="B62" s="8" t="s">
        <v>87</v>
      </c>
      <c r="D62" s="9"/>
      <c r="E62" s="48">
        <f>E60-E61</f>
        <v>23.846294274515689</v>
      </c>
      <c r="F62" s="48">
        <f>F60-F61</f>
        <v>22.647297279479197</v>
      </c>
      <c r="G62" s="48">
        <f>G60-G61</f>
        <v>21.373306387985853</v>
      </c>
      <c r="H62" s="48">
        <f t="shared" ref="H62:Y62" si="20">H60-H61</f>
        <v>20.126013016174099</v>
      </c>
      <c r="I62" s="48">
        <f t="shared" si="20"/>
        <v>18.903418693280841</v>
      </c>
      <c r="J62" s="48">
        <f t="shared" si="20"/>
        <v>17.703678677063191</v>
      </c>
      <c r="K62" s="48">
        <f t="shared" si="20"/>
        <v>16.525076332378479</v>
      </c>
      <c r="L62" s="48">
        <f t="shared" si="20"/>
        <v>15.366023131184228</v>
      </c>
      <c r="M62" s="48">
        <f t="shared" si="20"/>
        <v>14.217884654926987</v>
      </c>
      <c r="N62" s="48">
        <f t="shared" si="20"/>
        <v>13.07130908529218</v>
      </c>
      <c r="O62" s="48">
        <f t="shared" si="20"/>
        <v>11.924733515657373</v>
      </c>
      <c r="P62" s="48">
        <f t="shared" si="20"/>
        <v>10.778157946022565</v>
      </c>
      <c r="Q62" s="48">
        <f t="shared" si="20"/>
        <v>9.6315823763877564</v>
      </c>
      <c r="R62" s="48">
        <f t="shared" si="20"/>
        <v>8.4850068067529492</v>
      </c>
      <c r="S62" s="48">
        <f t="shared" si="20"/>
        <v>7.3384312371181402</v>
      </c>
      <c r="T62" s="48">
        <f t="shared" si="20"/>
        <v>6.1918556674833329</v>
      </c>
      <c r="U62" s="48">
        <f t="shared" si="20"/>
        <v>5.0452800978485257</v>
      </c>
      <c r="V62" s="48">
        <f t="shared" si="20"/>
        <v>3.8987045282137176</v>
      </c>
      <c r="W62" s="48">
        <f t="shared" si="20"/>
        <v>2.7521289585789095</v>
      </c>
      <c r="X62" s="48">
        <f t="shared" si="20"/>
        <v>1.6055533889441012</v>
      </c>
      <c r="Y62" s="48">
        <f t="shared" si="20"/>
        <v>0.51613920741836217</v>
      </c>
    </row>
    <row r="63" spans="1:25" x14ac:dyDescent="0.3">
      <c r="B63" s="8" t="s">
        <v>88</v>
      </c>
      <c r="D63" s="9"/>
      <c r="E63" s="49">
        <f t="shared" ref="E63:Y63" si="21">E62*$F15</f>
        <v>5.0077217976482942</v>
      </c>
      <c r="F63" s="49">
        <f t="shared" si="21"/>
        <v>4.755932428690631</v>
      </c>
      <c r="G63" s="49">
        <f t="shared" si="21"/>
        <v>4.4883943414770293</v>
      </c>
      <c r="H63" s="49">
        <f t="shared" si="21"/>
        <v>4.226462733396561</v>
      </c>
      <c r="I63" s="49">
        <f t="shared" si="21"/>
        <v>3.9697179255889763</v>
      </c>
      <c r="J63" s="49">
        <f t="shared" si="21"/>
        <v>3.71777252218327</v>
      </c>
      <c r="K63" s="49">
        <f t="shared" si="21"/>
        <v>3.4702660297994803</v>
      </c>
      <c r="L63" s="49">
        <f t="shared" si="21"/>
        <v>3.2268648575486876</v>
      </c>
      <c r="M63" s="49">
        <f t="shared" si="21"/>
        <v>2.985755777534667</v>
      </c>
      <c r="N63" s="49">
        <f t="shared" si="21"/>
        <v>2.7449749079113577</v>
      </c>
      <c r="O63" s="49">
        <f t="shared" si="21"/>
        <v>2.5041940382880483</v>
      </c>
      <c r="P63" s="49">
        <f t="shared" si="21"/>
        <v>2.2634131686647385</v>
      </c>
      <c r="Q63" s="49">
        <f t="shared" si="21"/>
        <v>2.0226322990414287</v>
      </c>
      <c r="R63" s="49">
        <f t="shared" si="21"/>
        <v>1.7818514294181194</v>
      </c>
      <c r="S63" s="49">
        <f t="shared" si="21"/>
        <v>1.5410705597948093</v>
      </c>
      <c r="T63" s="49">
        <f t="shared" si="21"/>
        <v>1.3002896901715</v>
      </c>
      <c r="U63" s="49">
        <f t="shared" si="21"/>
        <v>1.0595088205481904</v>
      </c>
      <c r="V63" s="49">
        <f t="shared" si="21"/>
        <v>0.81872795092488071</v>
      </c>
      <c r="W63" s="49">
        <f t="shared" si="21"/>
        <v>0.57794708130157102</v>
      </c>
      <c r="X63" s="49">
        <f t="shared" si="21"/>
        <v>0.33716621167826122</v>
      </c>
      <c r="Y63" s="49">
        <f t="shared" si="21"/>
        <v>0.10838923355785605</v>
      </c>
    </row>
    <row r="64" spans="1:25" x14ac:dyDescent="0.3">
      <c r="B64" s="8" t="s">
        <v>89</v>
      </c>
      <c r="D64" s="9"/>
      <c r="E64" s="48">
        <f>E60-E61-E63</f>
        <v>18.838572476867395</v>
      </c>
      <c r="F64" s="48">
        <f>F60-F61-F63</f>
        <v>17.891364850788566</v>
      </c>
      <c r="G64" s="48">
        <f>G60-G61-G63</f>
        <v>16.884912046508823</v>
      </c>
      <c r="H64" s="48">
        <f t="shared" ref="H64:Y64" si="22">H60-H61-H63</f>
        <v>15.899550282777538</v>
      </c>
      <c r="I64" s="48">
        <f t="shared" si="22"/>
        <v>14.933700767691864</v>
      </c>
      <c r="J64" s="48">
        <f t="shared" si="22"/>
        <v>13.98590615487992</v>
      </c>
      <c r="K64" s="48">
        <f t="shared" si="22"/>
        <v>13.054810302578998</v>
      </c>
      <c r="L64" s="48">
        <f t="shared" si="22"/>
        <v>12.139158273635541</v>
      </c>
      <c r="M64" s="48">
        <f t="shared" si="22"/>
        <v>11.23212887739232</v>
      </c>
      <c r="N64" s="48">
        <f t="shared" si="22"/>
        <v>10.326334177380822</v>
      </c>
      <c r="O64" s="48">
        <f t="shared" si="22"/>
        <v>9.4205394773693243</v>
      </c>
      <c r="P64" s="48">
        <f t="shared" si="22"/>
        <v>8.5147447773578264</v>
      </c>
      <c r="Q64" s="48">
        <f t="shared" si="22"/>
        <v>7.6089500773463277</v>
      </c>
      <c r="R64" s="48">
        <f t="shared" si="22"/>
        <v>6.7031553773348298</v>
      </c>
      <c r="S64" s="48">
        <f t="shared" si="22"/>
        <v>5.797360677323331</v>
      </c>
      <c r="T64" s="48">
        <f t="shared" si="22"/>
        <v>4.8915659773118332</v>
      </c>
      <c r="U64" s="48">
        <f t="shared" si="22"/>
        <v>3.9857712773003353</v>
      </c>
      <c r="V64" s="48">
        <f t="shared" si="22"/>
        <v>3.079976577288837</v>
      </c>
      <c r="W64" s="48">
        <f t="shared" si="22"/>
        <v>2.1741818772773387</v>
      </c>
      <c r="X64" s="48">
        <f t="shared" si="22"/>
        <v>1.2683871772658399</v>
      </c>
      <c r="Y64" s="48">
        <f t="shared" si="22"/>
        <v>0.4077499738605061</v>
      </c>
    </row>
    <row r="66" spans="1:26" x14ac:dyDescent="0.3">
      <c r="A66" s="8" t="s">
        <v>90</v>
      </c>
      <c r="D66" s="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6" x14ac:dyDescent="0.3">
      <c r="B67" s="8" t="s">
        <v>91</v>
      </c>
      <c r="D67" s="9"/>
      <c r="E67" s="48">
        <f t="shared" ref="E67:Y67" si="23">E28</f>
        <v>11.290119047619049</v>
      </c>
      <c r="F67" s="48">
        <f t="shared" si="23"/>
        <v>11.290119047619049</v>
      </c>
      <c r="G67" s="48">
        <f t="shared" si="23"/>
        <v>11.290119047619049</v>
      </c>
      <c r="H67" s="48">
        <f t="shared" si="23"/>
        <v>11.290119047619049</v>
      </c>
      <c r="I67" s="48">
        <f t="shared" si="23"/>
        <v>11.290119047619049</v>
      </c>
      <c r="J67" s="48">
        <f t="shared" si="23"/>
        <v>11.290119047619049</v>
      </c>
      <c r="K67" s="48">
        <f t="shared" si="23"/>
        <v>11.290119047619049</v>
      </c>
      <c r="L67" s="48">
        <f t="shared" si="23"/>
        <v>11.290119047619049</v>
      </c>
      <c r="M67" s="48">
        <f t="shared" si="23"/>
        <v>11.290119047619049</v>
      </c>
      <c r="N67" s="48">
        <f t="shared" si="23"/>
        <v>11.290119047619049</v>
      </c>
      <c r="O67" s="48">
        <f t="shared" si="23"/>
        <v>11.290119047619049</v>
      </c>
      <c r="P67" s="48">
        <f t="shared" si="23"/>
        <v>11.290119047619049</v>
      </c>
      <c r="Q67" s="48">
        <f t="shared" si="23"/>
        <v>11.290119047619049</v>
      </c>
      <c r="R67" s="48">
        <f t="shared" si="23"/>
        <v>11.290119047619049</v>
      </c>
      <c r="S67" s="48">
        <f t="shared" si="23"/>
        <v>11.290119047619049</v>
      </c>
      <c r="T67" s="48">
        <f t="shared" si="23"/>
        <v>11.290119047619049</v>
      </c>
      <c r="U67" s="48">
        <f t="shared" si="23"/>
        <v>11.290119047619049</v>
      </c>
      <c r="V67" s="48">
        <f t="shared" si="23"/>
        <v>11.290119047619049</v>
      </c>
      <c r="W67" s="48">
        <f t="shared" si="23"/>
        <v>11.290119047619049</v>
      </c>
      <c r="X67" s="48">
        <f t="shared" si="23"/>
        <v>11.290119047619049</v>
      </c>
      <c r="Y67" s="48">
        <f t="shared" si="23"/>
        <v>11.290119047619049</v>
      </c>
    </row>
    <row r="68" spans="1:26" x14ac:dyDescent="0.3">
      <c r="B68" s="8" t="s">
        <v>92</v>
      </c>
      <c r="D68" s="9"/>
      <c r="E68" s="48">
        <f t="shared" ref="E68:Y68" si="24">$F23*E73</f>
        <v>8.8909687500000008</v>
      </c>
      <c r="F68" s="48">
        <f t="shared" si="24"/>
        <v>17.115707575000002</v>
      </c>
      <c r="G68" s="48">
        <f t="shared" si="24"/>
        <v>15.830666225000002</v>
      </c>
      <c r="H68" s="48">
        <f t="shared" si="24"/>
        <v>14.645203725000002</v>
      </c>
      <c r="I68" s="48">
        <f t="shared" si="24"/>
        <v>13.545094525000001</v>
      </c>
      <c r="J68" s="48">
        <f t="shared" si="24"/>
        <v>12.530338625000002</v>
      </c>
      <c r="K68" s="48">
        <f t="shared" si="24"/>
        <v>11.589081400000001</v>
      </c>
      <c r="L68" s="48">
        <f t="shared" si="24"/>
        <v>10.721322850000002</v>
      </c>
      <c r="M68" s="48">
        <f t="shared" si="24"/>
        <v>10.579067350000001</v>
      </c>
      <c r="N68" s="48">
        <f t="shared" si="24"/>
        <v>10.576696425</v>
      </c>
      <c r="O68" s="48">
        <f t="shared" si="24"/>
        <v>10.579067350000001</v>
      </c>
      <c r="P68" s="48">
        <f t="shared" si="24"/>
        <v>10.576696425</v>
      </c>
      <c r="Q68" s="48">
        <f t="shared" si="24"/>
        <v>10.579067350000001</v>
      </c>
      <c r="R68" s="48">
        <f t="shared" si="24"/>
        <v>10.576696425</v>
      </c>
      <c r="S68" s="48">
        <f t="shared" si="24"/>
        <v>10.579067350000001</v>
      </c>
      <c r="T68" s="48">
        <f t="shared" si="24"/>
        <v>10.576696425</v>
      </c>
      <c r="U68" s="48">
        <f t="shared" si="24"/>
        <v>10.579067350000001</v>
      </c>
      <c r="V68" s="48">
        <f t="shared" si="24"/>
        <v>10.576696425</v>
      </c>
      <c r="W68" s="48">
        <f t="shared" si="24"/>
        <v>10.579067350000001</v>
      </c>
      <c r="X68" s="48">
        <f t="shared" si="24"/>
        <v>10.576696425</v>
      </c>
      <c r="Y68" s="48">
        <f t="shared" si="24"/>
        <v>5.2895336750000004</v>
      </c>
    </row>
    <row r="69" spans="1:26" x14ac:dyDescent="0.3">
      <c r="B69" s="8" t="s">
        <v>93</v>
      </c>
      <c r="E69" s="48">
        <f>E68-E67</f>
        <v>-2.3991502976190482</v>
      </c>
      <c r="F69" s="48">
        <f>F68-F67</f>
        <v>5.8255885273809529</v>
      </c>
      <c r="G69" s="48">
        <f>G68-G67</f>
        <v>4.5405471773809527</v>
      </c>
      <c r="H69" s="48">
        <f t="shared" ref="H69:Y69" si="25">H68-H67</f>
        <v>3.3550846773809528</v>
      </c>
      <c r="I69" s="48">
        <f t="shared" si="25"/>
        <v>2.2549754773809525</v>
      </c>
      <c r="J69" s="48">
        <f t="shared" si="25"/>
        <v>1.2402195773809535</v>
      </c>
      <c r="K69" s="48">
        <f t="shared" si="25"/>
        <v>0.29896235238095237</v>
      </c>
      <c r="L69" s="48">
        <f t="shared" si="25"/>
        <v>-0.56879619761904721</v>
      </c>
      <c r="M69" s="48">
        <f t="shared" si="25"/>
        <v>-0.71105169761904818</v>
      </c>
      <c r="N69" s="48">
        <f t="shared" si="25"/>
        <v>-0.71342262261904921</v>
      </c>
      <c r="O69" s="48">
        <f t="shared" si="25"/>
        <v>-0.71105169761904818</v>
      </c>
      <c r="P69" s="48">
        <f t="shared" si="25"/>
        <v>-0.71342262261904921</v>
      </c>
      <c r="Q69" s="48">
        <f t="shared" si="25"/>
        <v>-0.71105169761904818</v>
      </c>
      <c r="R69" s="48">
        <f t="shared" si="25"/>
        <v>-0.71342262261904921</v>
      </c>
      <c r="S69" s="48">
        <f t="shared" si="25"/>
        <v>-0.71105169761904818</v>
      </c>
      <c r="T69" s="48">
        <f t="shared" si="25"/>
        <v>-0.71342262261904921</v>
      </c>
      <c r="U69" s="48">
        <f t="shared" si="25"/>
        <v>-0.71105169761904818</v>
      </c>
      <c r="V69" s="48">
        <f t="shared" si="25"/>
        <v>-0.71342262261904921</v>
      </c>
      <c r="W69" s="48">
        <f t="shared" si="25"/>
        <v>-0.71105169761904818</v>
      </c>
      <c r="X69" s="48">
        <f t="shared" si="25"/>
        <v>-0.71342262261904921</v>
      </c>
      <c r="Y69" s="48">
        <f t="shared" si="25"/>
        <v>-6.0005853726190486</v>
      </c>
    </row>
    <row r="70" spans="1:26" x14ac:dyDescent="0.3">
      <c r="B70" s="8" t="s">
        <v>94</v>
      </c>
      <c r="D70" s="9"/>
      <c r="E70" s="48">
        <f t="shared" ref="E70:Y70" si="26">E69*$E$85</f>
        <v>-0.5038215625000001</v>
      </c>
      <c r="F70" s="48">
        <f t="shared" si="26"/>
        <v>1.2233735907500001</v>
      </c>
      <c r="G70" s="48">
        <f t="shared" si="26"/>
        <v>0.95351490724999999</v>
      </c>
      <c r="H70" s="48">
        <f t="shared" si="26"/>
        <v>0.70456778225000005</v>
      </c>
      <c r="I70" s="48">
        <f t="shared" si="26"/>
        <v>0.47354485024999998</v>
      </c>
      <c r="J70" s="48">
        <f t="shared" si="26"/>
        <v>0.26044611125000022</v>
      </c>
      <c r="K70" s="48">
        <f t="shared" si="26"/>
        <v>6.2782093999999997E-2</v>
      </c>
      <c r="L70" s="48">
        <f t="shared" si="26"/>
        <v>-0.11944720149999991</v>
      </c>
      <c r="M70" s="48">
        <f t="shared" si="26"/>
        <v>-0.14932085650000013</v>
      </c>
      <c r="N70" s="48">
        <f t="shared" si="26"/>
        <v>-0.14981875075000034</v>
      </c>
      <c r="O70" s="48">
        <f t="shared" si="26"/>
        <v>-0.14932085650000013</v>
      </c>
      <c r="P70" s="48">
        <f t="shared" si="26"/>
        <v>-0.14981875075000034</v>
      </c>
      <c r="Q70" s="48">
        <f t="shared" si="26"/>
        <v>-0.14932085650000013</v>
      </c>
      <c r="R70" s="48">
        <f t="shared" si="26"/>
        <v>-0.14981875075000034</v>
      </c>
      <c r="S70" s="48">
        <f t="shared" si="26"/>
        <v>-0.14932085650000013</v>
      </c>
      <c r="T70" s="48">
        <f t="shared" si="26"/>
        <v>-0.14981875075000034</v>
      </c>
      <c r="U70" s="48">
        <f t="shared" si="26"/>
        <v>-0.14932085650000013</v>
      </c>
      <c r="V70" s="48">
        <f t="shared" si="26"/>
        <v>-0.14981875075000034</v>
      </c>
      <c r="W70" s="48">
        <f t="shared" si="26"/>
        <v>-0.14932085650000013</v>
      </c>
      <c r="X70" s="48">
        <f t="shared" si="26"/>
        <v>-0.14981875075000034</v>
      </c>
      <c r="Y70" s="48">
        <f t="shared" si="26"/>
        <v>-1.2601229282500002</v>
      </c>
      <c r="Z70" s="59">
        <f>SUM(E70:Y70)</f>
        <v>-1.7763568394002505E-15</v>
      </c>
    </row>
    <row r="71" spans="1:26" x14ac:dyDescent="0.3">
      <c r="D71" s="9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</row>
    <row r="72" spans="1:26" x14ac:dyDescent="0.3"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6" s="60" customFormat="1" ht="13.2" x14ac:dyDescent="0.3">
      <c r="A73" s="8"/>
      <c r="B73" s="8" t="str">
        <f t="shared" ref="B73" si="27">IF($F$21=1,B83,B81)</f>
        <v>MACRS Depreciation - 20</v>
      </c>
      <c r="C73" s="8"/>
      <c r="E73" s="61">
        <f t="shared" ref="E73:Y73" si="28">IF($F$21=1,E83,E81)</f>
        <v>3.7499999999999999E-2</v>
      </c>
      <c r="F73" s="61">
        <f t="shared" si="28"/>
        <v>7.2190000000000004E-2</v>
      </c>
      <c r="G73" s="61">
        <f t="shared" si="28"/>
        <v>6.6769999999999996E-2</v>
      </c>
      <c r="H73" s="61">
        <f t="shared" si="28"/>
        <v>6.1769999999999999E-2</v>
      </c>
      <c r="I73" s="61">
        <f t="shared" si="28"/>
        <v>5.713E-2</v>
      </c>
      <c r="J73" s="61">
        <f t="shared" si="28"/>
        <v>5.2850000000000001E-2</v>
      </c>
      <c r="K73" s="61">
        <f t="shared" si="28"/>
        <v>4.888E-2</v>
      </c>
      <c r="L73" s="61">
        <f t="shared" si="28"/>
        <v>4.5220000000000003E-2</v>
      </c>
      <c r="M73" s="61">
        <f t="shared" si="28"/>
        <v>4.462E-2</v>
      </c>
      <c r="N73" s="61">
        <f t="shared" si="28"/>
        <v>4.4609999999999997E-2</v>
      </c>
      <c r="O73" s="61">
        <f t="shared" si="28"/>
        <v>4.462E-2</v>
      </c>
      <c r="P73" s="61">
        <f t="shared" si="28"/>
        <v>4.4609999999999997E-2</v>
      </c>
      <c r="Q73" s="61">
        <f t="shared" si="28"/>
        <v>4.462E-2</v>
      </c>
      <c r="R73" s="61">
        <f t="shared" si="28"/>
        <v>4.4609999999999997E-2</v>
      </c>
      <c r="S73" s="61">
        <f t="shared" si="28"/>
        <v>4.462E-2</v>
      </c>
      <c r="T73" s="61">
        <f t="shared" si="28"/>
        <v>4.4609999999999997E-2</v>
      </c>
      <c r="U73" s="61">
        <f t="shared" si="28"/>
        <v>4.462E-2</v>
      </c>
      <c r="V73" s="61">
        <f t="shared" si="28"/>
        <v>4.4609999999999997E-2</v>
      </c>
      <c r="W73" s="61">
        <f t="shared" si="28"/>
        <v>4.462E-2</v>
      </c>
      <c r="X73" s="61">
        <f t="shared" si="28"/>
        <v>4.4609999999999997E-2</v>
      </c>
      <c r="Y73" s="61">
        <f t="shared" si="28"/>
        <v>2.231E-2</v>
      </c>
    </row>
    <row r="74" spans="1:26" x14ac:dyDescent="0.3"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6" x14ac:dyDescent="0.3"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6" x14ac:dyDescent="0.3">
      <c r="B76" s="8" t="s">
        <v>96</v>
      </c>
      <c r="E76" s="62">
        <f>+E57+E70</f>
        <v>231.19552969494049</v>
      </c>
      <c r="F76" s="59">
        <f t="shared" ref="F76:Y76" si="29">+E76-F28</f>
        <v>219.90541064732145</v>
      </c>
      <c r="G76" s="59">
        <f t="shared" si="29"/>
        <v>208.6152915997024</v>
      </c>
      <c r="H76" s="59">
        <f t="shared" si="29"/>
        <v>197.32517255208336</v>
      </c>
      <c r="I76" s="59">
        <f t="shared" si="29"/>
        <v>186.03505350446432</v>
      </c>
      <c r="J76" s="59">
        <f t="shared" si="29"/>
        <v>174.74493445684527</v>
      </c>
      <c r="K76" s="59">
        <f t="shared" si="29"/>
        <v>163.45481540922623</v>
      </c>
      <c r="L76" s="59">
        <f t="shared" si="29"/>
        <v>152.16469636160718</v>
      </c>
      <c r="M76" s="59">
        <f t="shared" si="29"/>
        <v>140.87457731398814</v>
      </c>
      <c r="N76" s="59">
        <f t="shared" si="29"/>
        <v>129.5844582663691</v>
      </c>
      <c r="O76" s="59">
        <f t="shared" si="29"/>
        <v>118.29433921875005</v>
      </c>
      <c r="P76" s="59">
        <f t="shared" si="29"/>
        <v>107.00422017113101</v>
      </c>
      <c r="Q76" s="59">
        <f t="shared" si="29"/>
        <v>95.714101123511966</v>
      </c>
      <c r="R76" s="59">
        <f t="shared" si="29"/>
        <v>84.423982075892923</v>
      </c>
      <c r="S76" s="59">
        <f t="shared" si="29"/>
        <v>73.133863028273879</v>
      </c>
      <c r="T76" s="59">
        <f t="shared" si="29"/>
        <v>61.843743980654828</v>
      </c>
      <c r="U76" s="59">
        <f t="shared" si="29"/>
        <v>50.553624933035778</v>
      </c>
      <c r="V76" s="59">
        <f t="shared" si="29"/>
        <v>39.263505885416727</v>
      </c>
      <c r="W76" s="59">
        <f t="shared" si="29"/>
        <v>27.973386837797676</v>
      </c>
      <c r="X76" s="59">
        <f t="shared" si="29"/>
        <v>16.683267790178625</v>
      </c>
      <c r="Y76" s="59">
        <f t="shared" si="29"/>
        <v>5.3931487425595765</v>
      </c>
    </row>
    <row r="78" spans="1:26" x14ac:dyDescent="0.3">
      <c r="B78" s="8" t="s">
        <v>97</v>
      </c>
      <c r="D78" s="9"/>
      <c r="E78" s="48">
        <f t="shared" ref="E78:Y78" si="30">E39+E40-E64</f>
        <v>0</v>
      </c>
      <c r="F78" s="48">
        <f t="shared" si="30"/>
        <v>0</v>
      </c>
      <c r="G78" s="48">
        <f t="shared" si="30"/>
        <v>0</v>
      </c>
      <c r="H78" s="48">
        <f t="shared" si="30"/>
        <v>0</v>
      </c>
      <c r="I78" s="48">
        <f t="shared" si="30"/>
        <v>0</v>
      </c>
      <c r="J78" s="48">
        <f t="shared" si="30"/>
        <v>0</v>
      </c>
      <c r="K78" s="48">
        <f t="shared" si="30"/>
        <v>0</v>
      </c>
      <c r="L78" s="48">
        <f t="shared" si="30"/>
        <v>0</v>
      </c>
      <c r="M78" s="48">
        <f t="shared" si="30"/>
        <v>0</v>
      </c>
      <c r="N78" s="48">
        <f t="shared" si="30"/>
        <v>0</v>
      </c>
      <c r="O78" s="48">
        <f t="shared" si="30"/>
        <v>0</v>
      </c>
      <c r="P78" s="48">
        <f t="shared" si="30"/>
        <v>0</v>
      </c>
      <c r="Q78" s="48">
        <f t="shared" si="30"/>
        <v>0</v>
      </c>
      <c r="R78" s="48">
        <f t="shared" si="30"/>
        <v>0</v>
      </c>
      <c r="S78" s="48">
        <f t="shared" si="30"/>
        <v>0</v>
      </c>
      <c r="T78" s="48">
        <f t="shared" si="30"/>
        <v>0</v>
      </c>
      <c r="U78" s="48">
        <f t="shared" si="30"/>
        <v>0</v>
      </c>
      <c r="V78" s="48">
        <f t="shared" si="30"/>
        <v>0</v>
      </c>
      <c r="W78" s="48">
        <f t="shared" si="30"/>
        <v>0</v>
      </c>
      <c r="X78" s="48">
        <f t="shared" si="30"/>
        <v>0</v>
      </c>
      <c r="Y78" s="48">
        <f t="shared" si="30"/>
        <v>0</v>
      </c>
    </row>
    <row r="81" spans="2:25" x14ac:dyDescent="0.3">
      <c r="B81" s="8" t="s">
        <v>185</v>
      </c>
      <c r="E81" s="61">
        <v>3.7499999999999999E-2</v>
      </c>
      <c r="F81" s="61">
        <v>7.2190000000000004E-2</v>
      </c>
      <c r="G81" s="61">
        <v>6.6769999999999996E-2</v>
      </c>
      <c r="H81" s="61">
        <v>6.1769999999999999E-2</v>
      </c>
      <c r="I81" s="61">
        <v>5.713E-2</v>
      </c>
      <c r="J81" s="61">
        <v>5.2850000000000001E-2</v>
      </c>
      <c r="K81" s="61">
        <v>4.888E-2</v>
      </c>
      <c r="L81" s="61">
        <v>4.5220000000000003E-2</v>
      </c>
      <c r="M81" s="61">
        <v>4.462E-2</v>
      </c>
      <c r="N81" s="61">
        <v>4.4609999999999997E-2</v>
      </c>
      <c r="O81" s="61">
        <v>4.462E-2</v>
      </c>
      <c r="P81" s="61">
        <v>4.4609999999999997E-2</v>
      </c>
      <c r="Q81" s="61">
        <v>4.462E-2</v>
      </c>
      <c r="R81" s="61">
        <v>4.4609999999999997E-2</v>
      </c>
      <c r="S81" s="61">
        <v>4.462E-2</v>
      </c>
      <c r="T81" s="61">
        <v>4.4609999999999997E-2</v>
      </c>
      <c r="U81" s="61">
        <v>4.462E-2</v>
      </c>
      <c r="V81" s="61">
        <v>4.4609999999999997E-2</v>
      </c>
      <c r="W81" s="61">
        <v>4.462E-2</v>
      </c>
      <c r="X81" s="61">
        <v>4.4609999999999997E-2</v>
      </c>
      <c r="Y81" s="61">
        <v>2.231E-2</v>
      </c>
    </row>
    <row r="83" spans="2:25" x14ac:dyDescent="0.3"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Y83" s="10">
        <v>0</v>
      </c>
    </row>
    <row r="85" spans="2:25" x14ac:dyDescent="0.3">
      <c r="E85" s="86">
        <f>(1-F15)*F14+F15</f>
        <v>0.21</v>
      </c>
    </row>
    <row r="86" spans="2:25" x14ac:dyDescent="0.3">
      <c r="E86" s="87">
        <f>1-E85</f>
        <v>0.79</v>
      </c>
    </row>
  </sheetData>
  <mergeCells count="1">
    <mergeCell ref="E1:F1"/>
  </mergeCells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P56"/>
  <sheetViews>
    <sheetView topLeftCell="A14" workbookViewId="0">
      <selection activeCell="B14" sqref="B14"/>
    </sheetView>
  </sheetViews>
  <sheetFormatPr defaultRowHeight="14.4" x14ac:dyDescent="0.3"/>
  <cols>
    <col min="1" max="1" width="15.21875" style="10" customWidth="1"/>
    <col min="2" max="2" width="15.21875" style="10" bestFit="1" customWidth="1"/>
    <col min="3" max="4" width="8.88671875" style="10"/>
    <col min="5" max="5" width="13.44140625" style="10" customWidth="1"/>
    <col min="6" max="6" width="17.44140625" style="10" bestFit="1" customWidth="1"/>
    <col min="7" max="7" width="12.88671875" style="10" bestFit="1" customWidth="1"/>
    <col min="8" max="8" width="13.33203125" style="10" bestFit="1" customWidth="1"/>
    <col min="9" max="9" width="8.21875" style="10" bestFit="1" customWidth="1"/>
    <col min="10" max="10" width="8.5546875" style="10" bestFit="1" customWidth="1"/>
    <col min="11" max="11" width="13.21875" style="10" bestFit="1" customWidth="1"/>
    <col min="12" max="16384" width="8.88671875" style="10"/>
  </cols>
  <sheetData>
    <row r="1" spans="1:11" ht="23.4" x14ac:dyDescent="0.45">
      <c r="A1" s="63" t="s">
        <v>137</v>
      </c>
      <c r="E1" s="78" t="s">
        <v>106</v>
      </c>
      <c r="F1" s="78"/>
      <c r="G1" s="78"/>
      <c r="H1"/>
      <c r="I1"/>
      <c r="J1"/>
      <c r="K1"/>
    </row>
    <row r="2" spans="1:11" x14ac:dyDescent="0.3">
      <c r="E2" s="79" t="s">
        <v>107</v>
      </c>
      <c r="F2"/>
      <c r="G2"/>
      <c r="H2"/>
      <c r="I2"/>
      <c r="J2"/>
      <c r="K2"/>
    </row>
    <row r="3" spans="1:11" x14ac:dyDescent="0.3">
      <c r="A3" s="17" t="s">
        <v>31</v>
      </c>
      <c r="B3" s="17" t="s">
        <v>98</v>
      </c>
      <c r="E3"/>
      <c r="F3"/>
      <c r="G3"/>
      <c r="H3"/>
      <c r="I3"/>
      <c r="J3"/>
      <c r="K3"/>
    </row>
    <row r="4" spans="1:11" x14ac:dyDescent="0.3">
      <c r="A4" s="65">
        <v>250</v>
      </c>
      <c r="B4" s="112">
        <f>AVERAGE(K7:K10)</f>
        <v>237.09250000000003</v>
      </c>
      <c r="E4" s="175" t="s">
        <v>108</v>
      </c>
      <c r="F4" s="175"/>
      <c r="G4" s="175"/>
      <c r="H4" s="175"/>
      <c r="I4" s="175"/>
      <c r="J4" s="175"/>
      <c r="K4" s="175"/>
    </row>
    <row r="5" spans="1:11" ht="28.8" x14ac:dyDescent="0.3">
      <c r="A5" s="65">
        <v>630</v>
      </c>
      <c r="B5" s="112">
        <f>AVERAGE(K13:K14)</f>
        <v>676.44499999999994</v>
      </c>
      <c r="E5" s="80" t="s">
        <v>109</v>
      </c>
      <c r="F5" s="80" t="s">
        <v>110</v>
      </c>
      <c r="G5" s="80" t="s">
        <v>111</v>
      </c>
      <c r="H5" s="80" t="s">
        <v>112</v>
      </c>
      <c r="I5" s="80" t="s">
        <v>113</v>
      </c>
      <c r="J5" s="80" t="s">
        <v>114</v>
      </c>
      <c r="K5" s="80" t="s">
        <v>115</v>
      </c>
    </row>
    <row r="6" spans="1:11" x14ac:dyDescent="0.3">
      <c r="A6" s="65">
        <v>1000</v>
      </c>
      <c r="B6" s="112">
        <f>AVERAGE(K16:K17)</f>
        <v>1161.02</v>
      </c>
      <c r="E6" s="175" t="s">
        <v>116</v>
      </c>
      <c r="F6" s="175"/>
      <c r="G6"/>
      <c r="H6"/>
      <c r="I6"/>
      <c r="J6"/>
      <c r="K6"/>
    </row>
    <row r="7" spans="1:11" x14ac:dyDescent="0.3">
      <c r="A7" s="111" t="s">
        <v>99</v>
      </c>
      <c r="B7" s="112">
        <f>AVERAGE(K19,K42)</f>
        <v>3117.1499999999996</v>
      </c>
      <c r="E7" s="81" t="s">
        <v>140</v>
      </c>
      <c r="F7" s="81">
        <v>250</v>
      </c>
      <c r="G7" s="81" t="s">
        <v>117</v>
      </c>
      <c r="H7" s="81" t="s">
        <v>118</v>
      </c>
      <c r="I7" s="81">
        <v>250</v>
      </c>
      <c r="J7" s="81">
        <v>3</v>
      </c>
      <c r="K7" s="108">
        <v>231.29</v>
      </c>
    </row>
    <row r="8" spans="1:11" x14ac:dyDescent="0.3">
      <c r="A8" s="65" t="s">
        <v>12</v>
      </c>
      <c r="B8" s="112">
        <f>AVERAGE(K20,K43)</f>
        <v>3364.3149999999996</v>
      </c>
      <c r="E8" s="81" t="s">
        <v>141</v>
      </c>
      <c r="F8" s="81"/>
      <c r="G8" s="81"/>
      <c r="H8" s="81"/>
      <c r="I8" s="81"/>
      <c r="J8" s="81"/>
      <c r="K8" s="108">
        <v>218.59</v>
      </c>
    </row>
    <row r="9" spans="1:11" x14ac:dyDescent="0.3">
      <c r="A9" s="65" t="s">
        <v>13</v>
      </c>
      <c r="B9" s="112">
        <f>AVERAGE(K21,K22,K39,K44)</f>
        <v>3785.9775</v>
      </c>
      <c r="E9" s="81" t="s">
        <v>142</v>
      </c>
      <c r="F9" s="81" t="s">
        <v>119</v>
      </c>
      <c r="G9" s="81" t="s">
        <v>117</v>
      </c>
      <c r="H9" s="81">
        <v>2</v>
      </c>
      <c r="I9" s="81">
        <v>602</v>
      </c>
      <c r="J9" s="81">
        <v>6</v>
      </c>
      <c r="K9" s="108">
        <v>218.81</v>
      </c>
    </row>
    <row r="10" spans="1:11" x14ac:dyDescent="0.3">
      <c r="A10" s="65" t="s">
        <v>14</v>
      </c>
      <c r="B10" s="112">
        <f>AVERAGE(K23,K24,K40,K45)</f>
        <v>3889.4049999999997</v>
      </c>
      <c r="E10" s="81" t="s">
        <v>143</v>
      </c>
      <c r="F10" s="81" t="s">
        <v>120</v>
      </c>
      <c r="G10" s="81" t="s">
        <v>117</v>
      </c>
      <c r="H10" s="81" t="s">
        <v>121</v>
      </c>
      <c r="I10" s="81">
        <v>602</v>
      </c>
      <c r="J10" s="81">
        <v>6</v>
      </c>
      <c r="K10" s="108">
        <v>279.68</v>
      </c>
    </row>
    <row r="11" spans="1:11" x14ac:dyDescent="0.3">
      <c r="A11" s="65" t="s">
        <v>15</v>
      </c>
      <c r="B11" s="112">
        <f>AVERAGE(K25,K26,K33,K46,K48)</f>
        <v>6025.7300000000005</v>
      </c>
      <c r="E11"/>
      <c r="F11" s="81" t="s">
        <v>122</v>
      </c>
      <c r="G11" s="81" t="s">
        <v>117</v>
      </c>
      <c r="H11" s="81" t="s">
        <v>121</v>
      </c>
      <c r="I11" s="81">
        <v>602</v>
      </c>
      <c r="J11" s="81">
        <v>6</v>
      </c>
      <c r="K11" s="108">
        <v>105.51</v>
      </c>
    </row>
    <row r="12" spans="1:11" x14ac:dyDescent="0.3">
      <c r="A12" s="65" t="s">
        <v>16</v>
      </c>
      <c r="B12" s="112">
        <f>AVERAGE(K34,K47,K49)</f>
        <v>7809.0499999999993</v>
      </c>
      <c r="E12" s="175" t="s">
        <v>123</v>
      </c>
      <c r="F12" s="175"/>
      <c r="G12"/>
      <c r="H12"/>
      <c r="I12"/>
      <c r="J12"/>
      <c r="K12"/>
    </row>
    <row r="13" spans="1:11" x14ac:dyDescent="0.3">
      <c r="A13" s="111" t="s">
        <v>17</v>
      </c>
      <c r="B13" s="112">
        <f>K52</f>
        <v>21697.32</v>
      </c>
      <c r="E13" s="81" t="s">
        <v>144</v>
      </c>
      <c r="F13" s="81" t="s">
        <v>124</v>
      </c>
      <c r="G13" s="81" t="s">
        <v>117</v>
      </c>
      <c r="H13" s="81">
        <v>2</v>
      </c>
      <c r="I13" s="82">
        <v>1516</v>
      </c>
      <c r="J13" s="81">
        <v>16</v>
      </c>
      <c r="K13" s="108">
        <v>671.98</v>
      </c>
    </row>
    <row r="14" spans="1:11" x14ac:dyDescent="0.3">
      <c r="A14" s="65" t="s">
        <v>18</v>
      </c>
      <c r="B14" s="112">
        <f>K53</f>
        <v>28736.799999999999</v>
      </c>
      <c r="E14" s="81" t="s">
        <v>145</v>
      </c>
      <c r="F14" s="81" t="s">
        <v>125</v>
      </c>
      <c r="G14" s="81" t="s">
        <v>117</v>
      </c>
      <c r="H14" s="81" t="s">
        <v>121</v>
      </c>
      <c r="I14" s="82">
        <v>1516</v>
      </c>
      <c r="J14" s="81">
        <v>16</v>
      </c>
      <c r="K14" s="108">
        <v>680.91</v>
      </c>
    </row>
    <row r="15" spans="1:11" x14ac:dyDescent="0.3">
      <c r="A15" s="88"/>
      <c r="B15" s="89"/>
      <c r="E15" s="175" t="s">
        <v>126</v>
      </c>
      <c r="F15" s="175"/>
      <c r="G15"/>
      <c r="H15"/>
      <c r="I15"/>
      <c r="J15"/>
      <c r="K15"/>
    </row>
    <row r="16" spans="1:11" x14ac:dyDescent="0.3">
      <c r="A16" s="88"/>
      <c r="B16" s="89"/>
      <c r="E16" s="81" t="s">
        <v>146</v>
      </c>
      <c r="F16" s="81" t="s">
        <v>127</v>
      </c>
      <c r="G16" s="81" t="s">
        <v>117</v>
      </c>
      <c r="H16" s="81" t="s">
        <v>121</v>
      </c>
      <c r="I16" s="82">
        <v>2407</v>
      </c>
      <c r="J16" s="81">
        <v>25</v>
      </c>
      <c r="K16" s="108">
        <v>1186.06</v>
      </c>
    </row>
    <row r="17" spans="1:11" x14ac:dyDescent="0.3">
      <c r="A17" s="88"/>
      <c r="B17" s="89"/>
      <c r="E17" s="81" t="s">
        <v>147</v>
      </c>
      <c r="F17" s="81" t="s">
        <v>128</v>
      </c>
      <c r="G17" s="81" t="s">
        <v>117</v>
      </c>
      <c r="H17" s="81" t="s">
        <v>121</v>
      </c>
      <c r="I17" s="82">
        <v>2407</v>
      </c>
      <c r="J17" s="81">
        <v>25</v>
      </c>
      <c r="K17" s="108">
        <v>1135.98</v>
      </c>
    </row>
    <row r="18" spans="1:11" x14ac:dyDescent="0.3">
      <c r="A18" s="88"/>
      <c r="B18" s="89"/>
      <c r="E18" s="175" t="s">
        <v>129</v>
      </c>
      <c r="F18" s="175"/>
      <c r="G18"/>
      <c r="H18"/>
      <c r="I18"/>
      <c r="J18"/>
      <c r="K18"/>
    </row>
    <row r="19" spans="1:11" x14ac:dyDescent="0.3">
      <c r="E19" s="81" t="s">
        <v>148</v>
      </c>
      <c r="F19" s="81" t="s">
        <v>130</v>
      </c>
      <c r="G19" s="81" t="s">
        <v>117</v>
      </c>
      <c r="H19" s="81">
        <v>2</v>
      </c>
      <c r="I19" s="82">
        <v>1729</v>
      </c>
      <c r="J19" s="81">
        <v>18</v>
      </c>
      <c r="K19" s="108">
        <v>2105.35</v>
      </c>
    </row>
    <row r="20" spans="1:11" x14ac:dyDescent="0.3">
      <c r="E20" s="81" t="s">
        <v>149</v>
      </c>
      <c r="F20" s="81" t="s">
        <v>131</v>
      </c>
      <c r="G20" s="81" t="s">
        <v>117</v>
      </c>
      <c r="H20" s="81">
        <v>2</v>
      </c>
      <c r="I20" s="82">
        <v>3361</v>
      </c>
      <c r="J20" s="81">
        <v>35</v>
      </c>
      <c r="K20" s="108">
        <v>2533.6799999999998</v>
      </c>
    </row>
    <row r="21" spans="1:11" x14ac:dyDescent="0.3">
      <c r="E21" s="81" t="s">
        <v>150</v>
      </c>
      <c r="F21" s="81" t="s">
        <v>132</v>
      </c>
      <c r="G21" s="81" t="s">
        <v>117</v>
      </c>
      <c r="H21" s="81">
        <v>2</v>
      </c>
      <c r="I21" s="82">
        <v>5666</v>
      </c>
      <c r="J21" s="81">
        <v>59</v>
      </c>
      <c r="K21" s="108">
        <v>2945.67</v>
      </c>
    </row>
    <row r="22" spans="1:11" x14ac:dyDescent="0.3">
      <c r="E22" s="81" t="s">
        <v>151</v>
      </c>
      <c r="F22" s="81" t="s">
        <v>132</v>
      </c>
      <c r="G22" s="81" t="s">
        <v>117</v>
      </c>
      <c r="H22" s="81">
        <v>2</v>
      </c>
      <c r="I22" s="82">
        <v>5666</v>
      </c>
      <c r="J22" s="81">
        <v>59</v>
      </c>
      <c r="K22" s="108">
        <v>3012.19</v>
      </c>
    </row>
    <row r="23" spans="1:11" x14ac:dyDescent="0.3">
      <c r="E23" s="81" t="s">
        <v>152</v>
      </c>
      <c r="F23" s="81" t="s">
        <v>133</v>
      </c>
      <c r="G23" s="81" t="s">
        <v>117</v>
      </c>
      <c r="H23" s="81">
        <v>2</v>
      </c>
      <c r="I23" s="82">
        <v>7875</v>
      </c>
      <c r="J23" s="81">
        <v>82</v>
      </c>
      <c r="K23" s="108">
        <v>3035.38</v>
      </c>
    </row>
    <row r="24" spans="1:11" x14ac:dyDescent="0.3">
      <c r="E24" s="81" t="s">
        <v>153</v>
      </c>
      <c r="F24" s="81" t="s">
        <v>133</v>
      </c>
      <c r="G24" s="81" t="s">
        <v>117</v>
      </c>
      <c r="H24" s="81">
        <v>2</v>
      </c>
      <c r="I24" s="82">
        <v>7875</v>
      </c>
      <c r="J24" s="81">
        <v>82</v>
      </c>
      <c r="K24" s="108">
        <v>3012.19</v>
      </c>
    </row>
    <row r="25" spans="1:11" x14ac:dyDescent="0.3">
      <c r="E25" s="81" t="s">
        <v>154</v>
      </c>
      <c r="F25" s="81" t="s">
        <v>134</v>
      </c>
      <c r="G25" s="81" t="s">
        <v>117</v>
      </c>
      <c r="H25" s="81">
        <v>2</v>
      </c>
      <c r="I25" s="82">
        <v>12478</v>
      </c>
      <c r="J25" s="81">
        <v>129</v>
      </c>
      <c r="K25" s="108">
        <v>3336.31</v>
      </c>
    </row>
    <row r="26" spans="1:11" x14ac:dyDescent="0.3">
      <c r="E26" s="81" t="s">
        <v>155</v>
      </c>
      <c r="F26" s="81" t="s">
        <v>134</v>
      </c>
      <c r="G26" s="81" t="s">
        <v>117</v>
      </c>
      <c r="H26" s="83">
        <v>2</v>
      </c>
      <c r="I26" s="82">
        <v>12478</v>
      </c>
      <c r="J26" s="81">
        <v>129</v>
      </c>
      <c r="K26" s="108">
        <v>5412.09</v>
      </c>
    </row>
    <row r="27" spans="1:11" x14ac:dyDescent="0.3">
      <c r="E27" s="175" t="s">
        <v>135</v>
      </c>
      <c r="F27" s="175"/>
      <c r="G27"/>
      <c r="H27"/>
      <c r="I27"/>
      <c r="J27"/>
      <c r="K27"/>
    </row>
    <row r="28" spans="1:11" x14ac:dyDescent="0.3">
      <c r="E28" s="81" t="s">
        <v>156</v>
      </c>
      <c r="F28" s="81" t="s">
        <v>119</v>
      </c>
      <c r="G28" s="81" t="s">
        <v>117</v>
      </c>
      <c r="H28" s="81">
        <v>2</v>
      </c>
      <c r="I28" s="81">
        <v>602</v>
      </c>
      <c r="J28" s="81">
        <v>6</v>
      </c>
      <c r="K28" s="108">
        <v>249.66</v>
      </c>
    </row>
    <row r="29" spans="1:11" x14ac:dyDescent="0.3">
      <c r="E29" s="81" t="s">
        <v>157</v>
      </c>
      <c r="F29" s="81" t="s">
        <v>124</v>
      </c>
      <c r="G29" s="81" t="s">
        <v>117</v>
      </c>
      <c r="H29" s="81">
        <v>2</v>
      </c>
      <c r="I29" s="82">
        <v>1516</v>
      </c>
      <c r="J29" s="81">
        <v>16</v>
      </c>
      <c r="K29" s="108">
        <v>668.06</v>
      </c>
    </row>
    <row r="30" spans="1:11" x14ac:dyDescent="0.3">
      <c r="E30"/>
      <c r="F30"/>
      <c r="G30"/>
      <c r="H30"/>
      <c r="I30"/>
      <c r="J30"/>
      <c r="K30"/>
    </row>
    <row r="31" spans="1:11" x14ac:dyDescent="0.3">
      <c r="E31" s="175" t="s">
        <v>136</v>
      </c>
      <c r="F31" s="175"/>
      <c r="G31" s="175"/>
      <c r="H31" s="175"/>
      <c r="I31" s="175"/>
      <c r="J31" s="175"/>
      <c r="K31" s="175"/>
    </row>
    <row r="32" spans="1:11" ht="28.8" x14ac:dyDescent="0.3">
      <c r="E32" s="80" t="s">
        <v>109</v>
      </c>
      <c r="F32" s="80" t="s">
        <v>110</v>
      </c>
      <c r="G32" s="80" t="s">
        <v>111</v>
      </c>
      <c r="H32" s="80" t="s">
        <v>112</v>
      </c>
      <c r="I32" s="80" t="s">
        <v>113</v>
      </c>
      <c r="J32" s="80" t="s">
        <v>114</v>
      </c>
      <c r="K32" s="80" t="s">
        <v>115</v>
      </c>
    </row>
    <row r="33" spans="5:14" x14ac:dyDescent="0.3">
      <c r="E33" s="81" t="s">
        <v>158</v>
      </c>
      <c r="F33" s="81" t="s">
        <v>15</v>
      </c>
      <c r="G33" s="81" t="s">
        <v>117</v>
      </c>
      <c r="H33" s="81">
        <v>5</v>
      </c>
      <c r="I33" s="82">
        <v>14716</v>
      </c>
      <c r="J33" s="81">
        <v>152</v>
      </c>
      <c r="K33" s="108">
        <v>7681.63</v>
      </c>
      <c r="N33" s="9"/>
    </row>
    <row r="34" spans="5:14" x14ac:dyDescent="0.3">
      <c r="E34" s="81" t="s">
        <v>158</v>
      </c>
      <c r="F34" s="81" t="s">
        <v>16</v>
      </c>
      <c r="G34" s="81" t="s">
        <v>117</v>
      </c>
      <c r="H34" s="81">
        <v>5</v>
      </c>
      <c r="I34" s="82">
        <v>21405</v>
      </c>
      <c r="J34" s="81">
        <v>221</v>
      </c>
      <c r="K34" s="108">
        <v>8318.6299999999992</v>
      </c>
    </row>
    <row r="35" spans="5:14" x14ac:dyDescent="0.3">
      <c r="E35" s="81" t="s">
        <v>158</v>
      </c>
      <c r="F35" s="81" t="s">
        <v>159</v>
      </c>
      <c r="G35" s="81" t="s">
        <v>117</v>
      </c>
      <c r="H35" s="81">
        <v>5</v>
      </c>
      <c r="I35" s="82">
        <v>30769</v>
      </c>
      <c r="J35" s="81">
        <v>318</v>
      </c>
      <c r="K35" s="108">
        <v>9401.6299999999992</v>
      </c>
    </row>
    <row r="36" spans="5:14" x14ac:dyDescent="0.3">
      <c r="E36" s="81" t="s">
        <v>160</v>
      </c>
      <c r="F36" s="81" t="s">
        <v>15</v>
      </c>
      <c r="G36" s="81" t="s">
        <v>117</v>
      </c>
      <c r="H36" s="81" t="s">
        <v>172</v>
      </c>
      <c r="I36" s="82">
        <v>40821</v>
      </c>
      <c r="J36" s="81">
        <v>421</v>
      </c>
      <c r="K36" s="108">
        <v>13777.81</v>
      </c>
    </row>
    <row r="37" spans="5:14" x14ac:dyDescent="0.3">
      <c r="E37" s="81" t="s">
        <v>160</v>
      </c>
      <c r="F37" s="81" t="s">
        <v>16</v>
      </c>
      <c r="G37" s="81" t="s">
        <v>117</v>
      </c>
      <c r="H37" s="81" t="s">
        <v>172</v>
      </c>
      <c r="I37" s="82">
        <v>59376</v>
      </c>
      <c r="J37" s="81">
        <v>613</v>
      </c>
      <c r="K37" s="108">
        <v>14411.81</v>
      </c>
    </row>
    <row r="38" spans="5:14" x14ac:dyDescent="0.3">
      <c r="E38" s="81" t="s">
        <v>160</v>
      </c>
      <c r="F38" s="81" t="s">
        <v>159</v>
      </c>
      <c r="G38" s="81" t="s">
        <v>117</v>
      </c>
      <c r="H38" s="81" t="s">
        <v>172</v>
      </c>
      <c r="I38" s="82">
        <v>85353</v>
      </c>
      <c r="J38" s="81">
        <v>881</v>
      </c>
      <c r="K38" s="108">
        <v>15494.81</v>
      </c>
    </row>
    <row r="39" spans="5:14" x14ac:dyDescent="0.3">
      <c r="E39" s="81" t="s">
        <v>161</v>
      </c>
      <c r="F39" s="81" t="s">
        <v>13</v>
      </c>
      <c r="G39" s="81" t="s">
        <v>117</v>
      </c>
      <c r="H39" s="81">
        <v>5</v>
      </c>
      <c r="I39" s="82">
        <v>6689</v>
      </c>
      <c r="J39" s="81">
        <v>69</v>
      </c>
      <c r="K39" s="108">
        <v>4604.62</v>
      </c>
    </row>
    <row r="40" spans="5:14" x14ac:dyDescent="0.3">
      <c r="E40" s="81" t="s">
        <v>162</v>
      </c>
      <c r="F40" s="81" t="s">
        <v>14</v>
      </c>
      <c r="G40" s="81" t="s">
        <v>117</v>
      </c>
      <c r="H40" s="81">
        <v>5</v>
      </c>
      <c r="I40" s="82">
        <v>9365</v>
      </c>
      <c r="J40" s="81">
        <v>97</v>
      </c>
      <c r="K40" s="108">
        <v>4766.62</v>
      </c>
    </row>
    <row r="41" spans="5:14" x14ac:dyDescent="0.3">
      <c r="E41" s="81" t="s">
        <v>163</v>
      </c>
      <c r="F41" s="81" t="s">
        <v>10</v>
      </c>
      <c r="G41" s="81" t="s">
        <v>117</v>
      </c>
      <c r="H41" s="81">
        <v>5</v>
      </c>
      <c r="I41" s="82">
        <v>1050</v>
      </c>
      <c r="J41" s="81">
        <v>11</v>
      </c>
      <c r="K41" s="108">
        <v>4073.95</v>
      </c>
    </row>
    <row r="42" spans="5:14" x14ac:dyDescent="0.3">
      <c r="E42" s="81" t="s">
        <v>163</v>
      </c>
      <c r="F42" s="81" t="s">
        <v>99</v>
      </c>
      <c r="G42" s="81" t="s">
        <v>117</v>
      </c>
      <c r="H42" s="81">
        <v>5</v>
      </c>
      <c r="I42" s="82">
        <v>2000</v>
      </c>
      <c r="J42" s="81">
        <v>21</v>
      </c>
      <c r="K42" s="108">
        <v>4128.95</v>
      </c>
    </row>
    <row r="43" spans="5:14" x14ac:dyDescent="0.3">
      <c r="E43" s="81" t="s">
        <v>163</v>
      </c>
      <c r="F43" s="81" t="s">
        <v>12</v>
      </c>
      <c r="G43" s="81" t="s">
        <v>117</v>
      </c>
      <c r="H43" s="81">
        <v>5</v>
      </c>
      <c r="I43" s="82">
        <v>4013</v>
      </c>
      <c r="J43" s="81">
        <v>41</v>
      </c>
      <c r="K43" s="166">
        <v>4194.95</v>
      </c>
    </row>
    <row r="44" spans="5:14" x14ac:dyDescent="0.3">
      <c r="E44" s="81" t="s">
        <v>164</v>
      </c>
      <c r="F44" s="81" t="s">
        <v>13</v>
      </c>
      <c r="G44" s="81" t="s">
        <v>117</v>
      </c>
      <c r="H44" s="81">
        <v>5</v>
      </c>
      <c r="I44" s="82">
        <v>6689</v>
      </c>
      <c r="J44" s="81">
        <v>69</v>
      </c>
      <c r="K44" s="108">
        <v>4581.43</v>
      </c>
    </row>
    <row r="45" spans="5:14" x14ac:dyDescent="0.3">
      <c r="E45" s="81" t="s">
        <v>165</v>
      </c>
      <c r="F45" s="81" t="s">
        <v>14</v>
      </c>
      <c r="G45" s="81" t="s">
        <v>117</v>
      </c>
      <c r="H45" s="81">
        <v>5</v>
      </c>
      <c r="I45" s="82">
        <v>9365</v>
      </c>
      <c r="J45" s="81">
        <v>97</v>
      </c>
      <c r="K45" s="108">
        <v>4743.43</v>
      </c>
    </row>
    <row r="46" spans="5:14" x14ac:dyDescent="0.3">
      <c r="E46" s="81" t="s">
        <v>166</v>
      </c>
      <c r="F46" s="81" t="s">
        <v>15</v>
      </c>
      <c r="G46" s="81" t="s">
        <v>117</v>
      </c>
      <c r="H46" s="81">
        <v>5</v>
      </c>
      <c r="I46" s="82">
        <v>14716</v>
      </c>
      <c r="J46" s="81">
        <v>152</v>
      </c>
      <c r="K46" s="108">
        <v>5240.1099999999997</v>
      </c>
    </row>
    <row r="47" spans="5:14" x14ac:dyDescent="0.3">
      <c r="E47" s="81" t="s">
        <v>166</v>
      </c>
      <c r="F47" s="81" t="s">
        <v>16</v>
      </c>
      <c r="G47" s="81" t="s">
        <v>117</v>
      </c>
      <c r="H47" s="81">
        <v>5</v>
      </c>
      <c r="I47" s="82">
        <v>21405</v>
      </c>
      <c r="J47" s="81">
        <v>221</v>
      </c>
      <c r="K47" s="108">
        <v>5877.11</v>
      </c>
    </row>
    <row r="48" spans="5:14" x14ac:dyDescent="0.3">
      <c r="E48" s="81" t="s">
        <v>167</v>
      </c>
      <c r="F48" s="81" t="s">
        <v>15</v>
      </c>
      <c r="G48" s="81" t="s">
        <v>117</v>
      </c>
      <c r="H48" s="81">
        <v>5</v>
      </c>
      <c r="I48" s="82">
        <v>14716</v>
      </c>
      <c r="J48" s="81">
        <v>152</v>
      </c>
      <c r="K48" s="108">
        <v>8458.51</v>
      </c>
    </row>
    <row r="49" spans="5:16" x14ac:dyDescent="0.3">
      <c r="E49" s="81" t="s">
        <v>167</v>
      </c>
      <c r="F49" s="81" t="s">
        <v>16</v>
      </c>
      <c r="G49" s="81" t="s">
        <v>117</v>
      </c>
      <c r="H49" s="81">
        <v>5</v>
      </c>
      <c r="I49" s="82">
        <v>21405</v>
      </c>
      <c r="J49" s="81">
        <v>221</v>
      </c>
      <c r="K49" s="108">
        <v>9231.41</v>
      </c>
    </row>
    <row r="50" spans="5:16" x14ac:dyDescent="0.3">
      <c r="E50" s="81" t="s">
        <v>167</v>
      </c>
      <c r="F50" s="81" t="s">
        <v>159</v>
      </c>
      <c r="G50" s="81" t="s">
        <v>117</v>
      </c>
      <c r="H50" s="81">
        <v>5</v>
      </c>
      <c r="I50" s="82">
        <v>30769</v>
      </c>
      <c r="J50" s="81">
        <v>318</v>
      </c>
      <c r="K50" s="108">
        <v>10314.41</v>
      </c>
    </row>
    <row r="51" spans="5:16" x14ac:dyDescent="0.3">
      <c r="E51" s="81" t="s">
        <v>167</v>
      </c>
      <c r="F51" s="81" t="s">
        <v>159</v>
      </c>
      <c r="G51" s="81" t="s">
        <v>117</v>
      </c>
      <c r="H51" s="81" t="s">
        <v>172</v>
      </c>
      <c r="I51" s="82">
        <v>30769</v>
      </c>
      <c r="J51" s="81">
        <v>318</v>
      </c>
      <c r="K51" s="108">
        <v>11969.51</v>
      </c>
    </row>
    <row r="52" spans="5:16" x14ac:dyDescent="0.3">
      <c r="E52" s="81" t="s">
        <v>168</v>
      </c>
      <c r="F52" s="81" t="s">
        <v>171</v>
      </c>
      <c r="G52" s="81" t="s">
        <v>117</v>
      </c>
      <c r="H52" s="81" t="s">
        <v>172</v>
      </c>
      <c r="I52" s="82">
        <v>85353</v>
      </c>
      <c r="J52" s="81">
        <v>881</v>
      </c>
      <c r="K52" s="108">
        <v>21697.32</v>
      </c>
      <c r="P52" s="9"/>
    </row>
    <row r="53" spans="5:16" x14ac:dyDescent="0.3">
      <c r="E53" s="81" t="s">
        <v>169</v>
      </c>
      <c r="F53" s="81" t="s">
        <v>18</v>
      </c>
      <c r="G53" s="81" t="s">
        <v>117</v>
      </c>
      <c r="H53" s="81" t="s">
        <v>172</v>
      </c>
      <c r="I53" s="82">
        <v>141017</v>
      </c>
      <c r="J53" s="82">
        <v>1455</v>
      </c>
      <c r="K53" s="108">
        <v>28736.799999999999</v>
      </c>
    </row>
    <row r="54" spans="5:16" x14ac:dyDescent="0.3">
      <c r="E54" s="81" t="s">
        <v>170</v>
      </c>
      <c r="F54" s="81" t="s">
        <v>15</v>
      </c>
      <c r="G54" s="81" t="s">
        <v>117</v>
      </c>
      <c r="H54" s="81" t="s">
        <v>172</v>
      </c>
      <c r="I54" s="82">
        <v>40821</v>
      </c>
      <c r="J54" s="110">
        <v>421</v>
      </c>
      <c r="K54" s="108">
        <v>20537.63</v>
      </c>
    </row>
    <row r="55" spans="5:16" x14ac:dyDescent="0.3">
      <c r="E55" s="10" t="s">
        <v>170</v>
      </c>
      <c r="F55" s="110" t="s">
        <v>16</v>
      </c>
      <c r="G55" s="81" t="s">
        <v>117</v>
      </c>
      <c r="H55" s="81" t="s">
        <v>172</v>
      </c>
      <c r="I55" s="82">
        <v>59376</v>
      </c>
      <c r="J55" s="110">
        <v>613</v>
      </c>
      <c r="K55" s="108">
        <v>21174.63</v>
      </c>
    </row>
    <row r="56" spans="5:16" x14ac:dyDescent="0.3">
      <c r="E56" s="10" t="s">
        <v>170</v>
      </c>
      <c r="F56" s="110" t="s">
        <v>159</v>
      </c>
      <c r="G56" s="81" t="s">
        <v>117</v>
      </c>
      <c r="H56" s="81" t="s">
        <v>172</v>
      </c>
      <c r="I56" s="82">
        <v>85353</v>
      </c>
      <c r="J56" s="110">
        <v>881</v>
      </c>
      <c r="K56" s="109">
        <v>22257.63</v>
      </c>
    </row>
  </sheetData>
  <dataConsolidate/>
  <mergeCells count="7">
    <mergeCell ref="E31:K31"/>
    <mergeCell ref="E4:K4"/>
    <mergeCell ref="E6:F6"/>
    <mergeCell ref="E12:F12"/>
    <mergeCell ref="E15:F15"/>
    <mergeCell ref="E18:F18"/>
    <mergeCell ref="E27:F2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fitToPage="1"/>
  </sheetPr>
  <dimension ref="A1:U86"/>
  <sheetViews>
    <sheetView topLeftCell="A7" workbookViewId="0">
      <pane xSplit="4" ySplit="20" topLeftCell="E27" activePane="bottomRight" state="frozen"/>
      <selection activeCell="A7" sqref="A7"/>
      <selection pane="topRight" activeCell="E7" sqref="E7"/>
      <selection pane="bottomLeft" activeCell="A27" sqref="A27"/>
      <selection pane="bottomRight" activeCell="J8" sqref="J8"/>
    </sheetView>
  </sheetViews>
  <sheetFormatPr defaultColWidth="10.33203125" defaultRowHeight="14.4" x14ac:dyDescent="0.3"/>
  <cols>
    <col min="1" max="2" width="5.6640625" style="8" customWidth="1"/>
    <col min="3" max="3" width="28.44140625" style="8" customWidth="1"/>
    <col min="4" max="20" width="13.6640625" style="10" customWidth="1"/>
    <col min="21" max="16384" width="10.33203125" style="10"/>
  </cols>
  <sheetData>
    <row r="1" spans="1:13" x14ac:dyDescent="0.25">
      <c r="A1" s="7" t="s">
        <v>28</v>
      </c>
      <c r="D1" s="9"/>
      <c r="E1" s="174"/>
      <c r="F1" s="174"/>
      <c r="I1" s="11"/>
    </row>
    <row r="2" spans="1:13" x14ac:dyDescent="0.3">
      <c r="A2" s="8" t="s">
        <v>29</v>
      </c>
      <c r="D2" s="9"/>
      <c r="E2" s="9"/>
      <c r="F2" s="11"/>
      <c r="G2" s="11"/>
    </row>
    <row r="3" spans="1:13" ht="15" thickBot="1" x14ac:dyDescent="0.35">
      <c r="D3" s="9"/>
      <c r="E3" s="9"/>
      <c r="F3" s="11"/>
      <c r="G3" s="11"/>
      <c r="I3" s="64" t="s">
        <v>100</v>
      </c>
    </row>
    <row r="4" spans="1:13" ht="36" customHeight="1" x14ac:dyDescent="0.3">
      <c r="A4" s="12" t="s">
        <v>30</v>
      </c>
      <c r="B4" s="13"/>
      <c r="C4" s="13"/>
      <c r="D4" s="14"/>
      <c r="E4" s="14"/>
      <c r="F4" s="15"/>
      <c r="G4" s="16"/>
      <c r="I4" s="17" t="s">
        <v>31</v>
      </c>
      <c r="J4" s="17" t="s">
        <v>104</v>
      </c>
      <c r="K4" s="72" t="s">
        <v>103</v>
      </c>
      <c r="L4" s="72" t="s">
        <v>105</v>
      </c>
    </row>
    <row r="5" spans="1:13" x14ac:dyDescent="0.3">
      <c r="A5" s="18"/>
      <c r="B5" s="19"/>
      <c r="C5" s="19"/>
      <c r="D5" s="20"/>
      <c r="E5" s="20"/>
      <c r="F5" s="21"/>
      <c r="G5" s="16"/>
      <c r="I5" s="22">
        <v>250</v>
      </c>
      <c r="J5" s="71">
        <v>1</v>
      </c>
      <c r="K5" s="71">
        <v>2.0048601954472138</v>
      </c>
      <c r="L5" s="73">
        <f t="shared" ref="L5:L6" si="0">(K5/J5)-1</f>
        <v>1.0048601954472138</v>
      </c>
    </row>
    <row r="6" spans="1:13" x14ac:dyDescent="0.3">
      <c r="A6" s="18"/>
      <c r="B6" s="19"/>
      <c r="C6" s="19"/>
      <c r="D6" s="23"/>
      <c r="E6" s="23"/>
      <c r="F6" s="24" t="s">
        <v>32</v>
      </c>
      <c r="G6" s="23"/>
      <c r="I6" s="90">
        <v>630</v>
      </c>
      <c r="J6" s="91">
        <v>3</v>
      </c>
      <c r="K6" s="91">
        <v>5.1176694462731458</v>
      </c>
      <c r="L6" s="92">
        <f t="shared" si="0"/>
        <v>0.70588981542438201</v>
      </c>
    </row>
    <row r="7" spans="1:13" x14ac:dyDescent="0.3">
      <c r="A7" s="18" t="s">
        <v>33</v>
      </c>
      <c r="B7" s="19"/>
      <c r="C7" s="19"/>
      <c r="D7" s="25" t="s">
        <v>34</v>
      </c>
      <c r="E7" s="25" t="s">
        <v>35</v>
      </c>
      <c r="F7" s="26" t="s">
        <v>35</v>
      </c>
      <c r="G7" s="23"/>
      <c r="H7" s="97"/>
      <c r="J7" s="100" t="s">
        <v>35</v>
      </c>
      <c r="K7" s="100" t="s">
        <v>139</v>
      </c>
      <c r="L7" s="101"/>
      <c r="M7" s="102"/>
    </row>
    <row r="8" spans="1:13" x14ac:dyDescent="0.3">
      <c r="A8" s="18"/>
      <c r="B8" s="19"/>
      <c r="C8" s="19"/>
      <c r="D8" s="27"/>
      <c r="E8" s="27"/>
      <c r="F8" s="28"/>
      <c r="G8" s="27"/>
      <c r="I8" s="99" t="s">
        <v>174</v>
      </c>
      <c r="J8" s="103">
        <f>'AAMR Cost'!B13</f>
        <v>3060.2022030728012</v>
      </c>
      <c r="K8" s="130">
        <f>-D49</f>
        <v>34.528834760686898</v>
      </c>
      <c r="L8" s="93"/>
      <c r="M8" s="54"/>
    </row>
    <row r="9" spans="1:13" x14ac:dyDescent="0.3">
      <c r="A9" s="18" t="s">
        <v>179</v>
      </c>
      <c r="B9" s="19"/>
      <c r="C9" s="19"/>
      <c r="D9" s="29">
        <v>5.0299999999999997E-2</v>
      </c>
      <c r="E9" s="29">
        <v>5.28E-2</v>
      </c>
      <c r="F9" s="30">
        <v>2.65584E-3</v>
      </c>
      <c r="G9" s="29"/>
      <c r="I9" s="114"/>
      <c r="J9" s="103"/>
      <c r="K9" s="113"/>
      <c r="L9" s="93"/>
      <c r="M9" s="54"/>
    </row>
    <row r="10" spans="1:13" x14ac:dyDescent="0.3">
      <c r="A10" s="18" t="s">
        <v>178</v>
      </c>
      <c r="B10" s="19"/>
      <c r="C10" s="19"/>
      <c r="D10" s="29">
        <v>0.44230000000000003</v>
      </c>
      <c r="E10" s="29">
        <v>6.7960000000000007E-2</v>
      </c>
      <c r="F10" s="30">
        <v>3.0058708000000003E-2</v>
      </c>
      <c r="G10" s="29"/>
      <c r="I10" s="98"/>
      <c r="J10" s="103"/>
      <c r="K10" s="131"/>
      <c r="L10" s="93"/>
      <c r="M10" s="54"/>
    </row>
    <row r="11" spans="1:13" x14ac:dyDescent="0.3">
      <c r="A11" s="18" t="s">
        <v>36</v>
      </c>
      <c r="B11" s="19"/>
      <c r="C11" s="19"/>
      <c r="D11" s="31">
        <v>0.50739999999999996</v>
      </c>
      <c r="E11" s="132">
        <v>0.10100000000000001</v>
      </c>
      <c r="F11" s="32">
        <v>5.1247399999999999E-2</v>
      </c>
      <c r="G11" s="29"/>
      <c r="I11" s="98"/>
      <c r="J11" s="103"/>
      <c r="K11" s="113"/>
      <c r="L11" s="93"/>
      <c r="M11" s="54"/>
    </row>
    <row r="12" spans="1:13" ht="15" thickBot="1" x14ac:dyDescent="0.35">
      <c r="A12" s="18"/>
      <c r="B12" s="19"/>
      <c r="C12" s="19"/>
      <c r="D12" s="33">
        <f>D9+D10+D11</f>
        <v>1</v>
      </c>
      <c r="E12" s="29"/>
      <c r="F12" s="34">
        <f>F9+F10+F11</f>
        <v>8.3961948000000008E-2</v>
      </c>
      <c r="G12" s="29"/>
      <c r="I12" s="98"/>
      <c r="J12" s="103"/>
      <c r="K12" s="113"/>
      <c r="L12" s="93"/>
      <c r="M12" s="54"/>
    </row>
    <row r="13" spans="1:13" ht="15" thickTop="1" x14ac:dyDescent="0.3">
      <c r="A13" s="18"/>
      <c r="B13" s="19"/>
      <c r="C13" s="19"/>
      <c r="D13" s="27"/>
      <c r="E13" s="27"/>
      <c r="F13" s="28"/>
      <c r="G13" s="27"/>
      <c r="I13" s="98"/>
      <c r="J13" s="103"/>
      <c r="K13" s="113"/>
      <c r="L13" s="93"/>
      <c r="M13" s="54"/>
    </row>
    <row r="14" spans="1:13" x14ac:dyDescent="0.3">
      <c r="A14" s="18" t="s">
        <v>37</v>
      </c>
      <c r="B14" s="19"/>
      <c r="C14" s="19"/>
      <c r="D14" s="27"/>
      <c r="E14" s="27"/>
      <c r="F14" s="84">
        <v>0</v>
      </c>
      <c r="G14" s="29"/>
      <c r="I14" s="98"/>
      <c r="J14" s="103"/>
      <c r="K14" s="113"/>
      <c r="L14" s="93"/>
      <c r="M14" s="54"/>
    </row>
    <row r="15" spans="1:13" x14ac:dyDescent="0.3">
      <c r="A15" s="18" t="s">
        <v>38</v>
      </c>
      <c r="B15" s="19"/>
      <c r="C15" s="19"/>
      <c r="D15" s="27"/>
      <c r="E15" s="27"/>
      <c r="F15" s="84">
        <v>0.21</v>
      </c>
      <c r="G15" s="29"/>
      <c r="I15" s="98"/>
      <c r="J15" s="103"/>
      <c r="K15" s="113"/>
      <c r="L15" s="93"/>
      <c r="M15" s="54"/>
    </row>
    <row r="16" spans="1:13" x14ac:dyDescent="0.3">
      <c r="A16" s="18" t="s">
        <v>39</v>
      </c>
      <c r="B16" s="19"/>
      <c r="C16" s="19"/>
      <c r="D16" s="27"/>
      <c r="E16" s="27"/>
      <c r="F16" s="85">
        <v>4.3720000000000002E-2</v>
      </c>
      <c r="G16" s="36"/>
      <c r="I16" s="98"/>
      <c r="J16" s="103"/>
      <c r="K16" s="113"/>
      <c r="L16" s="93"/>
      <c r="M16" s="54"/>
    </row>
    <row r="17" spans="1:21" x14ac:dyDescent="0.3">
      <c r="A17" s="18" t="s">
        <v>40</v>
      </c>
      <c r="B17" s="19"/>
      <c r="C17" s="19"/>
      <c r="D17" s="27"/>
      <c r="E17" s="27"/>
      <c r="F17" s="85">
        <f>1/15</f>
        <v>6.6666666666666666E-2</v>
      </c>
      <c r="G17" s="37"/>
      <c r="I17" s="98"/>
      <c r="J17" s="103"/>
      <c r="K17" s="113"/>
      <c r="L17" s="93"/>
      <c r="M17" s="54"/>
    </row>
    <row r="18" spans="1:21" x14ac:dyDescent="0.3">
      <c r="A18" s="18" t="s">
        <v>41</v>
      </c>
      <c r="B18" s="19"/>
      <c r="C18" s="19"/>
      <c r="D18" s="27"/>
      <c r="E18" s="27"/>
      <c r="F18" s="85">
        <v>0</v>
      </c>
      <c r="G18" s="37"/>
      <c r="H18" s="37"/>
      <c r="I18" s="98"/>
      <c r="J18" s="103"/>
      <c r="K18" s="113"/>
      <c r="L18" s="94"/>
      <c r="M18" s="54"/>
    </row>
    <row r="19" spans="1:21" x14ac:dyDescent="0.3">
      <c r="A19" s="18" t="s">
        <v>42</v>
      </c>
      <c r="B19" s="19"/>
      <c r="C19" s="19"/>
      <c r="D19" s="27"/>
      <c r="E19" s="27"/>
      <c r="F19" s="38">
        <v>0</v>
      </c>
      <c r="G19" s="37"/>
      <c r="H19" s="37"/>
      <c r="I19" s="88"/>
      <c r="J19" s="95"/>
      <c r="K19" s="94"/>
      <c r="L19" s="96"/>
    </row>
    <row r="20" spans="1:21" x14ac:dyDescent="0.3">
      <c r="A20" s="18" t="s">
        <v>43</v>
      </c>
      <c r="B20" s="19"/>
      <c r="C20" s="19"/>
      <c r="D20" s="27"/>
      <c r="E20" s="27"/>
      <c r="F20" s="35">
        <v>0</v>
      </c>
      <c r="G20" s="37"/>
      <c r="H20" s="37"/>
      <c r="I20" s="88"/>
      <c r="J20" s="95"/>
      <c r="K20" s="94"/>
      <c r="L20" s="96"/>
    </row>
    <row r="21" spans="1:21" x14ac:dyDescent="0.3">
      <c r="A21" s="18" t="s">
        <v>44</v>
      </c>
      <c r="B21" s="19"/>
      <c r="C21" s="19"/>
      <c r="D21" s="27"/>
      <c r="E21" s="27"/>
      <c r="F21" s="39">
        <v>2</v>
      </c>
      <c r="G21" s="37"/>
      <c r="H21" s="37"/>
      <c r="I21" s="37"/>
      <c r="J21" s="37"/>
      <c r="K21" s="37"/>
      <c r="L21" s="37"/>
      <c r="M21" s="37"/>
      <c r="N21" s="37"/>
    </row>
    <row r="22" spans="1:21" x14ac:dyDescent="0.3">
      <c r="A22" s="18"/>
      <c r="B22" s="19"/>
      <c r="C22" s="19"/>
      <c r="D22" s="27"/>
      <c r="E22" s="27"/>
      <c r="F22" s="39"/>
      <c r="G22" s="37"/>
      <c r="H22" s="37"/>
      <c r="I22" s="37"/>
      <c r="J22" s="58"/>
      <c r="K22" s="74"/>
      <c r="L22" s="74"/>
      <c r="M22" s="74"/>
      <c r="N22" s="74"/>
      <c r="O22" s="74"/>
      <c r="P22" s="74"/>
    </row>
    <row r="23" spans="1:21" ht="15" thickBot="1" x14ac:dyDescent="0.35">
      <c r="A23" s="40" t="s">
        <v>45</v>
      </c>
      <c r="B23" s="41"/>
      <c r="C23" s="41"/>
      <c r="D23" s="41"/>
      <c r="E23" s="105"/>
      <c r="F23" s="106">
        <f>J8</f>
        <v>3060.2022030728012</v>
      </c>
      <c r="J23" s="42"/>
    </row>
    <row r="25" spans="1:21" x14ac:dyDescent="0.3">
      <c r="B25" s="10"/>
      <c r="C25" s="10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1" x14ac:dyDescent="0.3">
      <c r="E26" s="45" t="s">
        <v>46</v>
      </c>
      <c r="F26" s="46" t="s">
        <v>47</v>
      </c>
      <c r="G26" s="46" t="s">
        <v>48</v>
      </c>
      <c r="H26" s="46" t="s">
        <v>49</v>
      </c>
      <c r="I26" s="46" t="s">
        <v>50</v>
      </c>
      <c r="J26" s="46" t="s">
        <v>51</v>
      </c>
      <c r="K26" s="46" t="s">
        <v>52</v>
      </c>
      <c r="L26" s="46" t="s">
        <v>53</v>
      </c>
      <c r="M26" s="46" t="s">
        <v>54</v>
      </c>
      <c r="N26" s="46" t="s">
        <v>55</v>
      </c>
      <c r="O26" s="46" t="s">
        <v>56</v>
      </c>
      <c r="P26" s="46" t="s">
        <v>57</v>
      </c>
      <c r="Q26" s="46" t="s">
        <v>58</v>
      </c>
      <c r="R26" s="46" t="s">
        <v>59</v>
      </c>
      <c r="S26" s="46" t="s">
        <v>60</v>
      </c>
      <c r="T26" s="46" t="s">
        <v>61</v>
      </c>
    </row>
    <row r="27" spans="1:21" x14ac:dyDescent="0.3">
      <c r="D27" s="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1" x14ac:dyDescent="0.3">
      <c r="A28" s="76">
        <v>1</v>
      </c>
      <c r="B28" s="8" t="s">
        <v>67</v>
      </c>
      <c r="D28" s="9"/>
      <c r="E28" s="48">
        <f t="shared" ref="E28:S28" si="1">$F23*$F17</f>
        <v>204.01348020485341</v>
      </c>
      <c r="F28" s="48">
        <f>$F23*$F17</f>
        <v>204.01348020485341</v>
      </c>
      <c r="G28" s="48">
        <f t="shared" si="1"/>
        <v>204.01348020485341</v>
      </c>
      <c r="H28" s="48">
        <f t="shared" si="1"/>
        <v>204.01348020485341</v>
      </c>
      <c r="I28" s="48">
        <f t="shared" si="1"/>
        <v>204.01348020485341</v>
      </c>
      <c r="J28" s="48">
        <f t="shared" si="1"/>
        <v>204.01348020485341</v>
      </c>
      <c r="K28" s="48">
        <f t="shared" si="1"/>
        <v>204.01348020485341</v>
      </c>
      <c r="L28" s="48">
        <f t="shared" si="1"/>
        <v>204.01348020485341</v>
      </c>
      <c r="M28" s="48">
        <f t="shared" si="1"/>
        <v>204.01348020485341</v>
      </c>
      <c r="N28" s="48">
        <f t="shared" si="1"/>
        <v>204.01348020485341</v>
      </c>
      <c r="O28" s="48">
        <f t="shared" si="1"/>
        <v>204.01348020485341</v>
      </c>
      <c r="P28" s="48">
        <f t="shared" si="1"/>
        <v>204.01348020485341</v>
      </c>
      <c r="Q28" s="48">
        <f t="shared" si="1"/>
        <v>204.01348020485341</v>
      </c>
      <c r="R28" s="48">
        <f t="shared" si="1"/>
        <v>204.01348020485341</v>
      </c>
      <c r="S28" s="48">
        <f t="shared" si="1"/>
        <v>204.01348020485341</v>
      </c>
      <c r="T28" s="48">
        <f t="shared" ref="T28" si="2">$F23*$F17</f>
        <v>204.01348020485341</v>
      </c>
      <c r="U28" s="59">
        <f>SUM(E28:T28)</f>
        <v>3264.2156832776536</v>
      </c>
    </row>
    <row r="29" spans="1:21" x14ac:dyDescent="0.3">
      <c r="A29" s="76">
        <f>+A28+1</f>
        <v>2</v>
      </c>
      <c r="B29" s="8" t="s">
        <v>68</v>
      </c>
      <c r="D29" s="9"/>
      <c r="E29" s="48">
        <f>+F19</f>
        <v>0</v>
      </c>
      <c r="F29" s="48">
        <f>+E29*(1+$F$20)</f>
        <v>0</v>
      </c>
      <c r="G29" s="48">
        <f t="shared" ref="G29:T29" si="3">+F29*(1+$F$20)</f>
        <v>0</v>
      </c>
      <c r="H29" s="48">
        <f t="shared" si="3"/>
        <v>0</v>
      </c>
      <c r="I29" s="48">
        <f t="shared" si="3"/>
        <v>0</v>
      </c>
      <c r="J29" s="48">
        <f t="shared" si="3"/>
        <v>0</v>
      </c>
      <c r="K29" s="48">
        <f t="shared" si="3"/>
        <v>0</v>
      </c>
      <c r="L29" s="48">
        <f t="shared" si="3"/>
        <v>0</v>
      </c>
      <c r="M29" s="48">
        <f t="shared" si="3"/>
        <v>0</v>
      </c>
      <c r="N29" s="48">
        <f t="shared" si="3"/>
        <v>0</v>
      </c>
      <c r="O29" s="48">
        <f t="shared" si="3"/>
        <v>0</v>
      </c>
      <c r="P29" s="48">
        <f t="shared" si="3"/>
        <v>0</v>
      </c>
      <c r="Q29" s="48">
        <f t="shared" si="3"/>
        <v>0</v>
      </c>
      <c r="R29" s="48">
        <f t="shared" si="3"/>
        <v>0</v>
      </c>
      <c r="S29" s="48">
        <f t="shared" si="3"/>
        <v>0</v>
      </c>
      <c r="T29" s="48">
        <f t="shared" si="3"/>
        <v>0</v>
      </c>
    </row>
    <row r="30" spans="1:21" x14ac:dyDescent="0.3">
      <c r="A30" s="76">
        <f>+A29+1</f>
        <v>3</v>
      </c>
      <c r="B30" s="8" t="s">
        <v>69</v>
      </c>
      <c r="D30" s="9"/>
      <c r="E30" s="48">
        <f>E76*$F18</f>
        <v>0</v>
      </c>
      <c r="F30" s="48">
        <f t="shared" ref="F30:S30" si="4">F76*$F18</f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  <c r="N30" s="48">
        <f t="shared" si="4"/>
        <v>0</v>
      </c>
      <c r="O30" s="48">
        <f t="shared" si="4"/>
        <v>0</v>
      </c>
      <c r="P30" s="48">
        <f t="shared" si="4"/>
        <v>0</v>
      </c>
      <c r="Q30" s="48">
        <f t="shared" si="4"/>
        <v>0</v>
      </c>
      <c r="R30" s="48">
        <f t="shared" si="4"/>
        <v>0</v>
      </c>
      <c r="S30" s="48">
        <f t="shared" si="4"/>
        <v>0</v>
      </c>
      <c r="T30" s="48">
        <f t="shared" ref="T30" si="5">T76*$F18</f>
        <v>0</v>
      </c>
    </row>
    <row r="31" spans="1:21" x14ac:dyDescent="0.3">
      <c r="D31" s="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1" x14ac:dyDescent="0.3">
      <c r="B32" s="8" t="s">
        <v>70</v>
      </c>
      <c r="D32" s="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x14ac:dyDescent="0.3">
      <c r="A33" s="76">
        <f>+A30+1</f>
        <v>4</v>
      </c>
      <c r="C33" s="8" t="s">
        <v>71</v>
      </c>
      <c r="D33" s="9"/>
      <c r="E33" s="48">
        <f>E61</f>
        <v>0</v>
      </c>
      <c r="F33" s="48">
        <f>F61</f>
        <v>0</v>
      </c>
      <c r="G33" s="48">
        <f>G61</f>
        <v>0</v>
      </c>
      <c r="H33" s="48">
        <f t="shared" ref="H33:S33" si="6">H61</f>
        <v>0</v>
      </c>
      <c r="I33" s="48">
        <f t="shared" si="6"/>
        <v>0</v>
      </c>
      <c r="J33" s="48">
        <f t="shared" si="6"/>
        <v>0</v>
      </c>
      <c r="K33" s="48">
        <f t="shared" si="6"/>
        <v>0</v>
      </c>
      <c r="L33" s="48">
        <f t="shared" si="6"/>
        <v>0</v>
      </c>
      <c r="M33" s="48">
        <f t="shared" si="6"/>
        <v>0</v>
      </c>
      <c r="N33" s="48">
        <f t="shared" si="6"/>
        <v>0</v>
      </c>
      <c r="O33" s="48">
        <f t="shared" si="6"/>
        <v>0</v>
      </c>
      <c r="P33" s="48">
        <f t="shared" si="6"/>
        <v>0</v>
      </c>
      <c r="Q33" s="48">
        <f t="shared" si="6"/>
        <v>0</v>
      </c>
      <c r="R33" s="48">
        <f t="shared" si="6"/>
        <v>0</v>
      </c>
      <c r="S33" s="48">
        <f t="shared" si="6"/>
        <v>0</v>
      </c>
      <c r="T33" s="48">
        <f t="shared" ref="T33" si="7">T61</f>
        <v>0</v>
      </c>
    </row>
    <row r="34" spans="1:20" x14ac:dyDescent="0.3">
      <c r="A34" s="76">
        <f>+A33+1</f>
        <v>5</v>
      </c>
      <c r="C34" s="8" t="s">
        <v>72</v>
      </c>
      <c r="D34" s="9"/>
      <c r="E34" s="49">
        <f>E63</f>
        <v>64.051271370921256</v>
      </c>
      <c r="F34" s="49">
        <f>F63</f>
        <v>59.560903004525116</v>
      </c>
      <c r="G34" s="49">
        <f>G63</f>
        <v>54.823997045114503</v>
      </c>
      <c r="H34" s="49">
        <f t="shared" ref="H34:S34" si="8">H63</f>
        <v>50.212096062443614</v>
      </c>
      <c r="I34" s="49">
        <f t="shared" si="8"/>
        <v>45.712699558838494</v>
      </c>
      <c r="J34" s="49">
        <f t="shared" si="8"/>
        <v>41.315390452904168</v>
      </c>
      <c r="K34" s="49">
        <f t="shared" si="8"/>
        <v>36.989611972548687</v>
      </c>
      <c r="L34" s="49">
        <f t="shared" si="8"/>
        <v>32.686751071262151</v>
      </c>
      <c r="M34" s="49">
        <f t="shared" si="8"/>
        <v>28.383195697882623</v>
      </c>
      <c r="N34" s="49">
        <f t="shared" si="8"/>
        <v>24.079640324503096</v>
      </c>
      <c r="O34" s="49">
        <f t="shared" si="8"/>
        <v>19.776084951123565</v>
      </c>
      <c r="P34" s="49">
        <f t="shared" si="8"/>
        <v>15.472529577744034</v>
      </c>
      <c r="Q34" s="49">
        <f t="shared" si="8"/>
        <v>11.168974204364504</v>
      </c>
      <c r="R34" s="49">
        <f t="shared" si="8"/>
        <v>6.8654188309849733</v>
      </c>
      <c r="S34" s="49">
        <f t="shared" si="8"/>
        <v>2.5618634576054427</v>
      </c>
      <c r="T34" s="49">
        <f t="shared" ref="T34" si="9">T63</f>
        <v>-1.5368226483395184</v>
      </c>
    </row>
    <row r="35" spans="1:20" x14ac:dyDescent="0.3">
      <c r="A35" s="76">
        <f>+A34+1</f>
        <v>6</v>
      </c>
      <c r="C35" s="8" t="s">
        <v>73</v>
      </c>
      <c r="D35" s="9"/>
      <c r="E35" s="48">
        <f>E33+E34</f>
        <v>64.051271370921256</v>
      </c>
      <c r="F35" s="48">
        <f>F33+F34</f>
        <v>59.560903004525116</v>
      </c>
      <c r="G35" s="48">
        <f>G33+G34</f>
        <v>54.823997045114503</v>
      </c>
      <c r="H35" s="48">
        <f t="shared" ref="H35:S35" si="10">H33+H34</f>
        <v>50.212096062443614</v>
      </c>
      <c r="I35" s="48">
        <f t="shared" si="10"/>
        <v>45.712699558838494</v>
      </c>
      <c r="J35" s="48">
        <f t="shared" si="10"/>
        <v>41.315390452904168</v>
      </c>
      <c r="K35" s="48">
        <f t="shared" si="10"/>
        <v>36.989611972548687</v>
      </c>
      <c r="L35" s="48">
        <f t="shared" si="10"/>
        <v>32.686751071262151</v>
      </c>
      <c r="M35" s="48">
        <f t="shared" si="10"/>
        <v>28.383195697882623</v>
      </c>
      <c r="N35" s="48">
        <f t="shared" si="10"/>
        <v>24.079640324503096</v>
      </c>
      <c r="O35" s="48">
        <f t="shared" si="10"/>
        <v>19.776084951123565</v>
      </c>
      <c r="P35" s="48">
        <f t="shared" si="10"/>
        <v>15.472529577744034</v>
      </c>
      <c r="Q35" s="48">
        <f t="shared" si="10"/>
        <v>11.168974204364504</v>
      </c>
      <c r="R35" s="48">
        <f t="shared" si="10"/>
        <v>6.8654188309849733</v>
      </c>
      <c r="S35" s="48">
        <f t="shared" si="10"/>
        <v>2.5618634576054427</v>
      </c>
      <c r="T35" s="48">
        <f t="shared" ref="T35" si="11">T33+T34</f>
        <v>-1.5368226483395184</v>
      </c>
    </row>
    <row r="36" spans="1:20" x14ac:dyDescent="0.3">
      <c r="D36" s="9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x14ac:dyDescent="0.3">
      <c r="B37" s="8" t="s">
        <v>74</v>
      </c>
      <c r="D37" s="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x14ac:dyDescent="0.3">
      <c r="A38" s="76">
        <f>+A35+1</f>
        <v>7</v>
      </c>
      <c r="C38" s="8" t="s">
        <v>179</v>
      </c>
      <c r="D38" s="9"/>
      <c r="E38" s="48">
        <f t="shared" ref="E38:S38" si="12">E57*$F9</f>
        <v>7.8707168013585056</v>
      </c>
      <c r="F38" s="48">
        <f t="shared" si="12"/>
        <v>7.3189335660029622</v>
      </c>
      <c r="G38" s="48">
        <f t="shared" si="12"/>
        <v>6.7368554194930637</v>
      </c>
      <c r="H38" s="48">
        <f t="shared" si="12"/>
        <v>6.1701380730050914</v>
      </c>
      <c r="I38" s="48">
        <f t="shared" si="12"/>
        <v>5.6172454465368533</v>
      </c>
      <c r="J38" s="48">
        <f t="shared" si="12"/>
        <v>5.0768974734198551</v>
      </c>
      <c r="K38" s="48">
        <f t="shared" si="12"/>
        <v>4.5453392914265152</v>
      </c>
      <c r="L38" s="48">
        <f t="shared" si="12"/>
        <v>4.0165972561038616</v>
      </c>
      <c r="M38" s="48">
        <f t="shared" si="12"/>
        <v>3.4877698830033093</v>
      </c>
      <c r="N38" s="48">
        <f t="shared" si="12"/>
        <v>2.958942509902756</v>
      </c>
      <c r="O38" s="48">
        <f t="shared" si="12"/>
        <v>2.4301151368022031</v>
      </c>
      <c r="P38" s="48">
        <f t="shared" si="12"/>
        <v>1.9012877637016501</v>
      </c>
      <c r="Q38" s="48">
        <f t="shared" si="12"/>
        <v>1.3724603906010973</v>
      </c>
      <c r="R38" s="48">
        <f t="shared" si="12"/>
        <v>0.84363301750054409</v>
      </c>
      <c r="S38" s="48">
        <f t="shared" si="12"/>
        <v>0.31480564439999087</v>
      </c>
      <c r="T38" s="48">
        <f t="shared" ref="T38" si="13">T57*$F9</f>
        <v>-0.1888470842201824</v>
      </c>
    </row>
    <row r="39" spans="1:20" x14ac:dyDescent="0.3">
      <c r="A39" s="76">
        <f>+A38+1</f>
        <v>8</v>
      </c>
      <c r="C39" s="8" t="s">
        <v>178</v>
      </c>
      <c r="D39" s="9"/>
      <c r="E39" s="48">
        <f t="shared" ref="E39:S39" si="14">E57*$F10</f>
        <v>89.080508646126773</v>
      </c>
      <c r="F39" s="48">
        <f t="shared" si="14"/>
        <v>82.835444504142487</v>
      </c>
      <c r="G39" s="48">
        <f t="shared" si="14"/>
        <v>76.247503574296474</v>
      </c>
      <c r="H39" s="48">
        <f t="shared" si="14"/>
        <v>69.833415663647941</v>
      </c>
      <c r="I39" s="48">
        <f t="shared" si="14"/>
        <v>63.575795470277164</v>
      </c>
      <c r="J39" s="48">
        <f t="shared" si="14"/>
        <v>57.460155242584349</v>
      </c>
      <c r="K39" s="48">
        <f t="shared" si="14"/>
        <v>51.443997575876764</v>
      </c>
      <c r="L39" s="48">
        <f t="shared" si="14"/>
        <v>45.459712962688727</v>
      </c>
      <c r="M39" s="48">
        <f t="shared" si="14"/>
        <v>39.474462499394029</v>
      </c>
      <c r="N39" s="48">
        <f t="shared" si="14"/>
        <v>33.489212036099339</v>
      </c>
      <c r="O39" s="48">
        <f t="shared" si="14"/>
        <v>27.503961572804645</v>
      </c>
      <c r="P39" s="48">
        <f t="shared" si="14"/>
        <v>21.518711109509951</v>
      </c>
      <c r="Q39" s="48">
        <f t="shared" si="14"/>
        <v>15.533460646215257</v>
      </c>
      <c r="R39" s="48">
        <f t="shared" si="14"/>
        <v>9.5482101829205615</v>
      </c>
      <c r="S39" s="48">
        <f t="shared" si="14"/>
        <v>3.5629597196258667</v>
      </c>
      <c r="T39" s="48">
        <f t="shared" ref="T39" si="15">T57*$F10</f>
        <v>-2.1373649622062589</v>
      </c>
    </row>
    <row r="40" spans="1:20" x14ac:dyDescent="0.3">
      <c r="A40" s="76">
        <f>+A39+1</f>
        <v>9</v>
      </c>
      <c r="C40" s="8" t="s">
        <v>36</v>
      </c>
      <c r="D40" s="9"/>
      <c r="E40" s="49">
        <f t="shared" ref="E40:S40" si="16">E57*$F11</f>
        <v>151.87427413019603</v>
      </c>
      <c r="F40" s="49">
        <f t="shared" si="16"/>
        <v>141.22700013192821</v>
      </c>
      <c r="G40" s="49">
        <f t="shared" si="16"/>
        <v>129.9951519763724</v>
      </c>
      <c r="H40" s="49">
        <f t="shared" si="16"/>
        <v>119.05970761887806</v>
      </c>
      <c r="I40" s="49">
        <f t="shared" si="16"/>
        <v>108.3910266796391</v>
      </c>
      <c r="J40" s="49">
        <f t="shared" si="16"/>
        <v>97.964408842150391</v>
      </c>
      <c r="K40" s="49">
        <f t="shared" si="16"/>
        <v>87.707399844663541</v>
      </c>
      <c r="L40" s="49">
        <f t="shared" si="16"/>
        <v>77.504731543487949</v>
      </c>
      <c r="M40" s="49">
        <f t="shared" si="16"/>
        <v>67.300416554545365</v>
      </c>
      <c r="N40" s="49">
        <f t="shared" si="16"/>
        <v>57.096101565602787</v>
      </c>
      <c r="O40" s="49">
        <f t="shared" si="16"/>
        <v>46.891786576660195</v>
      </c>
      <c r="P40" s="49">
        <f t="shared" si="16"/>
        <v>36.68747158771761</v>
      </c>
      <c r="Q40" s="49">
        <f t="shared" si="16"/>
        <v>26.483156598775025</v>
      </c>
      <c r="R40" s="49">
        <f t="shared" si="16"/>
        <v>16.278841609832437</v>
      </c>
      <c r="S40" s="49">
        <f t="shared" si="16"/>
        <v>6.0745266208898467</v>
      </c>
      <c r="T40" s="49">
        <f t="shared" ref="T40" si="17">T57*$F11</f>
        <v>-3.6440154767852637</v>
      </c>
    </row>
    <row r="41" spans="1:20" x14ac:dyDescent="0.3">
      <c r="A41" s="76">
        <f>+A40+1</f>
        <v>10</v>
      </c>
      <c r="C41" s="8" t="s">
        <v>75</v>
      </c>
      <c r="D41" s="9"/>
      <c r="E41" s="48">
        <f>E38+E39+E40</f>
        <v>248.82549957768131</v>
      </c>
      <c r="F41" s="48">
        <f>F38+F39+F40</f>
        <v>231.38137820207368</v>
      </c>
      <c r="G41" s="48">
        <f>G38+G39+G40</f>
        <v>212.97951097016193</v>
      </c>
      <c r="H41" s="48">
        <f t="shared" ref="H41:S41" si="18">H38+H39+H40</f>
        <v>195.0632613555311</v>
      </c>
      <c r="I41" s="48">
        <f t="shared" si="18"/>
        <v>177.58406759645311</v>
      </c>
      <c r="J41" s="48">
        <f t="shared" si="18"/>
        <v>160.5014615581546</v>
      </c>
      <c r="K41" s="48">
        <f t="shared" si="18"/>
        <v>143.69673671196682</v>
      </c>
      <c r="L41" s="48">
        <f t="shared" si="18"/>
        <v>126.98104176228054</v>
      </c>
      <c r="M41" s="48">
        <f t="shared" si="18"/>
        <v>110.2626489369427</v>
      </c>
      <c r="N41" s="48">
        <f t="shared" si="18"/>
        <v>93.544256111604881</v>
      </c>
      <c r="O41" s="48">
        <f t="shared" si="18"/>
        <v>76.825863286267037</v>
      </c>
      <c r="P41" s="48">
        <f t="shared" si="18"/>
        <v>60.107470460929207</v>
      </c>
      <c r="Q41" s="48">
        <f t="shared" si="18"/>
        <v>43.389077635591377</v>
      </c>
      <c r="R41" s="48">
        <f t="shared" si="18"/>
        <v>26.67068481025354</v>
      </c>
      <c r="S41" s="48">
        <f t="shared" si="18"/>
        <v>9.9522919849157034</v>
      </c>
      <c r="T41" s="48">
        <f t="shared" ref="T41" si="19">T38+T39+T40</f>
        <v>-5.9702275232117046</v>
      </c>
    </row>
    <row r="42" spans="1:20" x14ac:dyDescent="0.3">
      <c r="D42" s="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x14ac:dyDescent="0.3">
      <c r="A43" s="76">
        <f>+A41+1</f>
        <v>11</v>
      </c>
      <c r="B43" s="8" t="s">
        <v>76</v>
      </c>
      <c r="D43" s="9"/>
      <c r="E43" s="50">
        <f>E28+E30+E35+E41+E29</f>
        <v>516.89025115345601</v>
      </c>
      <c r="F43" s="50">
        <f t="shared" ref="F43:S43" si="20">F28+F30+F35+F41+F29</f>
        <v>494.95576141145222</v>
      </c>
      <c r="G43" s="50">
        <f t="shared" si="20"/>
        <v>471.81698822012982</v>
      </c>
      <c r="H43" s="50">
        <f t="shared" si="20"/>
        <v>449.28883762282811</v>
      </c>
      <c r="I43" s="50">
        <f t="shared" si="20"/>
        <v>427.31024736014501</v>
      </c>
      <c r="J43" s="50">
        <f t="shared" si="20"/>
        <v>405.83033221591222</v>
      </c>
      <c r="K43" s="50">
        <f t="shared" si="20"/>
        <v>384.69982888936892</v>
      </c>
      <c r="L43" s="50">
        <f t="shared" si="20"/>
        <v>363.68127303839611</v>
      </c>
      <c r="M43" s="50">
        <f t="shared" si="20"/>
        <v>342.65932483967873</v>
      </c>
      <c r="N43" s="50">
        <f t="shared" si="20"/>
        <v>321.63737664096141</v>
      </c>
      <c r="O43" s="50">
        <f t="shared" si="20"/>
        <v>300.61542844224402</v>
      </c>
      <c r="P43" s="50">
        <f t="shared" si="20"/>
        <v>279.59348024352664</v>
      </c>
      <c r="Q43" s="50">
        <f t="shared" si="20"/>
        <v>258.57153204480926</v>
      </c>
      <c r="R43" s="50">
        <f t="shared" si="20"/>
        <v>237.54958384609191</v>
      </c>
      <c r="S43" s="50">
        <f t="shared" si="20"/>
        <v>216.52763564737455</v>
      </c>
      <c r="T43" s="50">
        <f t="shared" ref="T43" si="21">T28+T30+T35+T41+T29</f>
        <v>196.50643003330219</v>
      </c>
    </row>
    <row r="44" spans="1:20" x14ac:dyDescent="0.3">
      <c r="A44" s="76">
        <f>+A43+1</f>
        <v>12</v>
      </c>
      <c r="B44" s="8" t="s">
        <v>77</v>
      </c>
      <c r="D44" s="9"/>
      <c r="E44" s="49">
        <f t="shared" ref="E44:S44" si="22">E43/(1-$F16)-E43</f>
        <v>23.631616033409728</v>
      </c>
      <c r="F44" s="49">
        <f t="shared" si="22"/>
        <v>22.628796888891031</v>
      </c>
      <c r="G44" s="49">
        <f t="shared" si="22"/>
        <v>21.570919317547236</v>
      </c>
      <c r="H44" s="49">
        <f t="shared" si="22"/>
        <v>20.540958695016116</v>
      </c>
      <c r="I44" s="49">
        <f t="shared" si="22"/>
        <v>19.536123326416487</v>
      </c>
      <c r="J44" s="49">
        <f t="shared" si="22"/>
        <v>18.554086799347147</v>
      </c>
      <c r="K44" s="49">
        <f t="shared" si="22"/>
        <v>17.588024970765048</v>
      </c>
      <c r="L44" s="49">
        <f t="shared" si="22"/>
        <v>16.627081249465277</v>
      </c>
      <c r="M44" s="49">
        <f t="shared" si="22"/>
        <v>15.665982434005457</v>
      </c>
      <c r="N44" s="49">
        <f t="shared" si="22"/>
        <v>14.704883618545637</v>
      </c>
      <c r="O44" s="49">
        <f t="shared" si="22"/>
        <v>13.743784803085816</v>
      </c>
      <c r="P44" s="49">
        <f t="shared" si="22"/>
        <v>12.782685987625996</v>
      </c>
      <c r="Q44" s="49">
        <f t="shared" si="22"/>
        <v>11.821587172166176</v>
      </c>
      <c r="R44" s="49">
        <f t="shared" si="22"/>
        <v>10.860488356706327</v>
      </c>
      <c r="S44" s="49">
        <f t="shared" si="22"/>
        <v>9.8993895412465065</v>
      </c>
      <c r="T44" s="49">
        <f t="shared" ref="T44" si="23">T43/(1-$F16)-T43</f>
        <v>8.9840435030074559</v>
      </c>
    </row>
    <row r="45" spans="1:20" x14ac:dyDescent="0.3">
      <c r="D45" s="9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5" thickBot="1" x14ac:dyDescent="0.35">
      <c r="A46" s="76">
        <f>+A44+1</f>
        <v>13</v>
      </c>
      <c r="B46" s="8" t="s">
        <v>78</v>
      </c>
      <c r="E46" s="51">
        <f>E43+E44</f>
        <v>540.52186718686573</v>
      </c>
      <c r="F46" s="51">
        <f>F43+F44</f>
        <v>517.58455830034325</v>
      </c>
      <c r="G46" s="51">
        <f>G43+G44</f>
        <v>493.38790753767705</v>
      </c>
      <c r="H46" s="51">
        <f t="shared" ref="H46:S46" si="24">H43+H44</f>
        <v>469.82979631784423</v>
      </c>
      <c r="I46" s="51">
        <f t="shared" si="24"/>
        <v>446.8463706865615</v>
      </c>
      <c r="J46" s="51">
        <f t="shared" si="24"/>
        <v>424.38441901525937</v>
      </c>
      <c r="K46" s="51">
        <f t="shared" si="24"/>
        <v>402.28785386013396</v>
      </c>
      <c r="L46" s="51">
        <f t="shared" si="24"/>
        <v>380.30835428786139</v>
      </c>
      <c r="M46" s="51">
        <f t="shared" si="24"/>
        <v>358.32530727368419</v>
      </c>
      <c r="N46" s="51">
        <f t="shared" si="24"/>
        <v>336.34226025950704</v>
      </c>
      <c r="O46" s="51">
        <f t="shared" si="24"/>
        <v>314.35921324532984</v>
      </c>
      <c r="P46" s="51">
        <f t="shared" si="24"/>
        <v>292.37616623115264</v>
      </c>
      <c r="Q46" s="51">
        <f t="shared" si="24"/>
        <v>270.39311921697544</v>
      </c>
      <c r="R46" s="51">
        <f t="shared" si="24"/>
        <v>248.41007220279823</v>
      </c>
      <c r="S46" s="51">
        <f t="shared" si="24"/>
        <v>226.42702518862106</v>
      </c>
      <c r="T46" s="51">
        <f t="shared" ref="T46" si="25">T43+T44</f>
        <v>205.49047353630965</v>
      </c>
    </row>
    <row r="47" spans="1:20" ht="15" thickTop="1" x14ac:dyDescent="0.3">
      <c r="A47" s="76"/>
      <c r="C47" s="8" t="s">
        <v>79</v>
      </c>
      <c r="D47" s="52">
        <f>NPV(F12,E46:S46)</f>
        <v>3462.3759945158431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x14ac:dyDescent="0.3">
      <c r="A48" s="76"/>
      <c r="C48" s="8" t="s">
        <v>80</v>
      </c>
      <c r="D48" s="52">
        <f>PMT(F12,15,D47)</f>
        <v>-414.34601712824275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x14ac:dyDescent="0.3">
      <c r="A49" s="76"/>
      <c r="C49" s="8" t="s">
        <v>81</v>
      </c>
      <c r="D49" s="54">
        <f>D48/12</f>
        <v>-34.528834760686898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1:20" x14ac:dyDescent="0.3">
      <c r="A50" s="76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</row>
    <row r="51" spans="1:20" x14ac:dyDescent="0.3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3"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1:20" x14ac:dyDescent="0.3">
      <c r="A53" s="76">
        <f>+A46+1</f>
        <v>14</v>
      </c>
      <c r="B53" s="8" t="s">
        <v>82</v>
      </c>
      <c r="C53" s="10"/>
      <c r="E53" s="43">
        <f>+E46/$F$23</f>
        <v>0.17662946149248521</v>
      </c>
      <c r="F53" s="43">
        <f t="shared" ref="F53:S53" si="26">+F46/$F$23</f>
        <v>0.16913410420416919</v>
      </c>
      <c r="G53" s="43">
        <f t="shared" si="26"/>
        <v>0.16122722447629698</v>
      </c>
      <c r="H53" s="43">
        <f t="shared" si="26"/>
        <v>0.15352900401355182</v>
      </c>
      <c r="I53" s="43">
        <f t="shared" si="26"/>
        <v>0.14601857688942105</v>
      </c>
      <c r="J53" s="43">
        <f t="shared" si="26"/>
        <v>0.13867855483181071</v>
      </c>
      <c r="K53" s="43">
        <f t="shared" si="26"/>
        <v>0.13145793224257857</v>
      </c>
      <c r="L53" s="43">
        <f t="shared" si="26"/>
        <v>0.12427556385195308</v>
      </c>
      <c r="M53" s="43">
        <f t="shared" si="26"/>
        <v>0.11709203624318799</v>
      </c>
      <c r="N53" s="43">
        <f t="shared" si="26"/>
        <v>0.10990850863442293</v>
      </c>
      <c r="O53" s="43">
        <f t="shared" si="26"/>
        <v>0.10272498102565784</v>
      </c>
      <c r="P53" s="43">
        <f t="shared" si="26"/>
        <v>9.5541453416892755E-2</v>
      </c>
      <c r="Q53" s="43">
        <f t="shared" si="26"/>
        <v>8.835792580812768E-2</v>
      </c>
      <c r="R53" s="43">
        <f t="shared" si="26"/>
        <v>8.1174398199362591E-2</v>
      </c>
      <c r="S53" s="43">
        <f t="shared" si="26"/>
        <v>7.3990870590597516E-2</v>
      </c>
      <c r="T53" s="43">
        <f t="shared" ref="T53" si="27">+T46/$F$23</f>
        <v>6.7149312333012884E-2</v>
      </c>
    </row>
    <row r="54" spans="1:20" x14ac:dyDescent="0.3">
      <c r="A54" s="76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20" x14ac:dyDescent="0.3"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1:20" x14ac:dyDescent="0.3"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x14ac:dyDescent="0.3">
      <c r="A57" s="56" t="s">
        <v>83</v>
      </c>
      <c r="D57" s="9"/>
      <c r="E57" s="57">
        <f>F23-E28/2-E70/2</f>
        <v>2963.550816825752</v>
      </c>
      <c r="F57" s="57">
        <f t="shared" ref="F57:T57" si="28">+E57-E28/2-F28/2-E70/2-F70/2</f>
        <v>2755.7885889221347</v>
      </c>
      <c r="G57" s="57">
        <f t="shared" si="28"/>
        <v>2536.6194573065636</v>
      </c>
      <c r="H57" s="57">
        <f t="shared" si="28"/>
        <v>2323.2341078547997</v>
      </c>
      <c r="I57" s="57">
        <f t="shared" si="28"/>
        <v>2115.0541623504628</v>
      </c>
      <c r="J57" s="57">
        <f t="shared" si="28"/>
        <v>1911.5976389465688</v>
      </c>
      <c r="K57" s="57">
        <f t="shared" si="28"/>
        <v>1711.450724225298</v>
      </c>
      <c r="L57" s="57">
        <f t="shared" si="28"/>
        <v>1512.3641695673919</v>
      </c>
      <c r="M57" s="57">
        <f t="shared" si="28"/>
        <v>1313.2454827863535</v>
      </c>
      <c r="N57" s="57">
        <f t="shared" si="28"/>
        <v>1114.1267960053151</v>
      </c>
      <c r="O57" s="57">
        <f t="shared" si="28"/>
        <v>915.00810922427672</v>
      </c>
      <c r="P57" s="57">
        <f t="shared" si="28"/>
        <v>715.88942244323835</v>
      </c>
      <c r="Q57" s="57">
        <f t="shared" si="28"/>
        <v>516.77073566219997</v>
      </c>
      <c r="R57" s="57">
        <f t="shared" si="28"/>
        <v>317.65204888116153</v>
      </c>
      <c r="S57" s="57">
        <f t="shared" si="28"/>
        <v>118.53336210012307</v>
      </c>
      <c r="T57" s="57">
        <f t="shared" si="28"/>
        <v>-71.106348356897399</v>
      </c>
    </row>
    <row r="58" spans="1:20" x14ac:dyDescent="0.3">
      <c r="D58" s="9"/>
      <c r="E58" s="5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x14ac:dyDescent="0.3">
      <c r="A59" s="8" t="s">
        <v>84</v>
      </c>
      <c r="D59" s="9"/>
      <c r="E59" s="5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3">
      <c r="B60" s="8" t="s">
        <v>85</v>
      </c>
      <c r="D60" s="9"/>
      <c r="E60" s="48">
        <f t="shared" ref="E60:S60" si="29">(E40+E39)/$E$86</f>
        <v>305.00605414724407</v>
      </c>
      <c r="F60" s="48">
        <f t="shared" si="29"/>
        <v>283.6233476405958</v>
      </c>
      <c r="G60" s="48">
        <f t="shared" si="29"/>
        <v>261.06665259578335</v>
      </c>
      <c r="H60" s="48">
        <f t="shared" si="29"/>
        <v>239.10521934496961</v>
      </c>
      <c r="I60" s="48">
        <f t="shared" si="29"/>
        <v>217.67952170875475</v>
      </c>
      <c r="J60" s="48">
        <f t="shared" si="29"/>
        <v>196.73995453763891</v>
      </c>
      <c r="K60" s="48">
        <f t="shared" si="29"/>
        <v>176.14100939308901</v>
      </c>
      <c r="L60" s="48">
        <f t="shared" si="29"/>
        <v>155.65119557743881</v>
      </c>
      <c r="M60" s="48">
        <f t="shared" si="29"/>
        <v>135.15807475182203</v>
      </c>
      <c r="N60" s="48">
        <f t="shared" si="29"/>
        <v>114.66495392620521</v>
      </c>
      <c r="O60" s="48">
        <f t="shared" si="29"/>
        <v>94.171833100588401</v>
      </c>
      <c r="P60" s="48">
        <f t="shared" si="29"/>
        <v>73.678712274971588</v>
      </c>
      <c r="Q60" s="48">
        <f t="shared" si="29"/>
        <v>53.185591449354789</v>
      </c>
      <c r="R60" s="48">
        <f t="shared" si="29"/>
        <v>32.692470623737968</v>
      </c>
      <c r="S60" s="48">
        <f t="shared" si="29"/>
        <v>12.199349798121156</v>
      </c>
      <c r="T60" s="48">
        <f t="shared" ref="T60" si="30">(T40+T39)/$E$86</f>
        <v>-7.3182030873310406</v>
      </c>
    </row>
    <row r="61" spans="1:20" x14ac:dyDescent="0.3">
      <c r="B61" s="8" t="s">
        <v>86</v>
      </c>
      <c r="D61" s="9"/>
      <c r="E61" s="49">
        <f t="shared" ref="E61:S61" si="31">E60*$F14</f>
        <v>0</v>
      </c>
      <c r="F61" s="49">
        <f t="shared" si="31"/>
        <v>0</v>
      </c>
      <c r="G61" s="49">
        <f t="shared" si="31"/>
        <v>0</v>
      </c>
      <c r="H61" s="49">
        <f t="shared" si="31"/>
        <v>0</v>
      </c>
      <c r="I61" s="49">
        <f t="shared" si="31"/>
        <v>0</v>
      </c>
      <c r="J61" s="49">
        <f t="shared" si="31"/>
        <v>0</v>
      </c>
      <c r="K61" s="49">
        <f t="shared" si="31"/>
        <v>0</v>
      </c>
      <c r="L61" s="49">
        <f t="shared" si="31"/>
        <v>0</v>
      </c>
      <c r="M61" s="49">
        <f t="shared" si="31"/>
        <v>0</v>
      </c>
      <c r="N61" s="49">
        <f t="shared" si="31"/>
        <v>0</v>
      </c>
      <c r="O61" s="49">
        <f t="shared" si="31"/>
        <v>0</v>
      </c>
      <c r="P61" s="49">
        <f t="shared" si="31"/>
        <v>0</v>
      </c>
      <c r="Q61" s="49">
        <f t="shared" si="31"/>
        <v>0</v>
      </c>
      <c r="R61" s="49">
        <f t="shared" si="31"/>
        <v>0</v>
      </c>
      <c r="S61" s="49">
        <f t="shared" si="31"/>
        <v>0</v>
      </c>
      <c r="T61" s="49">
        <f t="shared" ref="T61" si="32">T60*$F14</f>
        <v>0</v>
      </c>
    </row>
    <row r="62" spans="1:20" x14ac:dyDescent="0.3">
      <c r="B62" s="8" t="s">
        <v>87</v>
      </c>
      <c r="D62" s="9"/>
      <c r="E62" s="48">
        <f>E60-E61</f>
        <v>305.00605414724407</v>
      </c>
      <c r="F62" s="48">
        <f>F60-F61</f>
        <v>283.6233476405958</v>
      </c>
      <c r="G62" s="48">
        <f>G60-G61</f>
        <v>261.06665259578335</v>
      </c>
      <c r="H62" s="48">
        <f t="shared" ref="H62:S62" si="33">H60-H61</f>
        <v>239.10521934496961</v>
      </c>
      <c r="I62" s="48">
        <f t="shared" si="33"/>
        <v>217.67952170875475</v>
      </c>
      <c r="J62" s="48">
        <f t="shared" si="33"/>
        <v>196.73995453763891</v>
      </c>
      <c r="K62" s="48">
        <f t="shared" si="33"/>
        <v>176.14100939308901</v>
      </c>
      <c r="L62" s="48">
        <f t="shared" si="33"/>
        <v>155.65119557743881</v>
      </c>
      <c r="M62" s="48">
        <f t="shared" si="33"/>
        <v>135.15807475182203</v>
      </c>
      <c r="N62" s="48">
        <f t="shared" si="33"/>
        <v>114.66495392620521</v>
      </c>
      <c r="O62" s="48">
        <f t="shared" si="33"/>
        <v>94.171833100588401</v>
      </c>
      <c r="P62" s="48">
        <f t="shared" si="33"/>
        <v>73.678712274971588</v>
      </c>
      <c r="Q62" s="48">
        <f t="shared" si="33"/>
        <v>53.185591449354789</v>
      </c>
      <c r="R62" s="48">
        <f t="shared" si="33"/>
        <v>32.692470623737968</v>
      </c>
      <c r="S62" s="48">
        <f t="shared" si="33"/>
        <v>12.199349798121156</v>
      </c>
      <c r="T62" s="48">
        <f t="shared" ref="T62" si="34">T60-T61</f>
        <v>-7.3182030873310406</v>
      </c>
    </row>
    <row r="63" spans="1:20" x14ac:dyDescent="0.3">
      <c r="B63" s="8" t="s">
        <v>88</v>
      </c>
      <c r="D63" s="9"/>
      <c r="E63" s="49">
        <f t="shared" ref="E63:S63" si="35">E62*$F15</f>
        <v>64.051271370921256</v>
      </c>
      <c r="F63" s="49">
        <f t="shared" si="35"/>
        <v>59.560903004525116</v>
      </c>
      <c r="G63" s="49">
        <f t="shared" si="35"/>
        <v>54.823997045114503</v>
      </c>
      <c r="H63" s="49">
        <f t="shared" si="35"/>
        <v>50.212096062443614</v>
      </c>
      <c r="I63" s="49">
        <f t="shared" si="35"/>
        <v>45.712699558838494</v>
      </c>
      <c r="J63" s="49">
        <f t="shared" si="35"/>
        <v>41.315390452904168</v>
      </c>
      <c r="K63" s="49">
        <f t="shared" si="35"/>
        <v>36.989611972548687</v>
      </c>
      <c r="L63" s="49">
        <f t="shared" si="35"/>
        <v>32.686751071262151</v>
      </c>
      <c r="M63" s="49">
        <f t="shared" si="35"/>
        <v>28.383195697882623</v>
      </c>
      <c r="N63" s="49">
        <f t="shared" si="35"/>
        <v>24.079640324503096</v>
      </c>
      <c r="O63" s="49">
        <f t="shared" si="35"/>
        <v>19.776084951123565</v>
      </c>
      <c r="P63" s="49">
        <f t="shared" si="35"/>
        <v>15.472529577744034</v>
      </c>
      <c r="Q63" s="49">
        <f t="shared" si="35"/>
        <v>11.168974204364504</v>
      </c>
      <c r="R63" s="49">
        <f t="shared" si="35"/>
        <v>6.8654188309849733</v>
      </c>
      <c r="S63" s="49">
        <f t="shared" si="35"/>
        <v>2.5618634576054427</v>
      </c>
      <c r="T63" s="49">
        <f t="shared" ref="T63" si="36">T62*$F15</f>
        <v>-1.5368226483395184</v>
      </c>
    </row>
    <row r="64" spans="1:20" x14ac:dyDescent="0.3">
      <c r="B64" s="8" t="s">
        <v>89</v>
      </c>
      <c r="D64" s="9"/>
      <c r="E64" s="48">
        <f>E60-E61-E63</f>
        <v>240.95478277632282</v>
      </c>
      <c r="F64" s="48">
        <f>F60-F61-F63</f>
        <v>224.06244463607067</v>
      </c>
      <c r="G64" s="48">
        <f>G60-G61-G63</f>
        <v>206.24265555066884</v>
      </c>
      <c r="H64" s="48">
        <f t="shared" ref="H64:S64" si="37">H60-H61-H63</f>
        <v>188.89312328252601</v>
      </c>
      <c r="I64" s="48">
        <f t="shared" si="37"/>
        <v>171.96682214991625</v>
      </c>
      <c r="J64" s="48">
        <f t="shared" si="37"/>
        <v>155.42456408473475</v>
      </c>
      <c r="K64" s="48">
        <f t="shared" si="37"/>
        <v>139.15139742054032</v>
      </c>
      <c r="L64" s="48">
        <f t="shared" si="37"/>
        <v>122.96444450617666</v>
      </c>
      <c r="M64" s="48">
        <f t="shared" si="37"/>
        <v>106.7748790539394</v>
      </c>
      <c r="N64" s="48">
        <f t="shared" si="37"/>
        <v>90.585313601702126</v>
      </c>
      <c r="O64" s="48">
        <f t="shared" si="37"/>
        <v>74.395748149464836</v>
      </c>
      <c r="P64" s="48">
        <f t="shared" si="37"/>
        <v>58.206182697227554</v>
      </c>
      <c r="Q64" s="48">
        <f t="shared" si="37"/>
        <v>42.016617244990286</v>
      </c>
      <c r="R64" s="48">
        <f t="shared" si="37"/>
        <v>25.827051792752997</v>
      </c>
      <c r="S64" s="48">
        <f t="shared" si="37"/>
        <v>9.6374863405157143</v>
      </c>
      <c r="T64" s="48">
        <f t="shared" ref="T64" si="38">T60-T61-T63</f>
        <v>-5.7813804389915227</v>
      </c>
    </row>
    <row r="66" spans="1:21" x14ac:dyDescent="0.3">
      <c r="A66" s="8" t="s">
        <v>90</v>
      </c>
      <c r="D66" s="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1" x14ac:dyDescent="0.3">
      <c r="B67" s="8" t="s">
        <v>91</v>
      </c>
      <c r="D67" s="9"/>
      <c r="E67" s="48">
        <f>E28</f>
        <v>204.01348020485341</v>
      </c>
      <c r="F67" s="48">
        <f>F28</f>
        <v>204.01348020485341</v>
      </c>
      <c r="G67" s="48">
        <f>G28</f>
        <v>204.01348020485341</v>
      </c>
      <c r="H67" s="48">
        <f t="shared" ref="H67:S67" si="39">H28</f>
        <v>204.01348020485341</v>
      </c>
      <c r="I67" s="48">
        <f t="shared" si="39"/>
        <v>204.01348020485341</v>
      </c>
      <c r="J67" s="48">
        <f t="shared" si="39"/>
        <v>204.01348020485341</v>
      </c>
      <c r="K67" s="48">
        <f t="shared" si="39"/>
        <v>204.01348020485341</v>
      </c>
      <c r="L67" s="48">
        <f t="shared" si="39"/>
        <v>204.01348020485341</v>
      </c>
      <c r="M67" s="48">
        <f t="shared" si="39"/>
        <v>204.01348020485341</v>
      </c>
      <c r="N67" s="48">
        <f t="shared" si="39"/>
        <v>204.01348020485341</v>
      </c>
      <c r="O67" s="48">
        <f t="shared" si="39"/>
        <v>204.01348020485341</v>
      </c>
      <c r="P67" s="48">
        <f t="shared" si="39"/>
        <v>204.01348020485341</v>
      </c>
      <c r="Q67" s="48">
        <f t="shared" si="39"/>
        <v>204.01348020485341</v>
      </c>
      <c r="R67" s="48">
        <f t="shared" si="39"/>
        <v>204.01348020485341</v>
      </c>
      <c r="S67" s="48">
        <f t="shared" si="39"/>
        <v>204.01348020485341</v>
      </c>
      <c r="T67" s="48">
        <f t="shared" ref="T67" si="40">T28</f>
        <v>204.01348020485341</v>
      </c>
    </row>
    <row r="68" spans="1:21" x14ac:dyDescent="0.3">
      <c r="B68" s="8" t="s">
        <v>92</v>
      </c>
      <c r="D68" s="9"/>
      <c r="E68" s="48">
        <f t="shared" ref="E68:S68" si="41">$F23*E73</f>
        <v>153.01011015364006</v>
      </c>
      <c r="F68" s="48">
        <f t="shared" si="41"/>
        <v>290.71920929191612</v>
      </c>
      <c r="G68" s="48">
        <f t="shared" si="41"/>
        <v>261.64728836272451</v>
      </c>
      <c r="H68" s="48">
        <f t="shared" si="41"/>
        <v>235.63556963660568</v>
      </c>
      <c r="I68" s="48">
        <f t="shared" si="41"/>
        <v>212.07201267294514</v>
      </c>
      <c r="J68" s="48">
        <f t="shared" si="41"/>
        <v>190.65059725143553</v>
      </c>
      <c r="K68" s="48">
        <f t="shared" si="41"/>
        <v>180.55192998129527</v>
      </c>
      <c r="L68" s="48">
        <f t="shared" si="41"/>
        <v>180.55192998129527</v>
      </c>
      <c r="M68" s="48">
        <f t="shared" si="41"/>
        <v>180.85795020160256</v>
      </c>
      <c r="N68" s="48">
        <f t="shared" si="41"/>
        <v>180.55192998129527</v>
      </c>
      <c r="O68" s="48">
        <f t="shared" si="41"/>
        <v>180.85795020160256</v>
      </c>
      <c r="P68" s="48">
        <f t="shared" si="41"/>
        <v>180.55192998129527</v>
      </c>
      <c r="Q68" s="48">
        <f t="shared" si="41"/>
        <v>180.85795020160256</v>
      </c>
      <c r="R68" s="48">
        <f t="shared" si="41"/>
        <v>180.55192998129527</v>
      </c>
      <c r="S68" s="48">
        <f t="shared" si="41"/>
        <v>180.85795020160256</v>
      </c>
      <c r="T68" s="48">
        <f t="shared" ref="T68" si="42">$F23*T73</f>
        <v>90.275964990647637</v>
      </c>
    </row>
    <row r="69" spans="1:21" x14ac:dyDescent="0.3">
      <c r="B69" s="8" t="s">
        <v>93</v>
      </c>
      <c r="E69" s="48">
        <f>E68-E67</f>
        <v>-51.003370051213352</v>
      </c>
      <c r="F69" s="48">
        <f>F68-F67</f>
        <v>86.705729087062707</v>
      </c>
      <c r="G69" s="48">
        <f>G68-G67</f>
        <v>57.633808157871101</v>
      </c>
      <c r="H69" s="48">
        <f t="shared" ref="H69:S69" si="43">H68-H67</f>
        <v>31.622089431752272</v>
      </c>
      <c r="I69" s="48">
        <f t="shared" si="43"/>
        <v>8.0585324680917267</v>
      </c>
      <c r="J69" s="48">
        <f t="shared" si="43"/>
        <v>-13.362882953417881</v>
      </c>
      <c r="K69" s="48">
        <f t="shared" si="43"/>
        <v>-23.461550223558135</v>
      </c>
      <c r="L69" s="48">
        <f t="shared" si="43"/>
        <v>-23.461550223558135</v>
      </c>
      <c r="M69" s="48">
        <f t="shared" si="43"/>
        <v>-23.155530003250846</v>
      </c>
      <c r="N69" s="48">
        <f t="shared" si="43"/>
        <v>-23.461550223558135</v>
      </c>
      <c r="O69" s="48">
        <f t="shared" si="43"/>
        <v>-23.155530003250846</v>
      </c>
      <c r="P69" s="48">
        <f t="shared" si="43"/>
        <v>-23.461550223558135</v>
      </c>
      <c r="Q69" s="48">
        <f t="shared" si="43"/>
        <v>-23.155530003250846</v>
      </c>
      <c r="R69" s="48">
        <f t="shared" si="43"/>
        <v>-23.461550223558135</v>
      </c>
      <c r="S69" s="48">
        <f t="shared" si="43"/>
        <v>-23.155530003250846</v>
      </c>
      <c r="T69" s="48">
        <f t="shared" ref="T69" si="44">T68-T67</f>
        <v>-113.73751521420577</v>
      </c>
    </row>
    <row r="70" spans="1:21" x14ac:dyDescent="0.3">
      <c r="B70" s="8" t="s">
        <v>94</v>
      </c>
      <c r="D70" s="9"/>
      <c r="E70" s="48">
        <f t="shared" ref="E70:S70" si="45">E69*$E$85</f>
        <v>-10.710707710754804</v>
      </c>
      <c r="F70" s="48">
        <f t="shared" si="45"/>
        <v>18.208203108283168</v>
      </c>
      <c r="G70" s="48">
        <f t="shared" si="45"/>
        <v>12.103099713152931</v>
      </c>
      <c r="H70" s="48">
        <f t="shared" si="45"/>
        <v>6.6406387806679765</v>
      </c>
      <c r="I70" s="48">
        <f t="shared" si="45"/>
        <v>1.6922918182992626</v>
      </c>
      <c r="J70" s="48">
        <f t="shared" si="45"/>
        <v>-2.8062054202177547</v>
      </c>
      <c r="K70" s="48">
        <f t="shared" si="45"/>
        <v>-4.9269255469472082</v>
      </c>
      <c r="L70" s="48">
        <f t="shared" si="45"/>
        <v>-4.9269255469472082</v>
      </c>
      <c r="M70" s="48">
        <f t="shared" si="45"/>
        <v>-4.8626613006826771</v>
      </c>
      <c r="N70" s="48">
        <f t="shared" si="45"/>
        <v>-4.9269255469472082</v>
      </c>
      <c r="O70" s="48">
        <f t="shared" si="45"/>
        <v>-4.8626613006826771</v>
      </c>
      <c r="P70" s="48">
        <f t="shared" si="45"/>
        <v>-4.9269255469472082</v>
      </c>
      <c r="Q70" s="48">
        <f t="shared" si="45"/>
        <v>-4.8626613006826771</v>
      </c>
      <c r="R70" s="48">
        <f t="shared" si="45"/>
        <v>-4.9269255469472082</v>
      </c>
      <c r="S70" s="48">
        <f t="shared" si="45"/>
        <v>-4.8626613006826771</v>
      </c>
      <c r="T70" s="48">
        <f t="shared" ref="T70" si="46">T69*$E$85</f>
        <v>-23.884878194983212</v>
      </c>
      <c r="U70" s="59">
        <f>SUM(E70:T70)</f>
        <v>-42.842830843019179</v>
      </c>
    </row>
    <row r="71" spans="1:21" x14ac:dyDescent="0.3">
      <c r="D71" s="9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1" x14ac:dyDescent="0.3"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1:21" s="60" customFormat="1" ht="13.2" x14ac:dyDescent="0.3">
      <c r="A73" s="8"/>
      <c r="B73" s="8" t="s">
        <v>95</v>
      </c>
      <c r="C73" s="8"/>
      <c r="E73" s="61">
        <f t="shared" ref="E73:S73" si="47">IF($F$21=1,E83,E81)</f>
        <v>0.05</v>
      </c>
      <c r="F73" s="61">
        <f t="shared" si="47"/>
        <v>9.5000000000000001E-2</v>
      </c>
      <c r="G73" s="61">
        <f t="shared" si="47"/>
        <v>8.5500000000000007E-2</v>
      </c>
      <c r="H73" s="61">
        <f t="shared" si="47"/>
        <v>7.6999999999999999E-2</v>
      </c>
      <c r="I73" s="61">
        <f t="shared" si="47"/>
        <v>6.93E-2</v>
      </c>
      <c r="J73" s="61">
        <f t="shared" si="47"/>
        <v>6.2300000000000001E-2</v>
      </c>
      <c r="K73" s="61">
        <f t="shared" si="47"/>
        <v>5.8999999999999997E-2</v>
      </c>
      <c r="L73" s="61">
        <f t="shared" si="47"/>
        <v>5.8999999999999997E-2</v>
      </c>
      <c r="M73" s="61">
        <f t="shared" si="47"/>
        <v>5.91E-2</v>
      </c>
      <c r="N73" s="61">
        <f t="shared" si="47"/>
        <v>5.8999999999999997E-2</v>
      </c>
      <c r="O73" s="61">
        <f t="shared" si="47"/>
        <v>5.91E-2</v>
      </c>
      <c r="P73" s="61">
        <f t="shared" si="47"/>
        <v>5.8999999999999997E-2</v>
      </c>
      <c r="Q73" s="61">
        <f t="shared" si="47"/>
        <v>5.91E-2</v>
      </c>
      <c r="R73" s="61">
        <f t="shared" si="47"/>
        <v>5.8999999999999997E-2</v>
      </c>
      <c r="S73" s="61">
        <f t="shared" si="47"/>
        <v>5.91E-2</v>
      </c>
      <c r="T73" s="61">
        <f t="shared" ref="T73" si="48">IF($F$21=1,T83,T81)</f>
        <v>2.9499999999999998E-2</v>
      </c>
    </row>
    <row r="74" spans="1:21" x14ac:dyDescent="0.3"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1" x14ac:dyDescent="0.3"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1" x14ac:dyDescent="0.3">
      <c r="B76" s="8" t="s">
        <v>96</v>
      </c>
      <c r="E76" s="62">
        <f>+E57+E70</f>
        <v>2952.8401091149972</v>
      </c>
      <c r="F76" s="59">
        <f t="shared" ref="F76:T76" si="49">+E76-F28</f>
        <v>2748.8266289101439</v>
      </c>
      <c r="G76" s="59">
        <f t="shared" si="49"/>
        <v>2544.8131487052906</v>
      </c>
      <c r="H76" s="59">
        <f t="shared" si="49"/>
        <v>2340.7996685004373</v>
      </c>
      <c r="I76" s="59">
        <f t="shared" si="49"/>
        <v>2136.786188295584</v>
      </c>
      <c r="J76" s="59">
        <f t="shared" si="49"/>
        <v>1932.7727080907307</v>
      </c>
      <c r="K76" s="59">
        <f t="shared" si="49"/>
        <v>1728.7592278858774</v>
      </c>
      <c r="L76" s="59">
        <f t="shared" si="49"/>
        <v>1524.7457476810241</v>
      </c>
      <c r="M76" s="59">
        <f t="shared" si="49"/>
        <v>1320.7322674761708</v>
      </c>
      <c r="N76" s="59">
        <f t="shared" si="49"/>
        <v>1116.7187872713175</v>
      </c>
      <c r="O76" s="59">
        <f t="shared" si="49"/>
        <v>912.70530706646412</v>
      </c>
      <c r="P76" s="59">
        <f t="shared" si="49"/>
        <v>708.69182686161071</v>
      </c>
      <c r="Q76" s="59">
        <f t="shared" si="49"/>
        <v>504.6783466567573</v>
      </c>
      <c r="R76" s="59">
        <f t="shared" si="49"/>
        <v>300.66486645190389</v>
      </c>
      <c r="S76" s="59">
        <f t="shared" si="49"/>
        <v>96.651386247050482</v>
      </c>
      <c r="T76" s="59">
        <f t="shared" si="49"/>
        <v>-107.36209395780293</v>
      </c>
    </row>
    <row r="78" spans="1:21" x14ac:dyDescent="0.3">
      <c r="B78" s="8" t="s">
        <v>97</v>
      </c>
      <c r="D78" s="9"/>
      <c r="E78" s="48">
        <f t="shared" ref="E78:S78" si="50">E39+E40-E64</f>
        <v>0</v>
      </c>
      <c r="F78" s="48">
        <f t="shared" si="50"/>
        <v>0</v>
      </c>
      <c r="G78" s="48">
        <f t="shared" si="50"/>
        <v>0</v>
      </c>
      <c r="H78" s="48">
        <f t="shared" si="50"/>
        <v>0</v>
      </c>
      <c r="I78" s="48">
        <f t="shared" si="50"/>
        <v>0</v>
      </c>
      <c r="J78" s="48">
        <f t="shared" si="50"/>
        <v>0</v>
      </c>
      <c r="K78" s="48">
        <f t="shared" si="50"/>
        <v>0</v>
      </c>
      <c r="L78" s="48">
        <f t="shared" si="50"/>
        <v>0</v>
      </c>
      <c r="M78" s="48">
        <f t="shared" si="50"/>
        <v>0</v>
      </c>
      <c r="N78" s="48">
        <f t="shared" si="50"/>
        <v>0</v>
      </c>
      <c r="O78" s="48">
        <f t="shared" si="50"/>
        <v>0</v>
      </c>
      <c r="P78" s="48">
        <f t="shared" si="50"/>
        <v>0</v>
      </c>
      <c r="Q78" s="48">
        <f t="shared" si="50"/>
        <v>0</v>
      </c>
      <c r="R78" s="48">
        <f t="shared" si="50"/>
        <v>0</v>
      </c>
      <c r="S78" s="48">
        <f t="shared" si="50"/>
        <v>0</v>
      </c>
      <c r="T78" s="48">
        <f t="shared" ref="T78" si="51">T39+T40-T64</f>
        <v>0</v>
      </c>
    </row>
    <row r="81" spans="2:20" x14ac:dyDescent="0.3">
      <c r="B81" s="8" t="s">
        <v>95</v>
      </c>
      <c r="E81" s="61">
        <v>0.05</v>
      </c>
      <c r="F81" s="61">
        <v>9.5000000000000001E-2</v>
      </c>
      <c r="G81" s="61">
        <v>8.5500000000000007E-2</v>
      </c>
      <c r="H81" s="61">
        <v>7.6999999999999999E-2</v>
      </c>
      <c r="I81" s="61">
        <v>6.93E-2</v>
      </c>
      <c r="J81" s="61">
        <v>6.2300000000000001E-2</v>
      </c>
      <c r="K81" s="61">
        <v>5.8999999999999997E-2</v>
      </c>
      <c r="L81" s="61">
        <v>5.8999999999999997E-2</v>
      </c>
      <c r="M81" s="61">
        <v>5.91E-2</v>
      </c>
      <c r="N81" s="61">
        <v>5.8999999999999997E-2</v>
      </c>
      <c r="O81" s="61">
        <v>5.91E-2</v>
      </c>
      <c r="P81" s="61">
        <v>5.8999999999999997E-2</v>
      </c>
      <c r="Q81" s="61">
        <v>5.91E-2</v>
      </c>
      <c r="R81" s="61">
        <v>5.8999999999999997E-2</v>
      </c>
      <c r="S81" s="61">
        <v>5.91E-2</v>
      </c>
      <c r="T81" s="10">
        <v>2.9499999999999998E-2</v>
      </c>
    </row>
    <row r="83" spans="2:20" x14ac:dyDescent="0.3"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5" spans="2:20" x14ac:dyDescent="0.3">
      <c r="E85" s="86">
        <f>(1-F15)*F14+F15</f>
        <v>0.21</v>
      </c>
    </row>
    <row r="86" spans="2:20" x14ac:dyDescent="0.3">
      <c r="E86" s="87">
        <f>1-E85</f>
        <v>0.79</v>
      </c>
    </row>
  </sheetData>
  <mergeCells count="1">
    <mergeCell ref="E1:F1"/>
  </mergeCells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L18"/>
  <sheetViews>
    <sheetView workbookViewId="0">
      <selection activeCell="K11" sqref="K11"/>
    </sheetView>
  </sheetViews>
  <sheetFormatPr defaultRowHeight="14.4" x14ac:dyDescent="0.3"/>
  <cols>
    <col min="1" max="1" width="31.88671875" customWidth="1"/>
    <col min="2" max="3" width="10.6640625" customWidth="1"/>
    <col min="6" max="6" width="40.109375" bestFit="1" customWidth="1"/>
    <col min="7" max="7" width="16.6640625" bestFit="1" customWidth="1"/>
    <col min="8" max="8" width="12.77734375" bestFit="1" customWidth="1"/>
    <col min="10" max="10" width="3.5546875" bestFit="1" customWidth="1"/>
    <col min="11" max="11" width="12.21875" bestFit="1" customWidth="1"/>
    <col min="12" max="12" width="10.109375" bestFit="1" customWidth="1"/>
    <col min="13" max="13" width="9.109375" bestFit="1" customWidth="1"/>
    <col min="14" max="14" width="11.21875" customWidth="1"/>
  </cols>
  <sheetData>
    <row r="1" spans="1:12" ht="15" thickBot="1" x14ac:dyDescent="0.35">
      <c r="A1" s="150" t="s">
        <v>197</v>
      </c>
      <c r="B1" s="77" t="s">
        <v>35</v>
      </c>
      <c r="C1" s="149"/>
    </row>
    <row r="2" spans="1:12" s="75" customFormat="1" x14ac:dyDescent="0.3">
      <c r="A2" s="152" t="s">
        <v>196</v>
      </c>
      <c r="B2" s="160">
        <f>SUMPRODUCT(K11:L18)/SUM(L11:L18)</f>
        <v>970.33142857142843</v>
      </c>
      <c r="C2" s="148" t="s">
        <v>199</v>
      </c>
      <c r="D2" s="147"/>
      <c r="K2" s="176" t="s">
        <v>194</v>
      </c>
      <c r="L2" s="176"/>
    </row>
    <row r="3" spans="1:12" s="75" customFormat="1" x14ac:dyDescent="0.3">
      <c r="A3" s="153" t="s">
        <v>189</v>
      </c>
      <c r="B3" s="161">
        <v>1166.55</v>
      </c>
      <c r="C3" s="151" t="s">
        <v>200</v>
      </c>
      <c r="D3" s="147"/>
      <c r="K3" s="75" t="s">
        <v>192</v>
      </c>
      <c r="L3" s="75" t="s">
        <v>193</v>
      </c>
    </row>
    <row r="4" spans="1:12" x14ac:dyDescent="0.3">
      <c r="A4" s="153" t="s">
        <v>190</v>
      </c>
      <c r="B4" s="161">
        <f>(355*G13)+(783*H13)+13.4</f>
        <v>488.09491525423721</v>
      </c>
      <c r="C4" s="151" t="s">
        <v>200</v>
      </c>
      <c r="D4" s="115"/>
      <c r="K4" s="143">
        <v>154800</v>
      </c>
      <c r="L4">
        <v>360</v>
      </c>
    </row>
    <row r="5" spans="1:12" x14ac:dyDescent="0.3">
      <c r="A5" s="153" t="s">
        <v>195</v>
      </c>
      <c r="B5" s="162">
        <f>SUMPRODUCT(K4:L6)/SUM(L4:L6)</f>
        <v>435.22585924713582</v>
      </c>
      <c r="C5" s="151" t="s">
        <v>203</v>
      </c>
      <c r="D5" s="115"/>
      <c r="K5" s="143">
        <f>52770*2</f>
        <v>105540</v>
      </c>
      <c r="L5">
        <v>240</v>
      </c>
    </row>
    <row r="6" spans="1:12" ht="72" x14ac:dyDescent="0.3">
      <c r="A6" s="154" t="s">
        <v>186</v>
      </c>
      <c r="B6" s="162">
        <f>2.25*115</f>
        <v>258.75</v>
      </c>
      <c r="C6" s="151" t="s">
        <v>187</v>
      </c>
      <c r="D6" s="147"/>
      <c r="F6" s="147"/>
      <c r="K6" s="143">
        <v>4972</v>
      </c>
      <c r="L6">
        <v>11</v>
      </c>
    </row>
    <row r="7" spans="1:12" x14ac:dyDescent="0.3">
      <c r="A7" s="155" t="s">
        <v>205</v>
      </c>
      <c r="B7" s="162">
        <v>914.27777777777794</v>
      </c>
      <c r="C7" s="151" t="s">
        <v>188</v>
      </c>
      <c r="L7" s="144"/>
    </row>
    <row r="8" spans="1:12" ht="15" thickBot="1" x14ac:dyDescent="0.35">
      <c r="A8" s="156" t="s">
        <v>198</v>
      </c>
      <c r="B8" s="163">
        <f>195*0.5</f>
        <v>97.5</v>
      </c>
      <c r="C8" s="151" t="s">
        <v>191</v>
      </c>
      <c r="H8" s="146"/>
      <c r="L8" s="145"/>
    </row>
    <row r="9" spans="1:12" x14ac:dyDescent="0.3">
      <c r="A9" s="115"/>
      <c r="B9" s="119"/>
      <c r="C9" s="119"/>
      <c r="D9" s="115"/>
      <c r="G9" s="176" t="s">
        <v>209</v>
      </c>
      <c r="H9" s="176"/>
      <c r="K9" s="176" t="s">
        <v>206</v>
      </c>
      <c r="L9" s="176"/>
    </row>
    <row r="10" spans="1:12" ht="28.8" x14ac:dyDescent="0.3">
      <c r="A10" s="1" t="s">
        <v>204</v>
      </c>
      <c r="B10" s="157">
        <v>18</v>
      </c>
      <c r="C10" s="151" t="s">
        <v>202</v>
      </c>
      <c r="G10" s="164" t="s">
        <v>210</v>
      </c>
      <c r="H10" s="164" t="s">
        <v>211</v>
      </c>
      <c r="K10" s="164" t="s">
        <v>192</v>
      </c>
      <c r="L10" s="164" t="s">
        <v>193</v>
      </c>
    </row>
    <row r="11" spans="1:12" x14ac:dyDescent="0.3">
      <c r="C11" s="151" t="s">
        <v>0</v>
      </c>
      <c r="G11" s="167">
        <v>425</v>
      </c>
      <c r="H11" s="167">
        <v>165</v>
      </c>
      <c r="J11" s="177" t="s">
        <v>207</v>
      </c>
      <c r="K11" s="169">
        <f>805*L11</f>
        <v>64400</v>
      </c>
      <c r="L11" s="167">
        <v>80</v>
      </c>
    </row>
    <row r="12" spans="1:12" ht="14.4" customHeight="1" x14ac:dyDescent="0.3">
      <c r="A12" s="125" t="s">
        <v>173</v>
      </c>
      <c r="B12" s="126">
        <f>SUM(B6:B8)</f>
        <v>1270.5277777777778</v>
      </c>
      <c r="C12" s="151"/>
      <c r="F12" s="116"/>
      <c r="G12" s="170" t="s">
        <v>212</v>
      </c>
      <c r="H12" s="171">
        <f>SUM(G11:H11)</f>
        <v>590</v>
      </c>
      <c r="I12" s="117"/>
      <c r="J12" s="177"/>
      <c r="K12" s="169">
        <f t="shared" ref="K12:K14" si="0">805*L12</f>
        <v>265650</v>
      </c>
      <c r="L12" s="168">
        <v>330</v>
      </c>
    </row>
    <row r="13" spans="1:12" ht="28.8" x14ac:dyDescent="0.3">
      <c r="A13" s="127" t="s">
        <v>201</v>
      </c>
      <c r="B13" s="126">
        <f>SUM(B2:B5)</f>
        <v>3060.2022030728012</v>
      </c>
      <c r="C13" s="118"/>
      <c r="F13" s="172" t="s">
        <v>213</v>
      </c>
      <c r="G13" s="173">
        <f>G11/$H$12</f>
        <v>0.72033898305084743</v>
      </c>
      <c r="H13" s="173">
        <f>H11/$H$12</f>
        <v>0.27966101694915252</v>
      </c>
      <c r="J13" s="177"/>
      <c r="K13" s="169">
        <f t="shared" si="0"/>
        <v>64400</v>
      </c>
      <c r="L13" s="168">
        <v>80</v>
      </c>
    </row>
    <row r="14" spans="1:12" ht="14.4" customHeight="1" x14ac:dyDescent="0.3">
      <c r="J14" s="177"/>
      <c r="K14" s="169">
        <f t="shared" si="0"/>
        <v>4025</v>
      </c>
      <c r="L14" s="168">
        <v>5</v>
      </c>
    </row>
    <row r="15" spans="1:12" x14ac:dyDescent="0.3">
      <c r="J15" s="177" t="s">
        <v>208</v>
      </c>
      <c r="K15" s="169">
        <f>1571.88*L15</f>
        <v>31437.600000000002</v>
      </c>
      <c r="L15" s="167">
        <v>20</v>
      </c>
    </row>
    <row r="16" spans="1:12" ht="14.4" customHeight="1" x14ac:dyDescent="0.3">
      <c r="J16" s="177"/>
      <c r="K16" s="169">
        <f t="shared" ref="K16:K18" si="1">1571.88*L16</f>
        <v>110031.6</v>
      </c>
      <c r="L16" s="167">
        <v>70</v>
      </c>
    </row>
    <row r="17" spans="10:12" x14ac:dyDescent="0.3">
      <c r="J17" s="177"/>
      <c r="K17" s="169">
        <f t="shared" si="1"/>
        <v>62875.200000000004</v>
      </c>
      <c r="L17" s="167">
        <v>40</v>
      </c>
    </row>
    <row r="18" spans="10:12" x14ac:dyDescent="0.3">
      <c r="J18" s="177"/>
      <c r="K18" s="169">
        <f t="shared" si="1"/>
        <v>7859.4000000000005</v>
      </c>
      <c r="L18" s="167">
        <v>5</v>
      </c>
    </row>
  </sheetData>
  <mergeCells count="5">
    <mergeCell ref="K2:L2"/>
    <mergeCell ref="J11:J14"/>
    <mergeCell ref="J15:J18"/>
    <mergeCell ref="K9:L9"/>
    <mergeCell ref="G9:H9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44192C5309AC4E8BDE262FAE5FF76A" ma:contentTypeVersion="76" ma:contentTypeDescription="" ma:contentTypeScope="" ma:versionID="5690c72de5fa18d4eda77c4607a137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180358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50B3256-8D74-43C9-AA00-478518F07D2E}"/>
</file>

<file path=customXml/itemProps2.xml><?xml version="1.0" encoding="utf-8"?>
<ds:datastoreItem xmlns:ds="http://schemas.openxmlformats.org/officeDocument/2006/customXml" ds:itemID="{0B52CE31-1BC7-41E2-A83F-A52AD901C0C7}"/>
</file>

<file path=customXml/itemProps3.xml><?xml version="1.0" encoding="utf-8"?>
<ds:datastoreItem xmlns:ds="http://schemas.openxmlformats.org/officeDocument/2006/customXml" ds:itemID="{8FB2A1A3-3D09-4E3B-A5F7-A871FDECA9D0}"/>
</file>

<file path=customXml/itemProps4.xml><?xml version="1.0" encoding="utf-8"?>
<ds:datastoreItem xmlns:ds="http://schemas.openxmlformats.org/officeDocument/2006/customXml" ds:itemID="{DDB56E73-CA19-4F35-BFD4-DECD7AE0105D}"/>
</file>

<file path=customXml/itemProps5.xml><?xml version="1.0" encoding="utf-8"?>
<ds:datastoreItem xmlns:ds="http://schemas.openxmlformats.org/officeDocument/2006/customXml" ds:itemID="{98F0A883-4CAE-42DE-B3E8-0D3591DDC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 10-Updated Rate</vt:lpstr>
      <vt:lpstr>Meter COS</vt:lpstr>
      <vt:lpstr>Meter Cost</vt:lpstr>
      <vt:lpstr>AAMR COS </vt:lpstr>
      <vt:lpstr>AAMR Cost</vt:lpstr>
      <vt:lpstr>'AAMR COS '!Print_Area</vt:lpstr>
      <vt:lpstr>'Meter COS'!Print_Area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NWN User</dc:creator>
  <cp:lastModifiedBy>Hammer, Gail </cp:lastModifiedBy>
  <cp:lastPrinted>2014-10-17T16:40:49Z</cp:lastPrinted>
  <dcterms:created xsi:type="dcterms:W3CDTF">2014-06-16T22:39:22Z</dcterms:created>
  <dcterms:modified xsi:type="dcterms:W3CDTF">2018-06-14T17:53:03Z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0x0101006E56B4D1795A2E4DB2F0B01679ED314A009044192C5309AC4E8BDE262FAE5FF76A</vt:lpwstr>
  </property>
  <property fmtid="{D5CDD505-2E9C-101B-9397-08002B2CF9AE}" pid="3" name="_dlc_DocIdItemGuid">
    <vt:lpwstr>d2af49df-9de0-498e-a05d-7d3dbbb80d2a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