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4520" windowHeight="13176"/>
  </bookViews>
  <sheets>
    <sheet name="Gas Rate Base - Plant Detail" sheetId="2" r:id="rId1"/>
    <sheet name="Scenario Info" sheetId="1" r:id="rId2"/>
  </sheets>
  <externalReferences>
    <externalReference r:id="rId3"/>
    <externalReference r:id="rId4"/>
    <externalReference r:id="rId5"/>
    <externalReference r:id="rId6"/>
  </externalReferences>
  <definedNames>
    <definedName name="_xlnm.Print_Area" localSheetId="0">'Gas Rate Base - Plant Detail'!$A$1:$G$181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C142" i="2" l="1"/>
  <c r="C141" i="2"/>
  <c r="C140" i="2"/>
  <c r="C139" i="2"/>
  <c r="C138" i="2"/>
  <c r="C137" i="2"/>
  <c r="C136" i="2"/>
  <c r="C135" i="2"/>
  <c r="C133" i="2"/>
  <c r="C132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95" i="2"/>
  <c r="C94" i="2"/>
  <c r="C93" i="2"/>
  <c r="B52" i="2" l="1"/>
  <c r="E105" i="2" l="1"/>
  <c r="E103" i="2"/>
  <c r="E22" i="2"/>
  <c r="E20" i="2"/>
  <c r="D134" i="2" l="1"/>
  <c r="G134" i="2" s="1"/>
  <c r="D52" i="2"/>
  <c r="D51" i="2"/>
  <c r="D50" i="2"/>
  <c r="G174" i="2" l="1"/>
  <c r="G172" i="2"/>
  <c r="G171" i="2"/>
  <c r="G170" i="2"/>
  <c r="G169" i="2"/>
  <c r="G157" i="2"/>
  <c r="G156" i="2"/>
  <c r="G155" i="2"/>
  <c r="G148" i="2"/>
  <c r="G147" i="2"/>
  <c r="G143" i="2"/>
  <c r="G113" i="2"/>
  <c r="G83" i="2"/>
  <c r="G82" i="2"/>
  <c r="G81" i="2"/>
  <c r="G80" i="2"/>
  <c r="G79" i="2"/>
  <c r="G78" i="2"/>
  <c r="G77" i="2"/>
  <c r="G76" i="2"/>
  <c r="G75" i="2"/>
  <c r="G74" i="2"/>
  <c r="G73" i="2"/>
  <c r="G72" i="2"/>
  <c r="G67" i="2"/>
  <c r="G66" i="2"/>
  <c r="G65" i="2"/>
  <c r="G61" i="2"/>
  <c r="G60" i="2"/>
  <c r="G59" i="2"/>
  <c r="G58" i="2"/>
  <c r="G57" i="2"/>
  <c r="G56" i="2"/>
  <c r="G55" i="2"/>
  <c r="G54" i="2"/>
  <c r="G53" i="2"/>
  <c r="G50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0" i="2"/>
  <c r="G29" i="2"/>
  <c r="G28" i="2"/>
  <c r="G27" i="2"/>
  <c r="G26" i="2"/>
  <c r="G25" i="2"/>
  <c r="G24" i="2"/>
  <c r="G23" i="2"/>
  <c r="G21" i="2"/>
  <c r="G19" i="2"/>
  <c r="G18" i="2"/>
  <c r="G12" i="2"/>
  <c r="G11" i="2"/>
  <c r="G10" i="2"/>
  <c r="G9" i="2"/>
  <c r="G139" i="2" l="1"/>
  <c r="G128" i="2"/>
  <c r="G127" i="2"/>
  <c r="G126" i="2"/>
  <c r="G125" i="2"/>
  <c r="G124" i="2"/>
  <c r="G123" i="2"/>
  <c r="G122" i="2"/>
  <c r="G121" i="2"/>
  <c r="G120" i="2"/>
  <c r="G119" i="2"/>
  <c r="G118" i="2"/>
  <c r="G117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95" i="2"/>
  <c r="G94" i="2"/>
  <c r="G93" i="2"/>
  <c r="G142" i="2" l="1"/>
  <c r="G141" i="2"/>
  <c r="G137" i="2"/>
  <c r="G138" i="2"/>
  <c r="G140" i="2" l="1"/>
  <c r="G135" i="2"/>
  <c r="G136" i="2" l="1"/>
  <c r="G132" i="2" l="1"/>
  <c r="G22" i="2" l="1"/>
  <c r="G20" i="2"/>
  <c r="G52" i="2" l="1"/>
  <c r="B51" i="2" l="1"/>
  <c r="G51" i="2" s="1"/>
  <c r="G149" i="2" l="1"/>
  <c r="G68" i="2"/>
  <c r="G62" i="2"/>
  <c r="G47" i="2"/>
  <c r="G13" i="2"/>
  <c r="C158" i="2"/>
  <c r="D158" i="2"/>
  <c r="E158" i="2"/>
  <c r="B156" i="2"/>
  <c r="G158" i="2" s="1"/>
  <c r="B170" i="2"/>
  <c r="B158" i="2" l="1"/>
  <c r="B172" i="2"/>
  <c r="B169" i="2"/>
  <c r="B75" i="2"/>
  <c r="B83" i="2"/>
  <c r="B82" i="2"/>
  <c r="B81" i="2"/>
  <c r="B80" i="2"/>
  <c r="B79" i="2"/>
  <c r="B78" i="2"/>
  <c r="B77" i="2"/>
  <c r="B76" i="2"/>
  <c r="B85" i="2" l="1"/>
  <c r="B175" i="2"/>
  <c r="C149" i="2"/>
  <c r="D149" i="2"/>
  <c r="B149" i="2"/>
  <c r="B144" i="2"/>
  <c r="D129" i="2"/>
  <c r="B129" i="2"/>
  <c r="D114" i="2"/>
  <c r="B114" i="2"/>
  <c r="D96" i="2"/>
  <c r="B96" i="2"/>
  <c r="C85" i="2"/>
  <c r="D85" i="2"/>
  <c r="G85" i="2"/>
  <c r="C68" i="2"/>
  <c r="D68" i="2"/>
  <c r="B68" i="2"/>
  <c r="C62" i="2"/>
  <c r="D62" i="2"/>
  <c r="B62" i="2"/>
  <c r="C47" i="2"/>
  <c r="D47" i="2"/>
  <c r="B47" i="2"/>
  <c r="C31" i="2"/>
  <c r="D31" i="2"/>
  <c r="B31" i="2"/>
  <c r="C13" i="2"/>
  <c r="D13" i="2"/>
  <c r="B13" i="2"/>
  <c r="C70" i="2" l="1"/>
  <c r="C87" i="2" s="1"/>
  <c r="D70" i="2"/>
  <c r="D87" i="2" s="1"/>
  <c r="B152" i="2"/>
  <c r="B160" i="2" s="1"/>
  <c r="B70" i="2"/>
  <c r="B87" i="2" s="1"/>
  <c r="E85" i="2"/>
  <c r="B162" i="2" l="1"/>
  <c r="B177" i="2" s="1"/>
  <c r="E96" i="2"/>
  <c r="E129" i="2"/>
  <c r="E144" i="2"/>
  <c r="E68" i="2"/>
  <c r="E149" i="2"/>
  <c r="E47" i="2"/>
  <c r="E62" i="2"/>
  <c r="E13" i="2"/>
  <c r="G129" i="2" l="1"/>
  <c r="C129" i="2"/>
  <c r="C114" i="2" l="1"/>
  <c r="G96" i="2" l="1"/>
  <c r="C96" i="2"/>
  <c r="C144" i="2" l="1"/>
  <c r="C152" i="2" s="1"/>
  <c r="C160" i="2" s="1"/>
  <c r="C162" i="2" l="1"/>
  <c r="G31" i="2" l="1"/>
  <c r="G70" i="2" s="1"/>
  <c r="G87" i="2" s="1"/>
  <c r="E31" i="2"/>
  <c r="E70" i="2" s="1"/>
  <c r="E87" i="2" s="1"/>
  <c r="G114" i="2" l="1"/>
  <c r="E114" i="2"/>
  <c r="E152" i="2" s="1"/>
  <c r="E160" i="2" s="1"/>
  <c r="E162" i="2" l="1"/>
  <c r="C168" i="2" l="1"/>
  <c r="C175" i="2" l="1"/>
  <c r="C177" i="2" s="1"/>
  <c r="F173" i="2" l="1"/>
  <c r="F175" i="2" l="1"/>
  <c r="F177" i="2" s="1"/>
  <c r="G173" i="2"/>
  <c r="F179" i="2" l="1"/>
  <c r="F181" i="2" s="1"/>
  <c r="F1" i="2" s="1"/>
  <c r="E168" i="2" l="1"/>
  <c r="E175" i="2" l="1"/>
  <c r="E177" i="2" s="1"/>
  <c r="E179" i="2" l="1"/>
  <c r="E181" i="2" s="1"/>
  <c r="E1" i="2" s="1"/>
  <c r="D179" i="2"/>
  <c r="C179" i="2" l="1"/>
  <c r="C181" i="2" s="1"/>
  <c r="C1" i="2" s="1"/>
  <c r="B179" i="2" l="1"/>
  <c r="B181" i="2" s="1"/>
  <c r="B1" i="2" s="1"/>
  <c r="G179" i="2"/>
  <c r="D168" i="2" l="1"/>
  <c r="D133" i="2"/>
  <c r="D175" i="2" l="1"/>
  <c r="G168" i="2"/>
  <c r="G175" i="2" s="1"/>
  <c r="G133" i="2"/>
  <c r="G144" i="2" s="1"/>
  <c r="G152" i="2" s="1"/>
  <c r="D144" i="2"/>
  <c r="D152" i="2" s="1"/>
  <c r="D160" i="2" s="1"/>
  <c r="D162" i="2" l="1"/>
  <c r="D177" i="2" s="1"/>
  <c r="D181" i="2" s="1"/>
  <c r="D1" i="2" s="1"/>
  <c r="G160" i="2"/>
  <c r="G162" i="2" s="1"/>
  <c r="G177" i="2"/>
  <c r="G181" i="2" s="1"/>
  <c r="G1" i="2" s="1"/>
</calcChain>
</file>

<file path=xl/sharedStrings.xml><?xml version="1.0" encoding="utf-8"?>
<sst xmlns="http://schemas.openxmlformats.org/spreadsheetml/2006/main" count="282" uniqueCount="267">
  <si>
    <t>Scenario</t>
  </si>
  <si>
    <t>AMA Monthly Reports 2011 GRC Order</t>
  </si>
  <si>
    <t>Consolidated</t>
  </si>
  <si>
    <t>  (Dollars)</t>
  </si>
  <si>
    <t>B4</t>
  </si>
  <si>
    <t> (Dollars)</t>
  </si>
  <si>
    <t>Gas Rate Base - Plant Detail</t>
  </si>
  <si>
    <t xml:space="preserve"> 100 #1.0#1.0#.75#.75#0.5#0.5#1#####</t>
  </si>
  <si>
    <t>#,##0_);[Red](#,##0);" "</t>
  </si>
  <si>
    <t xml:space="preserve"> </t>
  </si>
  <si>
    <t xml:space="preserve">Scenario Comments: </t>
  </si>
  <si>
    <t>General</t>
  </si>
  <si>
    <t>$#,##0_);[Red]($#,##0);" "</t>
  </si>
  <si>
    <t xml:space="preserve">Print Date/Time: </t>
  </si>
  <si>
    <t> November 20, 2016 12:53:18</t>
  </si>
  <si>
    <t>#,##0.00%_);[Red](#,##0.00%);" "</t>
  </si>
  <si>
    <t xml:space="preserve">Scenario run Date/Time: </t>
  </si>
  <si>
    <t xml:space="preserve">Scenario Id: </t>
  </si>
  <si>
    <t>Version ID: 1</t>
  </si>
  <si>
    <t>Executable version: 10.06.0</t>
  </si>
  <si>
    <t>Base Year: 201301.0</t>
  </si>
  <si>
    <t>Years run monthly: 6</t>
  </si>
  <si>
    <t>#,##0.0_);[Red](#,##0.0);" "</t>
  </si>
  <si>
    <t>Scenario Actuals Date: 201612</t>
  </si>
  <si>
    <t>#,##0.00_);[Red](#,##0.00);" "</t>
  </si>
  <si>
    <t>#,##0.000_);[Red](#,##0.000);" "</t>
  </si>
  <si>
    <t xml:space="preserve">Cases in Scenario: </t>
  </si>
  <si>
    <t>#,##0.0000_);[Red](#,##0.0000);" "</t>
  </si>
  <si>
    <t>Updated 2016.11.10-16:50 Attribute</t>
  </si>
  <si>
    <t>2010 GRC NEW Base Attribute</t>
  </si>
  <si>
    <t>#,##0.00000_);[Red](#,##0.00000);" "</t>
  </si>
  <si>
    <t>Updated 2010.05.18-13:36 Attribute</t>
  </si>
  <si>
    <t>AMA (BS) / Monthly (IS) Overlay Attribute</t>
  </si>
  <si>
    <t>#,##0.000000_);[Red](#,##0.000000);" "</t>
  </si>
  <si>
    <t>#,##0%_);[Red](#,##0%);" "</t>
  </si>
  <si>
    <t>Updated 2016.10.31-09:39 Formula</t>
  </si>
  <si>
    <t>March 2010 Logic Case</t>
  </si>
  <si>
    <t>#,##0.0%_);[Red](#,##0.0%);" "</t>
  </si>
  <si>
    <t>Updated 2016.11.20-12:36 Overlay</t>
  </si>
  <si>
    <t>Base Time Date</t>
  </si>
  <si>
    <t>#,##0.000%_);[Red](#,##0.000%);" "</t>
  </si>
  <si>
    <t>Updated 2016.10.31-11:11 Overlay</t>
  </si>
  <si>
    <t>Monthly Alloction Factors</t>
  </si>
  <si>
    <t>#,##0.0000%_);[Red](#,##0.0000%);" "</t>
  </si>
  <si>
    <t>Updated 2014.01.30-13:59 Overlay</t>
  </si>
  <si>
    <t>Actual Adjustments- Unit Cost</t>
  </si>
  <si>
    <t>#,##0.00000%_);[Red](#,##0.00000%);" "</t>
  </si>
  <si>
    <t>2010 GRC Oct Filing Allocations</t>
  </si>
  <si>
    <t>C:\UIPLAN~2\Source\planner.jar</t>
  </si>
  <si>
    <t>#,##0.000000%_);[Red](#,##0.000000%);" "</t>
  </si>
  <si>
    <t>2011 GRC and CBR Allocations</t>
  </si>
  <si>
    <t>C:\Users\pwinne\UIPlanner\temp</t>
  </si>
  <si>
    <t>2011 GRC &amp; Jun 2013 CBR Allocators</t>
  </si>
  <si>
    <t>C:\PROGRA~1\Java\JRE18~1.0_9\bin\java.exe</t>
  </si>
  <si>
    <t>$#,##0.0_);[Red]($#,##0.0);" "</t>
  </si>
  <si>
    <t>Updated 2016.11.20-12:45 Actuals</t>
  </si>
  <si>
    <t>Base Actuals NOL Adj</t>
  </si>
  <si>
    <t>$#,##0.00_);[Red]($#,##0.00);" "</t>
  </si>
  <si>
    <t>$#,##0.000_);[Red]($#,##0.000);" "</t>
  </si>
  <si>
    <t>Reports with Actuals Date::</t>
  </si>
  <si>
    <t>$#,##0.0000_);[Red]($#,##0.0000);" "</t>
  </si>
  <si>
    <t>$#,##0.00000_);[Red]($#,##0.00000);" "</t>
  </si>
  <si>
    <t>Report Sequence Set:</t>
  </si>
  <si>
    <t>Regulatory Sequence Set</t>
  </si>
  <si>
    <t>$#,##0.000000_);[Red]($#,##0.000000);" "</t>
  </si>
  <si>
    <t>Report Sequence Sub-Set:</t>
  </si>
  <si>
    <t>None</t>
  </si>
  <si>
    <t>#,##0_);[Red](#,##0);"0"</t>
  </si>
  <si>
    <t>#,##0.0_);[Red](#,##0.0);"0"</t>
  </si>
  <si>
    <t>#,##0.00_);[Red](#,##0.00);"0"</t>
  </si>
  <si>
    <t>#,##0.000_);[Red](#,##0.000);"0"</t>
  </si>
  <si>
    <t>#,##0.0000_);[Red](#,##0.0000);"0"</t>
  </si>
  <si>
    <t>#,##0.00000_);[Red](#,##0.00000);"0"</t>
  </si>
  <si>
    <t>#,##0.000000_);[Red](#,##0.000000);"0"</t>
  </si>
  <si>
    <t>#,##0_)</t>
  </si>
  <si>
    <t>#,##0.0</t>
  </si>
  <si>
    <t>#,##0.00</t>
  </si>
  <si>
    <t>#,##0.000</t>
  </si>
  <si>
    <t>#,##0.0000</t>
  </si>
  <si>
    <t>#,##0.00000</t>
  </si>
  <si>
    <t>#,##0.000000</t>
  </si>
  <si>
    <t>###0</t>
  </si>
  <si>
    <t>MM/dd/yy</t>
  </si>
  <si>
    <t>DDDD</t>
  </si>
  <si>
    <t>#,##0_);[Red](#,##0);- ;_(@_)</t>
  </si>
  <si>
    <t>#,##0.0_);[Red](#,##0.0);- ;_(@_)</t>
  </si>
  <si>
    <t>#,##0.00_);[Red](#,##0.00);- ;_(@_)</t>
  </si>
  <si>
    <t>#,##0.000_);[Red](#,##0.000);- ;_(@_)</t>
  </si>
  <si>
    <t>#,##0.0000_);[Red](#,##0.0000);- ;_(@_)</t>
  </si>
  <si>
    <t>#,##0.00000_);[Red](#,##0.00000);- ;_(@_)</t>
  </si>
  <si>
    <t>$#,##0_);[Red]($#,##0);- ;_(@_)</t>
  </si>
  <si>
    <t>$#,##0.0_);[Red]($#,##0.0);- ;_(@_)</t>
  </si>
  <si>
    <t>$#,##0.00_);[Red]($#,##0.00);- ;_(@_)</t>
  </si>
  <si>
    <t>$#,##0.000_);[Red]($#,##0.000);- ;_(@_)</t>
  </si>
  <si>
    <t>$#,##0.0000_);[Red]($#,##0.0000);- ;_(@_)</t>
  </si>
  <si>
    <t>$#,##0.00000_);[Red]($#,##0.00000);- ;_(@_)</t>
  </si>
  <si>
    <t>EU:[]</t>
  </si>
  <si>
    <t>ET:[Total Net Utility Plant in Service]</t>
  </si>
  <si>
    <t>ES:[]</t>
  </si>
  <si>
    <t>ER:[Total Accumulated Depreciation and Amortization]</t>
  </si>
  <si>
    <t>EQ:[]</t>
  </si>
  <si>
    <t>CA:[Accumulated Depreciation and Amortization:]</t>
  </si>
  <si>
    <t>BZ:[]</t>
  </si>
  <si>
    <t>BY:[Total Gross Utility Plant in Service]</t>
  </si>
  <si>
    <t>BX:[]</t>
  </si>
  <si>
    <t>H:[Gross Utility Plant In Service:]</t>
  </si>
  <si>
    <t>G:[]</t>
  </si>
  <si>
    <t>PSE Gas </t>
  </si>
  <si>
    <t xml:space="preserve">     </t>
  </si>
  <si>
    <t xml:space="preserve">     I:[Production Plant]</t>
  </si>
  <si>
    <t xml:space="preserve">          J:[304 - Land &amp; Land Rights]</t>
  </si>
  <si>
    <t xml:space="preserve">          K:[305 - Structures &amp; Improvements]</t>
  </si>
  <si>
    <t xml:space="preserve">          L:[311 - Liquified Gas Equipment]</t>
  </si>
  <si>
    <t xml:space="preserve">          M:[320 - Other Equipment]</t>
  </si>
  <si>
    <t xml:space="preserve">     N:[Total Production Plant]</t>
  </si>
  <si>
    <t xml:space="preserve">     O:[]</t>
  </si>
  <si>
    <t xml:space="preserve">     P:[Transmission Plant]</t>
  </si>
  <si>
    <t xml:space="preserve">     W:[]</t>
  </si>
  <si>
    <t xml:space="preserve">     X:[Distribution Plant]</t>
  </si>
  <si>
    <t xml:space="preserve">          Z:[374 - Land &amp; Land Rights]</t>
  </si>
  <si>
    <t xml:space="preserve">          AA:[375 - Structures &amp; Improvements]</t>
  </si>
  <si>
    <t xml:space="preserve">          AB:[376 - Mains]</t>
  </si>
  <si>
    <t xml:space="preserve">          AC:[378 - Measuring &amp; Reg Station]</t>
  </si>
  <si>
    <t xml:space="preserve">          AD:[380 - Services]</t>
  </si>
  <si>
    <t xml:space="preserve">          AE:[381 - Meters]</t>
  </si>
  <si>
    <t xml:space="preserve">          AF:[382 - Meter Installations]</t>
  </si>
  <si>
    <t xml:space="preserve">          AG:[383 - House Regulators]</t>
  </si>
  <si>
    <t xml:space="preserve">          AH:[384 - House Regulator Installs]</t>
  </si>
  <si>
    <t xml:space="preserve">          AI:[385 - Industrial MSA]</t>
  </si>
  <si>
    <t xml:space="preserve">          AJ:[386 - Property-Customer Premis]</t>
  </si>
  <si>
    <t xml:space="preserve">          AK:[387 - Other Equipment]</t>
  </si>
  <si>
    <t xml:space="preserve">          AL:[388 - ARO Distribution]</t>
  </si>
  <si>
    <t xml:space="preserve">     AM:[Total Distribution Plant]</t>
  </si>
  <si>
    <t xml:space="preserve">     AN:[]</t>
  </si>
  <si>
    <t xml:space="preserve">     AO:[Underground Storage]</t>
  </si>
  <si>
    <t xml:space="preserve">          AP:[350 - Land &amp; Land Rights]</t>
  </si>
  <si>
    <t xml:space="preserve">          AQ:[351 - Structures &amp; Improvements]</t>
  </si>
  <si>
    <t xml:space="preserve">          AR:[352 - Wells]</t>
  </si>
  <si>
    <t xml:space="preserve">          AS:[353 - Lines]</t>
  </si>
  <si>
    <t xml:space="preserve">          AT:[354 - Compressor Station]</t>
  </si>
  <si>
    <t xml:space="preserve">          AU:[355 - Regulating Station]</t>
  </si>
  <si>
    <t xml:space="preserve">          AV:[356 - Purification Equipment]</t>
  </si>
  <si>
    <t xml:space="preserve">          AW:[357 - Other Equipment]</t>
  </si>
  <si>
    <t xml:space="preserve">          AX:[360 - Land &amp; Land Rights]</t>
  </si>
  <si>
    <t xml:space="preserve">          AY:[361 - Structures &amp; Improvements]</t>
  </si>
  <si>
    <t xml:space="preserve">          AZ:[362 - Gas Holders]</t>
  </si>
  <si>
    <t xml:space="preserve">          BA:[363 - Purification Equipment]</t>
  </si>
  <si>
    <t xml:space="preserve">          BB:[364 - Terminating &amp; Processing]</t>
  </si>
  <si>
    <t xml:space="preserve">     BC:[Total Underground Storage]</t>
  </si>
  <si>
    <t xml:space="preserve">     BD:[]</t>
  </si>
  <si>
    <t xml:space="preserve">     BE:[General Plant]</t>
  </si>
  <si>
    <t xml:space="preserve">          BF:[389 - Land &amp; Land Rights]</t>
  </si>
  <si>
    <t xml:space="preserve">          BG:[390 - Structures &amp; Improvements]</t>
  </si>
  <si>
    <t xml:space="preserve">          BH:[391 - Office Furniture &amp; Equipment]</t>
  </si>
  <si>
    <t xml:space="preserve">          BI:[392 - Transportation Equipment]</t>
  </si>
  <si>
    <t xml:space="preserve">          BJ:[393 - Stores Equipment]</t>
  </si>
  <si>
    <t xml:space="preserve">          BK:[394 - Tools/Shop/Garage]</t>
  </si>
  <si>
    <t xml:space="preserve">          BL:[395 - Laboratory Equipment]</t>
  </si>
  <si>
    <t xml:space="preserve">          BM:[396 - Power Operated Equipment]</t>
  </si>
  <si>
    <t xml:space="preserve">          BN:[397 - Communication Equipment]</t>
  </si>
  <si>
    <t xml:space="preserve">          BO:[398 - Misc Equipment]</t>
  </si>
  <si>
    <t xml:space="preserve">          BP:[399 - Other Tangible Property]</t>
  </si>
  <si>
    <t xml:space="preserve">     BQ:[Total General Plant]</t>
  </si>
  <si>
    <t xml:space="preserve">     BR:[]</t>
  </si>
  <si>
    <t xml:space="preserve">     BS:[Intangible Plant]</t>
  </si>
  <si>
    <t xml:space="preserve">          BT:[301 - Organization]</t>
  </si>
  <si>
    <t xml:space="preserve">          BU:[302 - Franchises &amp; Consents]</t>
  </si>
  <si>
    <t xml:space="preserve">          BV:[303 - Misc Intangible Plant]</t>
  </si>
  <si>
    <t xml:space="preserve">     BW:[Total Intangible Plant]</t>
  </si>
  <si>
    <t xml:space="preserve">     CB:[Production Plant]</t>
  </si>
  <si>
    <t xml:space="preserve">          CD:[305 - Structures &amp; Improvements]</t>
  </si>
  <si>
    <t xml:space="preserve">          CE:[311 - Liquified Gas Equipment]</t>
  </si>
  <si>
    <t xml:space="preserve">          CF:[320 - Other Equipment]</t>
  </si>
  <si>
    <t xml:space="preserve">     CG:[Total Production Plant]</t>
  </si>
  <si>
    <t xml:space="preserve">     CH:[]</t>
  </si>
  <si>
    <t xml:space="preserve">     CI:[Transmission Plant]</t>
  </si>
  <si>
    <t xml:space="preserve">     CP:[]</t>
  </si>
  <si>
    <t xml:space="preserve">     CQ:[Distribution Plant]</t>
  </si>
  <si>
    <t xml:space="preserve">          CS:[374 - Land &amp; Land Rights]</t>
  </si>
  <si>
    <t xml:space="preserve">          CT:[375 - Structures &amp; Improvements]</t>
  </si>
  <si>
    <t xml:space="preserve">          CU:[376 - Mains]</t>
  </si>
  <si>
    <t xml:space="preserve">          CV:[378 - Measuring &amp; Reg Station]</t>
  </si>
  <si>
    <t xml:space="preserve">          CW:[380 - Services]</t>
  </si>
  <si>
    <t xml:space="preserve">          CX:[381 - Meters]</t>
  </si>
  <si>
    <t xml:space="preserve">          CY:[382 - Meter Installations]</t>
  </si>
  <si>
    <t xml:space="preserve">          CZ:[383 - House Regulators]</t>
  </si>
  <si>
    <t xml:space="preserve">          DA:[384 - House Regulator Installs]</t>
  </si>
  <si>
    <t xml:space="preserve">          DB:[385 - Industrial MSA]</t>
  </si>
  <si>
    <t xml:space="preserve">          DC:[386 - Property-Customer Premis]</t>
  </si>
  <si>
    <t xml:space="preserve">          DD:[387 - Other Equipment]</t>
  </si>
  <si>
    <t xml:space="preserve">          DE:[388 - ARO Distribution]</t>
  </si>
  <si>
    <t xml:space="preserve">     DF:[Total Distribution Plant]</t>
  </si>
  <si>
    <t xml:space="preserve">     DG:[]</t>
  </si>
  <si>
    <t xml:space="preserve">     DH:[Underground Storage]</t>
  </si>
  <si>
    <t xml:space="preserve">          DI:[350 - Land &amp; Land Rights]</t>
  </si>
  <si>
    <t xml:space="preserve">          DJ:[351 - Structures &amp; Improvements]</t>
  </si>
  <si>
    <t xml:space="preserve">          DK:[352 - Wells]</t>
  </si>
  <si>
    <t xml:space="preserve">          DL:[353 - Lines]</t>
  </si>
  <si>
    <t xml:space="preserve">          DM:[354 - Compressor Station]</t>
  </si>
  <si>
    <t xml:space="preserve">          DN:[355 - Regulating Station]</t>
  </si>
  <si>
    <t xml:space="preserve">          DO:[356 - Purification Equipment]</t>
  </si>
  <si>
    <t xml:space="preserve">          DP:[357 - Other Equipment]</t>
  </si>
  <si>
    <t xml:space="preserve">          DR:[361 - Structures &amp; Improvements]</t>
  </si>
  <si>
    <t xml:space="preserve">          DS:[362 - Gas Holders]</t>
  </si>
  <si>
    <t xml:space="preserve">          DT:[363 - Purification Equipment]</t>
  </si>
  <si>
    <t xml:space="preserve">          DU:[364 - Terminating &amp; Processing]</t>
  </si>
  <si>
    <t xml:space="preserve">     DV:[Total Underground Storage]</t>
  </si>
  <si>
    <t xml:space="preserve">     DW:[]</t>
  </si>
  <si>
    <t xml:space="preserve">     DX:[General Plant]</t>
  </si>
  <si>
    <t xml:space="preserve">          DY:[389 - Land &amp; Land Rights]</t>
  </si>
  <si>
    <t xml:space="preserve">          DZ:[390 - Structures &amp; Improvements]</t>
  </si>
  <si>
    <t xml:space="preserve">          EA:[391 - Office Furniture &amp; Equipment]</t>
  </si>
  <si>
    <t xml:space="preserve">          EB:[392 - Transportation Equipment]</t>
  </si>
  <si>
    <t xml:space="preserve">          EC:[393 - Stores Equipment]</t>
  </si>
  <si>
    <t xml:space="preserve">          ED:[394 - Tools/Shop/Garage]</t>
  </si>
  <si>
    <t xml:space="preserve">          EE:[395 - Laboratory Equipment]</t>
  </si>
  <si>
    <t xml:space="preserve">          EF:[396 - Power Operated Equipment]</t>
  </si>
  <si>
    <t xml:space="preserve">          EG:[397 - Communication Equipment]</t>
  </si>
  <si>
    <t xml:space="preserve">          EH:[398 - Misc Equipment]</t>
  </si>
  <si>
    <t xml:space="preserve">          EI:[399 - Other Tangible Property]</t>
  </si>
  <si>
    <t xml:space="preserve">     EJ:[Total General Plant]</t>
  </si>
  <si>
    <t xml:space="preserve">     EK:[]</t>
  </si>
  <si>
    <t xml:space="preserve">     EL:[Intangible Plant]</t>
  </si>
  <si>
    <t xml:space="preserve">          EN:[302 - Franchises &amp; Consents]</t>
  </si>
  <si>
    <t xml:space="preserve">          EO:[303 - Misc Intangible Plant]</t>
  </si>
  <si>
    <t xml:space="preserve">     EP:[Total Intangible Plant]</t>
  </si>
  <si>
    <t>Other Items: Plant In Service</t>
  </si>
  <si>
    <t>10100602 Gas Plant In Service Manual Adjustments</t>
  </si>
  <si>
    <t>OTHER ITEMS</t>
  </si>
  <si>
    <t xml:space="preserve">DFIT  </t>
  </si>
  <si>
    <t>DFIT Audit Adjustment</t>
  </si>
  <si>
    <t>NOL</t>
  </si>
  <si>
    <t>Customer Deposits</t>
  </si>
  <si>
    <t>Working Capital</t>
  </si>
  <si>
    <t>Total Other Items</t>
  </si>
  <si>
    <t>Customer Advances</t>
  </si>
  <si>
    <t>Gas Stored</t>
  </si>
  <si>
    <t>Total Other Plant</t>
  </si>
  <si>
    <t>Total Plant</t>
  </si>
  <si>
    <t>Rate Base</t>
  </si>
  <si>
    <t>23001092 ARO Gas Mains</t>
  </si>
  <si>
    <t>10600603 Common NC Manual Adjustments</t>
  </si>
  <si>
    <t>23001043 ARO - South King Complex - Long Term</t>
  </si>
  <si>
    <t>25300353 PSE Building (A) - Landlord Incentives</t>
  </si>
  <si>
    <t>25300363 PSE Building (B) - Landlord Incentives</t>
  </si>
  <si>
    <t>25300413 Landlord Incentive Bldg B - Floor 4</t>
  </si>
  <si>
    <t>25300443 Bothel Data Center Landlord Incentives</t>
  </si>
  <si>
    <t>25300663 Redmond West 2nd Amen Tenant Incentives</t>
  </si>
  <si>
    <t>25301203 Redmond West on Willows - Landlord Ince</t>
  </si>
  <si>
    <t>25301213 Redmond West Tenant Improvement</t>
  </si>
  <si>
    <t>Electric</t>
  </si>
  <si>
    <t>Gas</t>
  </si>
  <si>
    <t>10800543 Common-RWIP RET1 COR/Salvage PP</t>
  </si>
  <si>
    <t>Other Items</t>
  </si>
  <si>
    <t>Total Accumulated Reserve</t>
  </si>
  <si>
    <t>10800552 GAS RWIP-RET1 COR/Salvage PP</t>
  </si>
  <si>
    <t>10800602-Gas Reserve Manual adjustments</t>
  </si>
  <si>
    <t>Adjusted Rate Base</t>
  </si>
  <si>
    <t>Rounding</t>
  </si>
  <si>
    <t>YE-Sept 2016</t>
  </si>
  <si>
    <t>Per the Gas Model</t>
  </si>
  <si>
    <t>390.1 Leaseholds</t>
  </si>
  <si>
    <t>Depreciation Study 6.06</t>
  </si>
  <si>
    <t>South King Service Center 6.21</t>
  </si>
  <si>
    <t>Cost Recovery Mechanism 6.01</t>
  </si>
  <si>
    <t>ISWC and Rate Base              11.23</t>
  </si>
  <si>
    <t>SETTLEMENT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</si>
</sst>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_);[Red]\(#,##0\);&quot; &quot;"/>
  </numFmts>
  <fonts count="28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10"/>
      <color theme="1"/>
      <name val="Times New Roman"/>
      <family val="2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0"/>
      <color rgb="FFFF0000"/>
      <name val="Times New Roman"/>
      <family val="2"/>
    </font>
    <font>
      <b/>
      <sz val="1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4" fillId="0" borderId="0"/>
  </cellStyleXfs>
  <cellXfs count="30">
    <xf numFmtId="0" fontId="0" fillId="0" borderId="0" xfId="0"/>
    <xf numFmtId="22" fontId="0" fillId="0" borderId="0" xfId="0" applyNumberFormat="1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4" fontId="19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left"/>
    </xf>
    <xf numFmtId="164" fontId="21" fillId="0" borderId="0" xfId="0" applyNumberFormat="1" applyFont="1" applyAlignment="1">
      <alignment horizontal="left"/>
    </xf>
    <xf numFmtId="164" fontId="22" fillId="0" borderId="0" xfId="0" applyNumberFormat="1" applyFont="1" applyAlignment="1">
      <alignment horizontal="left"/>
    </xf>
    <xf numFmtId="49" fontId="23" fillId="0" borderId="0" xfId="0" applyNumberFormat="1" applyFont="1" applyFill="1" applyBorder="1" applyAlignment="1">
      <alignment horizontal="left"/>
    </xf>
    <xf numFmtId="10" fontId="18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center" wrapText="1"/>
    </xf>
    <xf numFmtId="37" fontId="18" fillId="0" borderId="0" xfId="0" applyNumberFormat="1" applyFont="1" applyAlignment="1">
      <alignment horizontal="right"/>
    </xf>
    <xf numFmtId="37" fontId="26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 indent="2"/>
    </xf>
    <xf numFmtId="37" fontId="18" fillId="0" borderId="11" xfId="0" applyNumberFormat="1" applyFont="1" applyBorder="1" applyAlignment="1">
      <alignment horizontal="right"/>
    </xf>
    <xf numFmtId="37" fontId="19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23" fillId="0" borderId="0" xfId="42" applyNumberFormat="1" applyFont="1" applyFill="1" applyBorder="1"/>
    <xf numFmtId="37" fontId="23" fillId="0" borderId="11" xfId="42" applyNumberFormat="1" applyFont="1" applyFill="1" applyBorder="1"/>
    <xf numFmtId="37" fontId="18" fillId="33" borderId="0" xfId="0" applyNumberFormat="1" applyFont="1" applyFill="1" applyAlignment="1">
      <alignment horizontal="right"/>
    </xf>
    <xf numFmtId="37" fontId="18" fillId="0" borderId="10" xfId="0" applyNumberFormat="1" applyFont="1" applyBorder="1" applyAlignment="1">
      <alignment horizontal="right"/>
    </xf>
    <xf numFmtId="37" fontId="6" fillId="2" borderId="0" xfId="6" applyNumberFormat="1" applyAlignment="1">
      <alignment horizontal="center" wrapText="1"/>
    </xf>
    <xf numFmtId="2" fontId="27" fillId="0" borderId="0" xfId="0" applyNumberFormat="1" applyFont="1" applyFill="1" applyAlignment="1" applyProtection="1">
      <alignment horizontal="center"/>
      <protection locked="0"/>
    </xf>
    <xf numFmtId="0" fontId="23" fillId="0" borderId="0" xfId="0" applyNumberFormat="1" applyFont="1" applyFill="1" applyAlignment="1">
      <alignment horizontal="center" wrapText="1"/>
    </xf>
    <xf numFmtId="49" fontId="19" fillId="0" borderId="0" xfId="0" applyNumberFormat="1" applyFont="1" applyAlignment="1">
      <alignment horizontal="left" wrapText="1"/>
    </xf>
    <xf numFmtId="37" fontId="18" fillId="0" borderId="0" xfId="0" applyNumberFormat="1" applyFont="1" applyFill="1" applyBorder="1" applyAlignment="1">
      <alignment horizontal="right"/>
    </xf>
    <xf numFmtId="37" fontId="18" fillId="0" borderId="0" xfId="0" applyNumberFormat="1" applyFont="1" applyFill="1" applyAlignment="1">
      <alignment horizontal="right"/>
    </xf>
    <xf numFmtId="37" fontId="18" fillId="0" borderId="11" xfId="0" applyNumberFormat="1" applyFont="1" applyFill="1" applyBorder="1" applyAlignment="1">
      <alignment horizontal="right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- Style1" xfId="44"/>
    <cellStyle name="Normal 4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006600"/>
      </font>
      <fill>
        <patternFill>
          <bgColor rgb="FFCCFF99"/>
        </patternFill>
      </fill>
    </dxf>
  </dxfs>
  <tableStyles count="0" defaultTableStyle="TableStyleMedium2" defaultPivotStyle="PivotStyleLight16"/>
  <colors>
    <mruColors>
      <color rgb="FF006600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01G-CRM-17GR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.21E-and-6.21G-South-King-Ser-Cen-17GR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6.06G-Depr-Study-17GRC-Tax-Refor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%23Gas%20Model%20Tax%20Reform%202017%20GRC%20(SETTLEMEN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CombinedInv"/>
      <sheetName val="Depr Exp Effect "/>
      <sheetName val="CRM Rates"/>
      <sheetName val="IRS DFIT"/>
      <sheetName val="2013-2014 Investment"/>
      <sheetName val="2014-2015 Investment"/>
      <sheetName val="2015-2016 Investment"/>
      <sheetName val="2014 CRM"/>
      <sheetName val="2015 CRM"/>
      <sheetName val="2016 CRM"/>
      <sheetName val="ERF Conv Fctr"/>
      <sheetName val="Sheet1"/>
    </sheetNames>
    <sheetDataSet>
      <sheetData sheetId="0">
        <row r="10">
          <cell r="F10">
            <v>6319267.5535104107</v>
          </cell>
        </row>
        <row r="32">
          <cell r="H32">
            <v>32005953.107976198</v>
          </cell>
        </row>
        <row r="33">
          <cell r="H33">
            <v>-7133937.3887045681</v>
          </cell>
        </row>
        <row r="34">
          <cell r="H34">
            <v>-214172.59421512415</v>
          </cell>
        </row>
        <row r="35">
          <cell r="H35">
            <v>-5721095.1241003703</v>
          </cell>
        </row>
        <row r="36">
          <cell r="H36">
            <v>74960.407975293449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ummary Data Electric &amp; Gas"/>
      <sheetName val="Leashold Improvements"/>
      <sheetName val="IRS DFIT"/>
      <sheetName val="Plant and Tax Data"/>
      <sheetName val="Tax Depreciation Rates"/>
      <sheetName val="South King Plant"/>
      <sheetName val="Allocation Method"/>
      <sheetName val="Common Depr Rates"/>
      <sheetName val="RB&amp;IS by FERC"/>
    </sheetNames>
    <sheetDataSet>
      <sheetData sheetId="0">
        <row r="16">
          <cell r="D16">
            <v>2565876.3629749999</v>
          </cell>
        </row>
      </sheetData>
      <sheetData sheetId="1">
        <row r="16">
          <cell r="D16">
            <v>1253528.7620250001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I9">
            <v>11090930.553116666</v>
          </cell>
          <cell r="M9">
            <v>5418343.8635499999</v>
          </cell>
        </row>
        <row r="10">
          <cell r="M10">
            <v>3393914.7094249995</v>
          </cell>
        </row>
        <row r="11">
          <cell r="K11">
            <v>1121972.34925</v>
          </cell>
          <cell r="M11">
            <v>-1121972.34925</v>
          </cell>
        </row>
        <row r="16">
          <cell r="M16">
            <v>-580939.27582192782</v>
          </cell>
        </row>
        <row r="17">
          <cell r="M17">
            <v>531419.38875000004</v>
          </cell>
        </row>
        <row r="21">
          <cell r="M21">
            <v>134349.35867273732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 Depr Rates Sept 07"/>
      <sheetName val="Depreciation Recon"/>
      <sheetName val="Lead G"/>
      <sheetName val="GAS"/>
      <sheetName val="Gas Study Rpt"/>
      <sheetName val="Common"/>
      <sheetName val="Comm Study Rpt"/>
      <sheetName val="DFIT Depr Stdy 10.06G"/>
      <sheetName val="GAS 403.1 Depr"/>
      <sheetName val="GAS Accretion"/>
      <sheetName val="Depr Oct15-Sep16 Revised"/>
      <sheetName val="CC300"/>
      <sheetName val="RB&amp;ISbyFERC"/>
    </sheetNames>
    <sheetDataSet>
      <sheetData sheetId="0" refreshError="1"/>
      <sheetData sheetId="1" refreshError="1"/>
      <sheetData sheetId="2">
        <row r="12">
          <cell r="C12">
            <v>113989496.07000001</v>
          </cell>
        </row>
        <row r="40">
          <cell r="E40">
            <v>-3546872.4142843462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5">
          <cell r="H5">
            <v>555.83311702471519</v>
          </cell>
        </row>
        <row r="6">
          <cell r="H6">
            <v>11403.339783885745</v>
          </cell>
        </row>
        <row r="7">
          <cell r="H7">
            <v>-117.98695702345823</v>
          </cell>
        </row>
        <row r="8">
          <cell r="H8">
            <v>-160.05849655319011</v>
          </cell>
        </row>
        <row r="9">
          <cell r="H9">
            <v>-1.9484662664681309</v>
          </cell>
        </row>
        <row r="10">
          <cell r="H10">
            <v>-5298.2291726743078</v>
          </cell>
        </row>
        <row r="11">
          <cell r="H11">
            <v>0</v>
          </cell>
        </row>
        <row r="12">
          <cell r="H12">
            <v>-873.32497697227188</v>
          </cell>
        </row>
        <row r="13">
          <cell r="H13">
            <v>-34117.308595487528</v>
          </cell>
        </row>
        <row r="14">
          <cell r="H14">
            <v>4645.7879921790773</v>
          </cell>
        </row>
        <row r="15">
          <cell r="H15">
            <v>4507.5212826185598</v>
          </cell>
        </row>
        <row r="16">
          <cell r="H16">
            <v>3278.2589304753637</v>
          </cell>
        </row>
        <row r="17">
          <cell r="H17">
            <v>-45059.61368294101</v>
          </cell>
        </row>
        <row r="18">
          <cell r="H18">
            <v>-2502.9053398307697</v>
          </cell>
        </row>
        <row r="19">
          <cell r="H19">
            <v>-11352.620526196264</v>
          </cell>
        </row>
        <row r="20">
          <cell r="H20">
            <v>-7559.7015846645954</v>
          </cell>
        </row>
        <row r="21">
          <cell r="H21">
            <v>7501.6140632004608</v>
          </cell>
        </row>
        <row r="22">
          <cell r="H22">
            <v>2822.4670366752252</v>
          </cell>
        </row>
        <row r="23">
          <cell r="H23">
            <v>10234.409368278692</v>
          </cell>
        </row>
        <row r="24">
          <cell r="H24">
            <v>4296.8303897467813</v>
          </cell>
        </row>
        <row r="25">
          <cell r="H25">
            <v>2528.362976158247</v>
          </cell>
        </row>
        <row r="26">
          <cell r="H26">
            <v>22259.103064167866</v>
          </cell>
        </row>
        <row r="27">
          <cell r="H27">
            <v>-48387.690411879972</v>
          </cell>
        </row>
        <row r="28">
          <cell r="H28">
            <v>1871570.784781347</v>
          </cell>
        </row>
        <row r="29">
          <cell r="H29">
            <v>2795946.4111245852</v>
          </cell>
        </row>
        <row r="30">
          <cell r="H30">
            <v>-120378.98807663063</v>
          </cell>
        </row>
        <row r="31">
          <cell r="H31">
            <v>24192.085676404648</v>
          </cell>
        </row>
        <row r="32">
          <cell r="H32">
            <v>-62267.84837608895</v>
          </cell>
        </row>
        <row r="33">
          <cell r="H33">
            <v>6443948.4301533159</v>
          </cell>
        </row>
        <row r="34">
          <cell r="H34">
            <v>120660.03163092223</v>
          </cell>
        </row>
        <row r="35">
          <cell r="H35">
            <v>-500584.56142926484</v>
          </cell>
        </row>
        <row r="36">
          <cell r="H36">
            <v>115754.46590498486</v>
          </cell>
        </row>
        <row r="37">
          <cell r="H37">
            <v>79555.251091638202</v>
          </cell>
        </row>
        <row r="38">
          <cell r="H38">
            <v>268874.38720055472</v>
          </cell>
        </row>
        <row r="39">
          <cell r="H39">
            <v>-548526.17634609865</v>
          </cell>
        </row>
        <row r="40">
          <cell r="H40">
            <v>-532192.12331509916</v>
          </cell>
        </row>
        <row r="41">
          <cell r="H41">
            <v>-275274.83015462558</v>
          </cell>
        </row>
        <row r="42">
          <cell r="H42">
            <v>8200.1361067011894</v>
          </cell>
        </row>
        <row r="43">
          <cell r="H43">
            <v>598880.32279710181</v>
          </cell>
        </row>
        <row r="44">
          <cell r="H44">
            <v>-102104.51848552792</v>
          </cell>
        </row>
        <row r="45">
          <cell r="H45">
            <v>28875.152536629768</v>
          </cell>
        </row>
        <row r="46">
          <cell r="H46">
            <v>116177.30915231886</v>
          </cell>
        </row>
        <row r="47">
          <cell r="H47">
            <v>-1144.1748875718515</v>
          </cell>
        </row>
        <row r="48">
          <cell r="H48">
            <v>-82112.59489593959</v>
          </cell>
        </row>
        <row r="49">
          <cell r="H49">
            <v>13918.723966367859</v>
          </cell>
        </row>
        <row r="50">
          <cell r="H50">
            <v>2202.9661352502599</v>
          </cell>
        </row>
        <row r="51">
          <cell r="H51">
            <v>-50622.991630835371</v>
          </cell>
        </row>
        <row r="52">
          <cell r="H52">
            <v>1771.3932151995978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ETR"/>
      <sheetName val="Gas Def Calc"/>
      <sheetName val="Gas Summary"/>
      <sheetName val="Gas Detail Pages"/>
      <sheetName val="Gas CRM"/>
    </sheetNames>
    <sheetDataSet>
      <sheetData sheetId="0"/>
      <sheetData sheetId="1"/>
      <sheetData sheetId="2"/>
      <sheetData sheetId="3">
        <row r="60">
          <cell r="AF60">
            <v>4743345.615733996</v>
          </cell>
        </row>
        <row r="61">
          <cell r="I61">
            <v>1727319760.395555</v>
          </cell>
          <cell r="O61">
            <v>6587048.7693852149</v>
          </cell>
          <cell r="AD61">
            <v>7775115.6953258077</v>
          </cell>
          <cell r="AF61">
            <v>4743345.615733996</v>
          </cell>
          <cell r="AH61">
            <v>19011708.408931427</v>
          </cell>
          <cell r="AJ61">
            <v>1765436978.8849313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tabSelected="1" workbookViewId="0">
      <pane xSplit="1" ySplit="3" topLeftCell="B150" activePane="bottomRight" state="frozen"/>
      <selection pane="topRight" activeCell="B1" sqref="B1"/>
      <selection pane="bottomLeft" activeCell="A4" sqref="A4"/>
      <selection pane="bottomRight" activeCell="G177" sqref="G177"/>
    </sheetView>
  </sheetViews>
  <sheetFormatPr defaultColWidth="8.88671875" defaultRowHeight="13.2" x14ac:dyDescent="0.25"/>
  <cols>
    <col min="1" max="1" width="42.88671875" style="3" customWidth="1"/>
    <col min="2" max="2" width="13.6640625" style="2" bestFit="1" customWidth="1"/>
    <col min="3" max="3" width="10.88671875" style="2" bestFit="1" customWidth="1"/>
    <col min="4" max="4" width="12.33203125" style="2" bestFit="1" customWidth="1"/>
    <col min="5" max="6" width="13.33203125" style="2" customWidth="1"/>
    <col min="7" max="7" width="13.6640625" style="2" customWidth="1"/>
    <col min="8" max="16384" width="8.88671875" style="2"/>
  </cols>
  <sheetData>
    <row r="1" spans="1:7" s="4" customFormat="1" ht="13.8" x14ac:dyDescent="0.25">
      <c r="A1" s="26" t="s">
        <v>266</v>
      </c>
      <c r="B1" s="23">
        <f ca="1">ROUNDDOWN(B181,0)</f>
        <v>0</v>
      </c>
      <c r="C1" s="23">
        <f t="shared" ref="C1:G1" ca="1" si="0">ROUNDDOWN(C181,0)</f>
        <v>0</v>
      </c>
      <c r="D1" s="23">
        <f t="shared" ca="1" si="0"/>
        <v>0</v>
      </c>
      <c r="E1" s="23">
        <f t="shared" ca="1" si="0"/>
        <v>0</v>
      </c>
      <c r="F1" s="23">
        <f t="shared" si="0"/>
        <v>0</v>
      </c>
      <c r="G1" s="23">
        <f t="shared" ca="1" si="0"/>
        <v>0</v>
      </c>
    </row>
    <row r="2" spans="1:7" s="4" customFormat="1" ht="39.6" x14ac:dyDescent="0.25">
      <c r="A2" s="5" t="s">
        <v>1</v>
      </c>
      <c r="B2" s="4" t="s">
        <v>259</v>
      </c>
      <c r="C2" s="12" t="s">
        <v>262</v>
      </c>
      <c r="D2" s="12" t="s">
        <v>263</v>
      </c>
      <c r="E2" s="12" t="s">
        <v>264</v>
      </c>
      <c r="F2" s="12" t="s">
        <v>265</v>
      </c>
      <c r="G2" s="12" t="s">
        <v>257</v>
      </c>
    </row>
    <row r="3" spans="1:7" s="4" customFormat="1" x14ac:dyDescent="0.25">
      <c r="A3" s="5"/>
      <c r="F3" s="25" t="s">
        <v>9</v>
      </c>
    </row>
    <row r="4" spans="1:7" ht="13.8" x14ac:dyDescent="0.3">
      <c r="A4" s="7" t="s">
        <v>107</v>
      </c>
      <c r="F4" s="24" t="s">
        <v>9</v>
      </c>
    </row>
    <row r="5" spans="1:7" ht="13.8" x14ac:dyDescent="0.3">
      <c r="A5" s="7" t="s">
        <v>108</v>
      </c>
    </row>
    <row r="6" spans="1:7" x14ac:dyDescent="0.25">
      <c r="A6" s="3" t="s">
        <v>106</v>
      </c>
    </row>
    <row r="7" spans="1:7" x14ac:dyDescent="0.25">
      <c r="A7" s="6" t="s">
        <v>105</v>
      </c>
    </row>
    <row r="8" spans="1:7" x14ac:dyDescent="0.25">
      <c r="A8" s="6" t="s">
        <v>109</v>
      </c>
    </row>
    <row r="9" spans="1:7" x14ac:dyDescent="0.25">
      <c r="A9" s="3" t="s">
        <v>110</v>
      </c>
      <c r="B9" s="13">
        <v>153210.76999999999</v>
      </c>
      <c r="C9" s="13"/>
      <c r="D9" s="13"/>
      <c r="E9" s="13">
        <v>0</v>
      </c>
      <c r="F9" s="13"/>
      <c r="G9" s="13">
        <f>SUM(B9:F9)</f>
        <v>153210.76999999999</v>
      </c>
    </row>
    <row r="10" spans="1:7" x14ac:dyDescent="0.25">
      <c r="A10" s="3" t="s">
        <v>111</v>
      </c>
      <c r="B10" s="13">
        <v>508737.32</v>
      </c>
      <c r="C10" s="13"/>
      <c r="D10" s="13"/>
      <c r="E10" s="13">
        <v>0</v>
      </c>
      <c r="F10" s="13"/>
      <c r="G10" s="13">
        <f>SUM(B10:F10)</f>
        <v>508737.32</v>
      </c>
    </row>
    <row r="11" spans="1:7" x14ac:dyDescent="0.25">
      <c r="A11" s="3" t="s">
        <v>112</v>
      </c>
      <c r="B11" s="13">
        <v>6070282.0300000003</v>
      </c>
      <c r="C11" s="13"/>
      <c r="D11" s="13"/>
      <c r="E11" s="13">
        <v>0</v>
      </c>
      <c r="F11" s="13"/>
      <c r="G11" s="13">
        <f>SUM(B11:F11)</f>
        <v>6070282.0300000003</v>
      </c>
    </row>
    <row r="12" spans="1:7" x14ac:dyDescent="0.25">
      <c r="A12" s="3" t="s">
        <v>113</v>
      </c>
      <c r="B12" s="16">
        <v>4852.88</v>
      </c>
      <c r="C12" s="16"/>
      <c r="D12" s="16"/>
      <c r="E12" s="16">
        <v>0</v>
      </c>
      <c r="F12" s="16"/>
      <c r="G12" s="16">
        <f>SUM(B12:F12)</f>
        <v>4852.88</v>
      </c>
    </row>
    <row r="13" spans="1:7" x14ac:dyDescent="0.25">
      <c r="A13" s="6" t="s">
        <v>114</v>
      </c>
      <c r="B13" s="13">
        <f>SUM(B9:B12)</f>
        <v>6737083</v>
      </c>
      <c r="C13" s="13">
        <f t="shared" ref="C13:E13" si="1">SUM(C9:C12)</f>
        <v>0</v>
      </c>
      <c r="D13" s="13">
        <f t="shared" si="1"/>
        <v>0</v>
      </c>
      <c r="E13" s="13">
        <f t="shared" si="1"/>
        <v>0</v>
      </c>
      <c r="F13" s="13">
        <v>0</v>
      </c>
      <c r="G13" s="13">
        <f t="shared" ref="G13" si="2">SUM(G9:G12)</f>
        <v>6737083</v>
      </c>
    </row>
    <row r="14" spans="1:7" x14ac:dyDescent="0.25">
      <c r="A14" s="6" t="s">
        <v>115</v>
      </c>
      <c r="B14" s="13"/>
      <c r="C14" s="13"/>
      <c r="D14" s="13"/>
      <c r="E14" s="13"/>
      <c r="F14" s="13"/>
      <c r="G14" s="13"/>
    </row>
    <row r="15" spans="1:7" x14ac:dyDescent="0.25">
      <c r="A15" s="6" t="s">
        <v>116</v>
      </c>
      <c r="B15" s="13"/>
      <c r="C15" s="13"/>
      <c r="D15" s="13"/>
      <c r="E15" s="13"/>
      <c r="F15" s="13"/>
      <c r="G15" s="13"/>
    </row>
    <row r="16" spans="1:7" x14ac:dyDescent="0.25">
      <c r="A16" s="6" t="s">
        <v>117</v>
      </c>
      <c r="B16" s="13"/>
      <c r="C16" s="13"/>
      <c r="D16" s="13"/>
      <c r="E16" s="13"/>
      <c r="F16" s="13"/>
      <c r="G16" s="13"/>
    </row>
    <row r="17" spans="1:7" x14ac:dyDescent="0.25">
      <c r="A17" s="6" t="s">
        <v>118</v>
      </c>
      <c r="B17" s="13"/>
      <c r="C17" s="13"/>
      <c r="D17" s="13"/>
      <c r="E17" s="13"/>
      <c r="F17" s="13"/>
      <c r="G17" s="13"/>
    </row>
    <row r="18" spans="1:7" x14ac:dyDescent="0.25">
      <c r="A18" s="3" t="s">
        <v>119</v>
      </c>
      <c r="B18" s="13">
        <v>24136190.1474999</v>
      </c>
      <c r="C18" s="13"/>
      <c r="D18" s="13"/>
      <c r="E18" s="13">
        <v>0</v>
      </c>
      <c r="F18" s="13"/>
      <c r="G18" s="13">
        <f t="shared" ref="G18:G30" si="3">SUM(B18:F18)</f>
        <v>24136190.1474999</v>
      </c>
    </row>
    <row r="19" spans="1:7" x14ac:dyDescent="0.25">
      <c r="A19" s="3" t="s">
        <v>120</v>
      </c>
      <c r="B19" s="13">
        <v>35613836.926250003</v>
      </c>
      <c r="C19" s="13"/>
      <c r="D19" s="13"/>
      <c r="E19" s="13">
        <v>0</v>
      </c>
      <c r="F19" s="13"/>
      <c r="G19" s="13">
        <f t="shared" si="3"/>
        <v>35613836.926250003</v>
      </c>
    </row>
    <row r="20" spans="1:7" x14ac:dyDescent="0.25">
      <c r="A20" s="3" t="s">
        <v>121</v>
      </c>
      <c r="B20" s="13">
        <v>1709934250.2375</v>
      </c>
      <c r="C20" s="13"/>
      <c r="D20" s="13"/>
      <c r="E20" s="13">
        <f ca="1">'[1]Lead G'!$H$32*0.9</f>
        <v>28805357.797178578</v>
      </c>
      <c r="F20" s="13"/>
      <c r="G20" s="13">
        <f t="shared" ca="1" si="3"/>
        <v>1738739608.0346785</v>
      </c>
    </row>
    <row r="21" spans="1:7" x14ac:dyDescent="0.25">
      <c r="A21" s="3" t="s">
        <v>122</v>
      </c>
      <c r="B21" s="13">
        <v>108367534.23666599</v>
      </c>
      <c r="C21" s="13"/>
      <c r="D21" s="13"/>
      <c r="E21" s="13">
        <v>0</v>
      </c>
      <c r="F21" s="13"/>
      <c r="G21" s="13">
        <f t="shared" si="3"/>
        <v>108367534.23666599</v>
      </c>
    </row>
    <row r="22" spans="1:7" x14ac:dyDescent="0.25">
      <c r="A22" s="3" t="s">
        <v>123</v>
      </c>
      <c r="B22" s="13">
        <v>988673542.79958296</v>
      </c>
      <c r="C22" s="13"/>
      <c r="D22" s="13"/>
      <c r="E22" s="13">
        <f ca="1">'[1]Lead G'!$H$32*0.1</f>
        <v>3200595.3107976201</v>
      </c>
      <c r="F22" s="13"/>
      <c r="G22" s="13">
        <f t="shared" ca="1" si="3"/>
        <v>991874138.11038053</v>
      </c>
    </row>
    <row r="23" spans="1:7" x14ac:dyDescent="0.25">
      <c r="A23" s="3" t="s">
        <v>124</v>
      </c>
      <c r="B23" s="13">
        <v>74869323.123750001</v>
      </c>
      <c r="C23" s="13"/>
      <c r="D23" s="13"/>
      <c r="E23" s="13">
        <v>0</v>
      </c>
      <c r="F23" s="13"/>
      <c r="G23" s="13">
        <f t="shared" si="3"/>
        <v>74869323.123750001</v>
      </c>
    </row>
    <row r="24" spans="1:7" x14ac:dyDescent="0.25">
      <c r="A24" s="3" t="s">
        <v>125</v>
      </c>
      <c r="B24" s="13">
        <v>155174220.51916599</v>
      </c>
      <c r="C24" s="13"/>
      <c r="D24" s="13"/>
      <c r="E24" s="13">
        <v>0</v>
      </c>
      <c r="F24" s="13"/>
      <c r="G24" s="13">
        <f t="shared" si="3"/>
        <v>155174220.51916599</v>
      </c>
    </row>
    <row r="25" spans="1:7" x14ac:dyDescent="0.25">
      <c r="A25" s="3" t="s">
        <v>126</v>
      </c>
      <c r="B25" s="13">
        <v>16401520.2204166</v>
      </c>
      <c r="C25" s="13"/>
      <c r="D25" s="13"/>
      <c r="E25" s="13">
        <v>0</v>
      </c>
      <c r="F25" s="13"/>
      <c r="G25" s="13">
        <f t="shared" si="3"/>
        <v>16401520.2204166</v>
      </c>
    </row>
    <row r="26" spans="1:7" x14ac:dyDescent="0.25">
      <c r="A26" s="3" t="s">
        <v>127</v>
      </c>
      <c r="B26" s="13">
        <v>82507470.709999993</v>
      </c>
      <c r="C26" s="13"/>
      <c r="D26" s="13"/>
      <c r="E26" s="13">
        <v>0</v>
      </c>
      <c r="F26" s="13"/>
      <c r="G26" s="13">
        <f t="shared" si="3"/>
        <v>82507470.709999993</v>
      </c>
    </row>
    <row r="27" spans="1:7" x14ac:dyDescent="0.25">
      <c r="A27" s="3" t="s">
        <v>128</v>
      </c>
      <c r="B27" s="13">
        <v>37287939.576666601</v>
      </c>
      <c r="C27" s="13"/>
      <c r="D27" s="13"/>
      <c r="E27" s="13">
        <v>0</v>
      </c>
      <c r="F27" s="13"/>
      <c r="G27" s="13">
        <f t="shared" si="3"/>
        <v>37287939.576666601</v>
      </c>
    </row>
    <row r="28" spans="1:7" x14ac:dyDescent="0.25">
      <c r="A28" s="3" t="s">
        <v>129</v>
      </c>
      <c r="B28" s="13">
        <v>28159533.914583299</v>
      </c>
      <c r="C28" s="13"/>
      <c r="D28" s="13"/>
      <c r="E28" s="13">
        <v>0</v>
      </c>
      <c r="F28" s="13"/>
      <c r="G28" s="13">
        <f t="shared" si="3"/>
        <v>28159533.914583299</v>
      </c>
    </row>
    <row r="29" spans="1:7" x14ac:dyDescent="0.25">
      <c r="A29" s="3" t="s">
        <v>130</v>
      </c>
      <c r="B29" s="13">
        <v>5861748.3479166599</v>
      </c>
      <c r="C29" s="13"/>
      <c r="D29" s="13"/>
      <c r="E29" s="13">
        <v>0</v>
      </c>
      <c r="F29" s="13"/>
      <c r="G29" s="13">
        <f t="shared" si="3"/>
        <v>5861748.3479166599</v>
      </c>
    </row>
    <row r="30" spans="1:7" x14ac:dyDescent="0.25">
      <c r="A30" s="3" t="s">
        <v>131</v>
      </c>
      <c r="B30" s="16">
        <v>9047725.7479166593</v>
      </c>
      <c r="C30" s="16"/>
      <c r="D30" s="16"/>
      <c r="E30" s="16">
        <v>0</v>
      </c>
      <c r="F30" s="16"/>
      <c r="G30" s="16">
        <f t="shared" si="3"/>
        <v>9047725.7479166593</v>
      </c>
    </row>
    <row r="31" spans="1:7" x14ac:dyDescent="0.25">
      <c r="A31" s="6" t="s">
        <v>132</v>
      </c>
      <c r="B31" s="13">
        <f>SUM(B18:B30)</f>
        <v>3276034836.507915</v>
      </c>
      <c r="C31" s="13">
        <f t="shared" ref="C31:E31" si="4">SUM(C18:C30)</f>
        <v>0</v>
      </c>
      <c r="D31" s="13">
        <f t="shared" si="4"/>
        <v>0</v>
      </c>
      <c r="E31" s="13">
        <f t="shared" ca="1" si="4"/>
        <v>32005953.107976198</v>
      </c>
      <c r="F31" s="13">
        <v>0</v>
      </c>
      <c r="G31" s="13">
        <f t="shared" ref="G31" ca="1" si="5">SUM(G18:G30)</f>
        <v>3308040789.615891</v>
      </c>
    </row>
    <row r="32" spans="1:7" x14ac:dyDescent="0.25">
      <c r="A32" s="6" t="s">
        <v>133</v>
      </c>
      <c r="B32" s="13"/>
      <c r="C32" s="13"/>
      <c r="D32" s="13"/>
      <c r="E32" s="13"/>
      <c r="F32" s="13"/>
      <c r="G32" s="13"/>
    </row>
    <row r="33" spans="1:7" x14ac:dyDescent="0.25">
      <c r="A33" s="6" t="s">
        <v>134</v>
      </c>
      <c r="B33" s="13"/>
      <c r="C33" s="13"/>
      <c r="D33" s="13"/>
      <c r="E33" s="13"/>
      <c r="F33" s="13"/>
      <c r="G33" s="13"/>
    </row>
    <row r="34" spans="1:7" x14ac:dyDescent="0.25">
      <c r="A34" s="3" t="s">
        <v>135</v>
      </c>
      <c r="B34" s="13">
        <v>1040735.10416666</v>
      </c>
      <c r="C34" s="13"/>
      <c r="D34" s="13"/>
      <c r="E34" s="13">
        <v>0</v>
      </c>
      <c r="F34" s="13"/>
      <c r="G34" s="13">
        <f t="shared" ref="G34:G46" si="6">SUM(B34:F34)</f>
        <v>1040735.10416666</v>
      </c>
    </row>
    <row r="35" spans="1:7" x14ac:dyDescent="0.25">
      <c r="A35" s="3" t="s">
        <v>136</v>
      </c>
      <c r="B35" s="13">
        <v>829789.16083333304</v>
      </c>
      <c r="C35" s="13"/>
      <c r="D35" s="13"/>
      <c r="E35" s="13">
        <v>0</v>
      </c>
      <c r="F35" s="13"/>
      <c r="G35" s="13">
        <f t="shared" si="6"/>
        <v>829789.16083333304</v>
      </c>
    </row>
    <row r="36" spans="1:7" x14ac:dyDescent="0.25">
      <c r="A36" s="3" t="s">
        <v>137</v>
      </c>
      <c r="B36" s="13">
        <v>17234197.996666599</v>
      </c>
      <c r="C36" s="13"/>
      <c r="D36" s="13"/>
      <c r="E36" s="13">
        <v>0</v>
      </c>
      <c r="F36" s="13"/>
      <c r="G36" s="13">
        <f t="shared" si="6"/>
        <v>17234197.996666599</v>
      </c>
    </row>
    <row r="37" spans="1:7" x14ac:dyDescent="0.25">
      <c r="A37" s="3" t="s">
        <v>138</v>
      </c>
      <c r="B37" s="13">
        <v>2602349.3049999899</v>
      </c>
      <c r="C37" s="13"/>
      <c r="D37" s="13"/>
      <c r="E37" s="13">
        <v>0</v>
      </c>
      <c r="F37" s="13"/>
      <c r="G37" s="13">
        <f t="shared" si="6"/>
        <v>2602349.3049999899</v>
      </c>
    </row>
    <row r="38" spans="1:7" x14ac:dyDescent="0.25">
      <c r="A38" s="3" t="s">
        <v>139</v>
      </c>
      <c r="B38" s="13">
        <v>17943911.579999998</v>
      </c>
      <c r="C38" s="13"/>
      <c r="D38" s="13"/>
      <c r="E38" s="13">
        <v>0</v>
      </c>
      <c r="F38" s="13"/>
      <c r="G38" s="13">
        <f t="shared" si="6"/>
        <v>17943911.579999998</v>
      </c>
    </row>
    <row r="39" spans="1:7" x14ac:dyDescent="0.25">
      <c r="A39" s="3" t="s">
        <v>140</v>
      </c>
      <c r="B39" s="13">
        <v>530739.25999999896</v>
      </c>
      <c r="C39" s="13"/>
      <c r="D39" s="13"/>
      <c r="E39" s="13">
        <v>0</v>
      </c>
      <c r="F39" s="13"/>
      <c r="G39" s="13">
        <f t="shared" si="6"/>
        <v>530739.25999999896</v>
      </c>
    </row>
    <row r="40" spans="1:7" x14ac:dyDescent="0.25">
      <c r="A40" s="3" t="s">
        <v>141</v>
      </c>
      <c r="B40" s="13">
        <v>2662646.77</v>
      </c>
      <c r="C40" s="13"/>
      <c r="D40" s="13"/>
      <c r="E40" s="13">
        <v>0</v>
      </c>
      <c r="F40" s="13"/>
      <c r="G40" s="13">
        <f t="shared" si="6"/>
        <v>2662646.77</v>
      </c>
    </row>
    <row r="41" spans="1:7" x14ac:dyDescent="0.25">
      <c r="A41" s="3" t="s">
        <v>142</v>
      </c>
      <c r="B41" s="13">
        <v>352158.48416666599</v>
      </c>
      <c r="C41" s="13"/>
      <c r="D41" s="13"/>
      <c r="E41" s="13">
        <v>0</v>
      </c>
      <c r="F41" s="13"/>
      <c r="G41" s="13">
        <f t="shared" si="6"/>
        <v>352158.48416666599</v>
      </c>
    </row>
    <row r="42" spans="1:7" x14ac:dyDescent="0.25">
      <c r="A42" s="3" t="s">
        <v>143</v>
      </c>
      <c r="B42" s="13">
        <v>1704569.3799999901</v>
      </c>
      <c r="C42" s="13"/>
      <c r="D42" s="13"/>
      <c r="E42" s="13">
        <v>0</v>
      </c>
      <c r="F42" s="13"/>
      <c r="G42" s="13">
        <f t="shared" si="6"/>
        <v>1704569.3799999901</v>
      </c>
    </row>
    <row r="43" spans="1:7" x14ac:dyDescent="0.25">
      <c r="A43" s="3" t="s">
        <v>144</v>
      </c>
      <c r="B43" s="13">
        <v>4155602.1199999899</v>
      </c>
      <c r="C43" s="13"/>
      <c r="D43" s="13"/>
      <c r="E43" s="13">
        <v>0</v>
      </c>
      <c r="F43" s="13"/>
      <c r="G43" s="13">
        <f t="shared" si="6"/>
        <v>4155602.1199999899</v>
      </c>
    </row>
    <row r="44" spans="1:7" x14ac:dyDescent="0.25">
      <c r="A44" s="3" t="s">
        <v>145</v>
      </c>
      <c r="B44" s="13">
        <v>3683221.39</v>
      </c>
      <c r="C44" s="13"/>
      <c r="D44" s="13"/>
      <c r="E44" s="13">
        <v>0</v>
      </c>
      <c r="F44" s="13"/>
      <c r="G44" s="13">
        <f t="shared" si="6"/>
        <v>3683221.39</v>
      </c>
    </row>
    <row r="45" spans="1:7" x14ac:dyDescent="0.25">
      <c r="A45" s="3" t="s">
        <v>146</v>
      </c>
      <c r="B45" s="13">
        <v>3984038.93</v>
      </c>
      <c r="C45" s="13"/>
      <c r="D45" s="13"/>
      <c r="E45" s="13">
        <v>0</v>
      </c>
      <c r="F45" s="13"/>
      <c r="G45" s="13">
        <f t="shared" si="6"/>
        <v>3984038.93</v>
      </c>
    </row>
    <row r="46" spans="1:7" x14ac:dyDescent="0.25">
      <c r="A46" s="3" t="s">
        <v>147</v>
      </c>
      <c r="B46" s="16">
        <v>970580.63</v>
      </c>
      <c r="C46" s="16"/>
      <c r="D46" s="16"/>
      <c r="E46" s="16">
        <v>0</v>
      </c>
      <c r="F46" s="16"/>
      <c r="G46" s="16">
        <f t="shared" si="6"/>
        <v>970580.63</v>
      </c>
    </row>
    <row r="47" spans="1:7" x14ac:dyDescent="0.25">
      <c r="A47" s="6" t="s">
        <v>148</v>
      </c>
      <c r="B47" s="13">
        <f>SUM(B34:B46)</f>
        <v>57694540.110833228</v>
      </c>
      <c r="C47" s="13">
        <f t="shared" ref="C47:E47" si="7">SUM(C34:C46)</f>
        <v>0</v>
      </c>
      <c r="D47" s="13">
        <f t="shared" si="7"/>
        <v>0</v>
      </c>
      <c r="E47" s="13">
        <f t="shared" si="7"/>
        <v>0</v>
      </c>
      <c r="F47" s="13">
        <v>0</v>
      </c>
      <c r="G47" s="13">
        <f t="shared" ref="G47" si="8">SUM(G34:G46)</f>
        <v>57694540.110833228</v>
      </c>
    </row>
    <row r="48" spans="1:7" x14ac:dyDescent="0.25">
      <c r="A48" s="6" t="s">
        <v>149</v>
      </c>
      <c r="B48" s="13"/>
      <c r="C48" s="13"/>
      <c r="D48" s="13"/>
      <c r="E48" s="13"/>
      <c r="F48" s="13"/>
      <c r="G48" s="13"/>
    </row>
    <row r="49" spans="1:7" x14ac:dyDescent="0.25">
      <c r="A49" s="6" t="s">
        <v>150</v>
      </c>
      <c r="B49" s="13"/>
      <c r="C49" s="13"/>
      <c r="D49" s="13"/>
      <c r="E49" s="13"/>
      <c r="F49" s="13"/>
      <c r="G49" s="13"/>
    </row>
    <row r="50" spans="1:7" x14ac:dyDescent="0.25">
      <c r="A50" s="3" t="s">
        <v>151</v>
      </c>
      <c r="B50" s="13">
        <v>8688631.3923728298</v>
      </c>
      <c r="C50" s="13"/>
      <c r="D50" s="13">
        <f ca="1">'[2]RB&amp;IS by FERC'!M9</f>
        <v>5418343.8635499999</v>
      </c>
      <c r="E50" s="13">
        <v>0</v>
      </c>
      <c r="F50" s="13"/>
      <c r="G50" s="13">
        <f t="shared" ref="G50:G61" ca="1" si="9">SUM(B50:F50)</f>
        <v>14106975.25592283</v>
      </c>
    </row>
    <row r="51" spans="1:7" x14ac:dyDescent="0.25">
      <c r="A51" s="3" t="s">
        <v>152</v>
      </c>
      <c r="B51" s="13">
        <f ca="1">42676514.5071873-B52</f>
        <v>41554542.157937303</v>
      </c>
      <c r="C51" s="13"/>
      <c r="D51" s="13">
        <f ca="1">'[2]RB&amp;IS by FERC'!M10</f>
        <v>3393914.7094249995</v>
      </c>
      <c r="E51" s="13">
        <v>0</v>
      </c>
      <c r="F51" s="13"/>
      <c r="G51" s="13">
        <f t="shared" ca="1" si="9"/>
        <v>44948456.867362306</v>
      </c>
    </row>
    <row r="52" spans="1:7" x14ac:dyDescent="0.25">
      <c r="A52" s="15" t="s">
        <v>261</v>
      </c>
      <c r="B52" s="13">
        <f ca="1">'[2]RB&amp;IS by FERC'!$K$11</f>
        <v>1121972.34925</v>
      </c>
      <c r="C52" s="13"/>
      <c r="D52" s="13">
        <f ca="1">'[2]RB&amp;IS by FERC'!M11</f>
        <v>-1121972.34925</v>
      </c>
      <c r="E52" s="13"/>
      <c r="F52" s="13"/>
      <c r="G52" s="13">
        <f t="shared" ca="1" si="9"/>
        <v>0</v>
      </c>
    </row>
    <row r="53" spans="1:7" x14ac:dyDescent="0.25">
      <c r="A53" s="3" t="s">
        <v>153</v>
      </c>
      <c r="B53" s="13">
        <v>32262112.234903101</v>
      </c>
      <c r="C53" s="13"/>
      <c r="D53" s="13"/>
      <c r="E53" s="13">
        <v>0</v>
      </c>
      <c r="F53" s="13"/>
      <c r="G53" s="13">
        <f t="shared" si="9"/>
        <v>32262112.234903101</v>
      </c>
    </row>
    <row r="54" spans="1:7" x14ac:dyDescent="0.25">
      <c r="A54" s="3" t="s">
        <v>154</v>
      </c>
      <c r="B54" s="13">
        <v>8449011.9458331596</v>
      </c>
      <c r="C54" s="13"/>
      <c r="D54" s="13"/>
      <c r="E54" s="13">
        <v>0</v>
      </c>
      <c r="F54" s="13"/>
      <c r="G54" s="13">
        <f t="shared" si="9"/>
        <v>8449011.9458331596</v>
      </c>
    </row>
    <row r="55" spans="1:7" x14ac:dyDescent="0.25">
      <c r="A55" s="3" t="s">
        <v>155</v>
      </c>
      <c r="B55" s="13">
        <v>80531.527713999996</v>
      </c>
      <c r="C55" s="13"/>
      <c r="D55" s="13"/>
      <c r="E55" s="13">
        <v>0</v>
      </c>
      <c r="F55" s="13"/>
      <c r="G55" s="13">
        <f t="shared" si="9"/>
        <v>80531.527713999996</v>
      </c>
    </row>
    <row r="56" spans="1:7" x14ac:dyDescent="0.25">
      <c r="A56" s="3" t="s">
        <v>156</v>
      </c>
      <c r="B56" s="13">
        <v>11579358.719241099</v>
      </c>
      <c r="C56" s="13"/>
      <c r="D56" s="13"/>
      <c r="E56" s="13">
        <v>0</v>
      </c>
      <c r="F56" s="13"/>
      <c r="G56" s="13">
        <f t="shared" si="9"/>
        <v>11579358.719241099</v>
      </c>
    </row>
    <row r="57" spans="1:7" x14ac:dyDescent="0.25">
      <c r="A57" s="3" t="s">
        <v>157</v>
      </c>
      <c r="B57" s="13">
        <v>2789001.6108333301</v>
      </c>
      <c r="C57" s="13"/>
      <c r="D57" s="13"/>
      <c r="E57" s="13">
        <v>0</v>
      </c>
      <c r="F57" s="13"/>
      <c r="G57" s="13">
        <f t="shared" si="9"/>
        <v>2789001.6108333301</v>
      </c>
    </row>
    <row r="58" spans="1:7" x14ac:dyDescent="0.25">
      <c r="A58" s="3" t="s">
        <v>158</v>
      </c>
      <c r="B58" s="13">
        <v>616698.11644066602</v>
      </c>
      <c r="C58" s="13"/>
      <c r="D58" s="13"/>
      <c r="E58" s="13">
        <v>0</v>
      </c>
      <c r="F58" s="13"/>
      <c r="G58" s="13">
        <f t="shared" si="9"/>
        <v>616698.11644066602</v>
      </c>
    </row>
    <row r="59" spans="1:7" x14ac:dyDescent="0.25">
      <c r="A59" s="3" t="s">
        <v>159</v>
      </c>
      <c r="B59" s="13">
        <v>32257017.5383096</v>
      </c>
      <c r="C59" s="13"/>
      <c r="D59" s="13"/>
      <c r="E59" s="13">
        <v>0</v>
      </c>
      <c r="F59" s="13"/>
      <c r="G59" s="13">
        <f t="shared" si="9"/>
        <v>32257017.5383096</v>
      </c>
    </row>
    <row r="60" spans="1:7" x14ac:dyDescent="0.25">
      <c r="A60" s="3" t="s">
        <v>160</v>
      </c>
      <c r="B60" s="13">
        <v>558679.32304175</v>
      </c>
      <c r="C60" s="13"/>
      <c r="D60" s="13"/>
      <c r="E60" s="13">
        <v>0</v>
      </c>
      <c r="F60" s="13"/>
      <c r="G60" s="13">
        <f t="shared" si="9"/>
        <v>558679.32304175</v>
      </c>
    </row>
    <row r="61" spans="1:7" x14ac:dyDescent="0.25">
      <c r="A61" s="3" t="s">
        <v>161</v>
      </c>
      <c r="B61" s="16">
        <v>256330.81979400001</v>
      </c>
      <c r="C61" s="16"/>
      <c r="D61" s="16"/>
      <c r="E61" s="16">
        <v>0</v>
      </c>
      <c r="F61" s="16"/>
      <c r="G61" s="16">
        <f t="shared" si="9"/>
        <v>256330.81979400001</v>
      </c>
    </row>
    <row r="62" spans="1:7" x14ac:dyDescent="0.25">
      <c r="A62" s="6" t="s">
        <v>162</v>
      </c>
      <c r="B62" s="13">
        <f ca="1">SUM(B50:B61)</f>
        <v>140213887.73567083</v>
      </c>
      <c r="C62" s="13">
        <f t="shared" ref="C62:E62" si="10">SUM(C50:C61)</f>
        <v>0</v>
      </c>
      <c r="D62" s="13">
        <f t="shared" ca="1" si="10"/>
        <v>7690286.2237249985</v>
      </c>
      <c r="E62" s="13">
        <f t="shared" si="10"/>
        <v>0</v>
      </c>
      <c r="F62" s="13">
        <v>0</v>
      </c>
      <c r="G62" s="13">
        <f t="shared" ref="G62" ca="1" si="11">SUM(G50:G61)</f>
        <v>147904173.95939583</v>
      </c>
    </row>
    <row r="63" spans="1:7" x14ac:dyDescent="0.25">
      <c r="A63" s="3" t="s">
        <v>163</v>
      </c>
      <c r="B63" s="13"/>
      <c r="C63" s="13"/>
      <c r="D63" s="13"/>
      <c r="E63" s="13"/>
      <c r="F63" s="13"/>
      <c r="G63" s="13"/>
    </row>
    <row r="64" spans="1:7" x14ac:dyDescent="0.25">
      <c r="A64" s="6" t="s">
        <v>164</v>
      </c>
      <c r="B64" s="13"/>
      <c r="C64" s="13"/>
      <c r="D64" s="13"/>
      <c r="E64" s="13"/>
      <c r="F64" s="13"/>
      <c r="G64" s="13"/>
    </row>
    <row r="65" spans="1:9" x14ac:dyDescent="0.25">
      <c r="A65" s="3" t="s">
        <v>165</v>
      </c>
      <c r="B65" s="13">
        <v>158691.96</v>
      </c>
      <c r="C65" s="13"/>
      <c r="D65" s="13"/>
      <c r="E65" s="13">
        <v>0</v>
      </c>
      <c r="F65" s="13"/>
      <c r="G65" s="13">
        <f>SUM(B65:F65)</f>
        <v>158691.96</v>
      </c>
    </row>
    <row r="66" spans="1:9" x14ac:dyDescent="0.25">
      <c r="A66" s="3" t="s">
        <v>166</v>
      </c>
      <c r="B66" s="13">
        <v>391855.456006333</v>
      </c>
      <c r="C66" s="13"/>
      <c r="D66" s="13"/>
      <c r="E66" s="13">
        <v>0</v>
      </c>
      <c r="F66" s="13"/>
      <c r="G66" s="13">
        <f>SUM(B66:F66)</f>
        <v>391855.456006333</v>
      </c>
    </row>
    <row r="67" spans="1:9" x14ac:dyDescent="0.25">
      <c r="A67" s="3" t="s">
        <v>167</v>
      </c>
      <c r="B67" s="16">
        <v>67284595.950986207</v>
      </c>
      <c r="C67" s="16"/>
      <c r="D67" s="16"/>
      <c r="E67" s="16">
        <v>0</v>
      </c>
      <c r="F67" s="16"/>
      <c r="G67" s="16">
        <f>SUM(B67:F67)</f>
        <v>67284595.950986207</v>
      </c>
    </row>
    <row r="68" spans="1:9" x14ac:dyDescent="0.25">
      <c r="A68" s="6" t="s">
        <v>168</v>
      </c>
      <c r="B68" s="13">
        <f>SUM(B65:B67)</f>
        <v>67835143.366992533</v>
      </c>
      <c r="C68" s="13">
        <f t="shared" ref="C68:E68" si="12">SUM(C65:C67)</f>
        <v>0</v>
      </c>
      <c r="D68" s="13">
        <f t="shared" si="12"/>
        <v>0</v>
      </c>
      <c r="E68" s="13">
        <f t="shared" si="12"/>
        <v>0</v>
      </c>
      <c r="F68" s="13">
        <v>0</v>
      </c>
      <c r="G68" s="13">
        <f t="shared" ref="G68" si="13">SUM(G65:G67)</f>
        <v>67835143.366992533</v>
      </c>
    </row>
    <row r="69" spans="1:9" x14ac:dyDescent="0.25">
      <c r="A69" s="6" t="s">
        <v>104</v>
      </c>
      <c r="B69" s="13"/>
      <c r="C69" s="13"/>
      <c r="D69" s="13"/>
      <c r="E69" s="13"/>
      <c r="F69" s="13"/>
      <c r="G69" s="13"/>
    </row>
    <row r="70" spans="1:9" ht="13.8" thickBot="1" x14ac:dyDescent="0.3">
      <c r="A70" s="6" t="s">
        <v>103</v>
      </c>
      <c r="B70" s="17">
        <f ca="1">B13+B31+B47+B62+B68</f>
        <v>3548515490.7214117</v>
      </c>
      <c r="C70" s="17">
        <f t="shared" ref="C70:E70" si="14">C13+C31+C47+C62+C68</f>
        <v>0</v>
      </c>
      <c r="D70" s="17">
        <f t="shared" ca="1" si="14"/>
        <v>7690286.2237249985</v>
      </c>
      <c r="E70" s="17">
        <f t="shared" ca="1" si="14"/>
        <v>32005953.107976198</v>
      </c>
      <c r="F70" s="17">
        <v>0</v>
      </c>
      <c r="G70" s="17">
        <f t="shared" ref="G70" ca="1" si="15">G13+G31+G47+G62+G68</f>
        <v>3588211730.0531125</v>
      </c>
    </row>
    <row r="71" spans="1:9" ht="13.8" thickTop="1" x14ac:dyDescent="0.25">
      <c r="A71" s="6" t="s">
        <v>226</v>
      </c>
      <c r="B71" s="18"/>
      <c r="C71" s="18"/>
      <c r="D71" s="18"/>
      <c r="E71" s="18"/>
      <c r="F71" s="18"/>
      <c r="G71" s="18"/>
    </row>
    <row r="72" spans="1:9" x14ac:dyDescent="0.25">
      <c r="A72" s="8" t="s">
        <v>227</v>
      </c>
      <c r="B72" s="18">
        <v>15934.55</v>
      </c>
      <c r="C72" s="18"/>
      <c r="D72" s="18"/>
      <c r="E72" s="13">
        <v>0</v>
      </c>
      <c r="F72" s="13"/>
      <c r="G72" s="13">
        <f t="shared" ref="G72:G83" si="16">SUM(B72:F72)</f>
        <v>15934.55</v>
      </c>
    </row>
    <row r="73" spans="1:9" x14ac:dyDescent="0.25">
      <c r="A73" s="8" t="s">
        <v>236</v>
      </c>
      <c r="B73" s="27">
        <v>8654564</v>
      </c>
      <c r="C73" s="18"/>
      <c r="D73" s="18"/>
      <c r="E73" s="13">
        <v>0</v>
      </c>
      <c r="F73" s="13"/>
      <c r="G73" s="13">
        <f t="shared" si="16"/>
        <v>8654564</v>
      </c>
    </row>
    <row r="74" spans="1:9" x14ac:dyDescent="0.25">
      <c r="A74" s="8" t="s">
        <v>240</v>
      </c>
      <c r="B74" s="18">
        <v>-8781927</v>
      </c>
      <c r="C74" s="18"/>
      <c r="D74" s="18"/>
      <c r="E74" s="13">
        <v>0</v>
      </c>
      <c r="F74" s="13"/>
      <c r="G74" s="13">
        <f t="shared" si="16"/>
        <v>-8781927</v>
      </c>
    </row>
    <row r="75" spans="1:9" x14ac:dyDescent="0.25">
      <c r="A75" s="8" t="s">
        <v>241</v>
      </c>
      <c r="B75" s="18">
        <f>5180.48*I76</f>
        <v>1700.2335359999997</v>
      </c>
      <c r="C75" s="18"/>
      <c r="D75" s="18"/>
      <c r="E75" s="13">
        <v>0</v>
      </c>
      <c r="F75" s="13"/>
      <c r="G75" s="13">
        <f t="shared" si="16"/>
        <v>1700.2335359999997</v>
      </c>
      <c r="H75" s="2" t="s">
        <v>250</v>
      </c>
      <c r="I75" s="11">
        <v>0.67179999999999995</v>
      </c>
    </row>
    <row r="76" spans="1:9" x14ac:dyDescent="0.25">
      <c r="A76" s="10" t="s">
        <v>242</v>
      </c>
      <c r="B76" s="19">
        <f>-804979.226666667*I76</f>
        <v>-264194.18219200009</v>
      </c>
      <c r="C76" s="13"/>
      <c r="D76" s="18"/>
      <c r="E76" s="13">
        <v>0</v>
      </c>
      <c r="F76" s="13"/>
      <c r="G76" s="13">
        <f t="shared" si="16"/>
        <v>-264194.18219200009</v>
      </c>
      <c r="H76" s="2" t="s">
        <v>251</v>
      </c>
      <c r="I76" s="11">
        <v>0.32819999999999999</v>
      </c>
    </row>
    <row r="77" spans="1:9" x14ac:dyDescent="0.25">
      <c r="A77" s="10" t="s">
        <v>243</v>
      </c>
      <c r="B77" s="19">
        <f>-5760871.01583333*I76</f>
        <v>-1890717.867396499</v>
      </c>
      <c r="C77" s="13"/>
      <c r="D77" s="18"/>
      <c r="E77" s="13">
        <v>0</v>
      </c>
      <c r="F77" s="13"/>
      <c r="G77" s="13">
        <f t="shared" si="16"/>
        <v>-1890717.867396499</v>
      </c>
    </row>
    <row r="78" spans="1:9" x14ac:dyDescent="0.25">
      <c r="A78" s="10" t="s">
        <v>244</v>
      </c>
      <c r="B78" s="19">
        <f>-1516832.22*I76</f>
        <v>-497824.33460399997</v>
      </c>
      <c r="C78" s="13"/>
      <c r="D78" s="18"/>
      <c r="E78" s="13">
        <v>0</v>
      </c>
      <c r="F78" s="13"/>
      <c r="G78" s="13">
        <f t="shared" si="16"/>
        <v>-497824.33460399997</v>
      </c>
    </row>
    <row r="79" spans="1:9" x14ac:dyDescent="0.25">
      <c r="A79" s="10" t="s">
        <v>245</v>
      </c>
      <c r="B79" s="19">
        <f>-567394.7*I76</f>
        <v>-186218.94053999998</v>
      </c>
      <c r="C79" s="13"/>
      <c r="D79" s="18"/>
      <c r="E79" s="13">
        <v>0</v>
      </c>
      <c r="F79" s="13"/>
      <c r="G79" s="13">
        <f t="shared" si="16"/>
        <v>-186218.94053999998</v>
      </c>
    </row>
    <row r="80" spans="1:9" x14ac:dyDescent="0.25">
      <c r="A80" s="10" t="s">
        <v>246</v>
      </c>
      <c r="B80" s="19">
        <f>-723113.28*I76</f>
        <v>-237325.77849600001</v>
      </c>
      <c r="C80" s="13"/>
      <c r="D80" s="18"/>
      <c r="E80" s="13">
        <v>0</v>
      </c>
      <c r="F80" s="13"/>
      <c r="G80" s="13">
        <f t="shared" si="16"/>
        <v>-237325.77849600001</v>
      </c>
    </row>
    <row r="81" spans="1:7" x14ac:dyDescent="0.25">
      <c r="A81" s="10" t="s">
        <v>247</v>
      </c>
      <c r="B81" s="19">
        <f>-73696.88*I76</f>
        <v>-24187.316016000001</v>
      </c>
      <c r="C81" s="13"/>
      <c r="D81" s="18"/>
      <c r="E81" s="13">
        <v>0</v>
      </c>
      <c r="F81" s="13"/>
      <c r="G81" s="13">
        <f t="shared" si="16"/>
        <v>-24187.316016000001</v>
      </c>
    </row>
    <row r="82" spans="1:7" x14ac:dyDescent="0.25">
      <c r="A82" s="10" t="s">
        <v>248</v>
      </c>
      <c r="B82" s="19">
        <f>-153717*I76</f>
        <v>-50449.919399999999</v>
      </c>
      <c r="C82" s="13"/>
      <c r="D82" s="18"/>
      <c r="E82" s="13">
        <v>0</v>
      </c>
      <c r="F82" s="13"/>
      <c r="G82" s="13">
        <f t="shared" si="16"/>
        <v>-50449.919399999999</v>
      </c>
    </row>
    <row r="83" spans="1:7" x14ac:dyDescent="0.25">
      <c r="A83" s="10" t="s">
        <v>249</v>
      </c>
      <c r="B83" s="20">
        <f>-675825*I76</f>
        <v>-221805.76499999998</v>
      </c>
      <c r="C83" s="16"/>
      <c r="D83" s="16"/>
      <c r="E83" s="16">
        <v>0</v>
      </c>
      <c r="F83" s="16"/>
      <c r="G83" s="16">
        <f t="shared" si="16"/>
        <v>-221805.76499999998</v>
      </c>
    </row>
    <row r="84" spans="1:7" x14ac:dyDescent="0.25">
      <c r="A84" s="8"/>
      <c r="B84" s="18"/>
      <c r="C84" s="18"/>
      <c r="D84" s="18"/>
      <c r="E84" s="13"/>
      <c r="F84" s="13"/>
      <c r="G84" s="13"/>
    </row>
    <row r="85" spans="1:7" x14ac:dyDescent="0.25">
      <c r="A85" s="6" t="s">
        <v>237</v>
      </c>
      <c r="B85" s="18">
        <f t="shared" ref="B85:G85" si="17">SUM(B72:B84)</f>
        <v>-3482452.3201084984</v>
      </c>
      <c r="C85" s="18">
        <f t="shared" si="17"/>
        <v>0</v>
      </c>
      <c r="D85" s="18">
        <f t="shared" si="17"/>
        <v>0</v>
      </c>
      <c r="E85" s="18">
        <f t="shared" si="17"/>
        <v>0</v>
      </c>
      <c r="F85" s="18">
        <v>0</v>
      </c>
      <c r="G85" s="18">
        <f t="shared" si="17"/>
        <v>-3482452.3201084984</v>
      </c>
    </row>
    <row r="86" spans="1:7" x14ac:dyDescent="0.25">
      <c r="A86" s="6"/>
      <c r="B86" s="18"/>
      <c r="C86" s="18"/>
      <c r="D86" s="18"/>
      <c r="E86" s="18"/>
      <c r="F86" s="18"/>
      <c r="G86" s="18"/>
    </row>
    <row r="87" spans="1:7" ht="13.8" thickBot="1" x14ac:dyDescent="0.3">
      <c r="A87" s="6" t="s">
        <v>238</v>
      </c>
      <c r="B87" s="17">
        <f t="shared" ref="B87:G87" ca="1" si="18">B70+B85</f>
        <v>3545033038.4013033</v>
      </c>
      <c r="C87" s="17">
        <f t="shared" si="18"/>
        <v>0</v>
      </c>
      <c r="D87" s="17">
        <f t="shared" ca="1" si="18"/>
        <v>7690286.2237249985</v>
      </c>
      <c r="E87" s="17">
        <f t="shared" ca="1" si="18"/>
        <v>32005953.107976198</v>
      </c>
      <c r="F87" s="17">
        <v>0</v>
      </c>
      <c r="G87" s="17">
        <f t="shared" ca="1" si="18"/>
        <v>3584729277.7330041</v>
      </c>
    </row>
    <row r="88" spans="1:7" ht="13.8" thickTop="1" x14ac:dyDescent="0.25">
      <c r="A88" s="6"/>
      <c r="B88" s="18"/>
      <c r="C88" s="18"/>
      <c r="D88" s="18"/>
      <c r="E88" s="18"/>
      <c r="F88" s="18"/>
      <c r="G88" s="18"/>
    </row>
    <row r="89" spans="1:7" x14ac:dyDescent="0.25">
      <c r="A89" s="6"/>
      <c r="B89" s="18"/>
      <c r="C89" s="18"/>
      <c r="D89" s="18"/>
      <c r="E89" s="18"/>
      <c r="F89" s="18"/>
      <c r="G89" s="18"/>
    </row>
    <row r="90" spans="1:7" x14ac:dyDescent="0.25">
      <c r="A90" s="3" t="s">
        <v>102</v>
      </c>
      <c r="B90" s="13"/>
      <c r="C90" s="13"/>
      <c r="D90" s="13"/>
      <c r="E90" s="13"/>
      <c r="F90" s="13"/>
      <c r="G90" s="13"/>
    </row>
    <row r="91" spans="1:7" x14ac:dyDescent="0.25">
      <c r="A91" s="6" t="s">
        <v>101</v>
      </c>
      <c r="B91" s="13"/>
      <c r="C91" s="13"/>
      <c r="D91" s="13"/>
      <c r="E91" s="13"/>
      <c r="F91" s="13"/>
      <c r="G91" s="13"/>
    </row>
    <row r="92" spans="1:7" x14ac:dyDescent="0.25">
      <c r="A92" s="6" t="s">
        <v>169</v>
      </c>
      <c r="B92" s="13"/>
      <c r="C92" s="13"/>
      <c r="D92" s="13"/>
      <c r="E92" s="13"/>
      <c r="F92" s="13"/>
      <c r="G92" s="13"/>
    </row>
    <row r="93" spans="1:7" x14ac:dyDescent="0.25">
      <c r="A93" s="3" t="s">
        <v>170</v>
      </c>
      <c r="B93" s="13">
        <v>-487532.2</v>
      </c>
      <c r="C93" s="28">
        <f ca="1">'[3]RB&amp;ISbyFERC'!H5</f>
        <v>555.83311702471519</v>
      </c>
      <c r="D93" s="28"/>
      <c r="E93" s="28">
        <v>0</v>
      </c>
      <c r="F93" s="28"/>
      <c r="G93" s="13">
        <f ca="1">SUM(B93:F93)</f>
        <v>-486976.36688297527</v>
      </c>
    </row>
    <row r="94" spans="1:7" x14ac:dyDescent="0.25">
      <c r="A94" s="3" t="s">
        <v>171</v>
      </c>
      <c r="B94" s="13">
        <v>-5721545.2599999998</v>
      </c>
      <c r="C94" s="28">
        <f ca="1">'[3]RB&amp;ISbyFERC'!H6</f>
        <v>11403.339783885745</v>
      </c>
      <c r="D94" s="28"/>
      <c r="E94" s="28">
        <v>0</v>
      </c>
      <c r="F94" s="28"/>
      <c r="G94" s="13">
        <f ca="1">SUM(B94:F94)</f>
        <v>-5710141.9202161143</v>
      </c>
    </row>
    <row r="95" spans="1:7" x14ac:dyDescent="0.25">
      <c r="A95" s="3" t="s">
        <v>172</v>
      </c>
      <c r="B95" s="16">
        <v>-769.30999999999904</v>
      </c>
      <c r="C95" s="29">
        <f ca="1">'[3]RB&amp;ISbyFERC'!H7</f>
        <v>-117.98695702345823</v>
      </c>
      <c r="D95" s="29"/>
      <c r="E95" s="29">
        <v>0</v>
      </c>
      <c r="F95" s="29"/>
      <c r="G95" s="16">
        <f ca="1">SUM(B95:F95)</f>
        <v>-887.29695702345725</v>
      </c>
    </row>
    <row r="96" spans="1:7" x14ac:dyDescent="0.25">
      <c r="A96" s="6" t="s">
        <v>173</v>
      </c>
      <c r="B96" s="13">
        <f>SUM(B93:B95)</f>
        <v>-6209846.7699999996</v>
      </c>
      <c r="C96" s="28">
        <f t="shared" ref="C96:E96" ca="1" si="19">SUM(C93:C95)</f>
        <v>11841.185943887001</v>
      </c>
      <c r="D96" s="28">
        <f t="shared" si="19"/>
        <v>0</v>
      </c>
      <c r="E96" s="28">
        <f t="shared" si="19"/>
        <v>0</v>
      </c>
      <c r="F96" s="28">
        <v>0</v>
      </c>
      <c r="G96" s="13">
        <f t="shared" ref="G96" ca="1" si="20">SUM(G93:G95)</f>
        <v>-6198005.5840561129</v>
      </c>
    </row>
    <row r="97" spans="1:7" x14ac:dyDescent="0.25">
      <c r="A97" s="6" t="s">
        <v>174</v>
      </c>
      <c r="B97" s="13"/>
      <c r="C97" s="28"/>
      <c r="D97" s="28"/>
      <c r="E97" s="28"/>
      <c r="F97" s="28"/>
      <c r="G97" s="13"/>
    </row>
    <row r="98" spans="1:7" x14ac:dyDescent="0.25">
      <c r="A98" s="6" t="s">
        <v>175</v>
      </c>
      <c r="B98" s="13"/>
      <c r="C98" s="28"/>
      <c r="D98" s="28"/>
      <c r="E98" s="28"/>
      <c r="F98" s="28"/>
      <c r="G98" s="13"/>
    </row>
    <row r="99" spans="1:7" x14ac:dyDescent="0.25">
      <c r="A99" s="6" t="s">
        <v>176</v>
      </c>
      <c r="B99" s="13"/>
      <c r="C99" s="28"/>
      <c r="D99" s="28"/>
      <c r="E99" s="28"/>
      <c r="F99" s="28"/>
      <c r="G99" s="13"/>
    </row>
    <row r="100" spans="1:7" x14ac:dyDescent="0.25">
      <c r="A100" s="6" t="s">
        <v>177</v>
      </c>
      <c r="B100" s="13"/>
      <c r="C100" s="28"/>
      <c r="D100" s="28"/>
      <c r="E100" s="28"/>
      <c r="F100" s="28"/>
      <c r="G100" s="13"/>
    </row>
    <row r="101" spans="1:7" x14ac:dyDescent="0.25">
      <c r="A101" s="3" t="s">
        <v>178</v>
      </c>
      <c r="B101" s="13">
        <v>-1756488.94583333</v>
      </c>
      <c r="C101" s="28">
        <f ca="1">'[3]RB&amp;ISbyFERC'!$H$25+'[3]RB&amp;ISbyFERC'!$H$26</f>
        <v>24787.466040326115</v>
      </c>
      <c r="D101" s="28"/>
      <c r="E101" s="28">
        <v>0</v>
      </c>
      <c r="F101" s="28"/>
      <c r="G101" s="13">
        <f t="shared" ref="G101:G113" ca="1" si="21">SUM(B101:F101)</f>
        <v>-1731701.479793004</v>
      </c>
    </row>
    <row r="102" spans="1:7" x14ac:dyDescent="0.25">
      <c r="A102" s="3" t="s">
        <v>179</v>
      </c>
      <c r="B102" s="13">
        <v>-4582698.7533333302</v>
      </c>
      <c r="C102" s="28">
        <f ca="1">'[3]RB&amp;ISbyFERC'!$H$27</f>
        <v>-48387.690411879972</v>
      </c>
      <c r="D102" s="28"/>
      <c r="E102" s="28">
        <v>0</v>
      </c>
      <c r="F102" s="28"/>
      <c r="G102" s="13">
        <f t="shared" ca="1" si="21"/>
        <v>-4631086.4437452098</v>
      </c>
    </row>
    <row r="103" spans="1:7" x14ac:dyDescent="0.25">
      <c r="A103" s="3" t="s">
        <v>180</v>
      </c>
      <c r="B103" s="13">
        <v>-610663794.34458303</v>
      </c>
      <c r="C103" s="28">
        <f ca="1">SUM('[3]RB&amp;ISbyFERC'!$H$28:$H$30)</f>
        <v>4547138.2078293012</v>
      </c>
      <c r="D103" s="28"/>
      <c r="E103" s="28">
        <f ca="1">('[1]Lead G'!$H$33+'[1]Lead G'!$H$34)*0.9</f>
        <v>-6613298.9846277228</v>
      </c>
      <c r="F103" s="28"/>
      <c r="G103" s="13">
        <f t="shared" ca="1" si="21"/>
        <v>-612729955.1213814</v>
      </c>
    </row>
    <row r="104" spans="1:7" x14ac:dyDescent="0.25">
      <c r="A104" s="3" t="s">
        <v>181</v>
      </c>
      <c r="B104" s="13">
        <v>-34280805.354999997</v>
      </c>
      <c r="C104" s="28">
        <f ca="1">'[3]RB&amp;ISbyFERC'!$H$31</f>
        <v>24192.085676404648</v>
      </c>
      <c r="D104" s="28"/>
      <c r="E104" s="28">
        <v>0</v>
      </c>
      <c r="F104" s="28"/>
      <c r="G104" s="13">
        <f t="shared" ca="1" si="21"/>
        <v>-34256613.269323595</v>
      </c>
    </row>
    <row r="105" spans="1:7" x14ac:dyDescent="0.25">
      <c r="A105" s="3" t="s">
        <v>182</v>
      </c>
      <c r="B105" s="13">
        <v>-482003386.86374998</v>
      </c>
      <c r="C105" s="28">
        <f ca="1">SUM('[3]RB&amp;ISbyFERC'!$H$32:$H$34)</f>
        <v>6502340.6134081492</v>
      </c>
      <c r="D105" s="28"/>
      <c r="E105" s="28">
        <f ca="1">('[1]Lead G'!$H$33+'[1]Lead G'!$H$34)*0.1</f>
        <v>-734810.9982919693</v>
      </c>
      <c r="F105" s="28"/>
      <c r="G105" s="13">
        <f t="shared" ca="1" si="21"/>
        <v>-476235857.2486338</v>
      </c>
    </row>
    <row r="106" spans="1:7" x14ac:dyDescent="0.25">
      <c r="A106" s="3" t="s">
        <v>183</v>
      </c>
      <c r="B106" s="13">
        <v>-20092534.860833298</v>
      </c>
      <c r="C106" s="28">
        <f ca="1">'[3]RB&amp;ISbyFERC'!H35</f>
        <v>-500584.56142926484</v>
      </c>
      <c r="D106" s="28"/>
      <c r="E106" s="28">
        <v>0</v>
      </c>
      <c r="F106" s="28"/>
      <c r="G106" s="13">
        <f t="shared" ca="1" si="21"/>
        <v>-20593119.422262564</v>
      </c>
    </row>
    <row r="107" spans="1:7" x14ac:dyDescent="0.25">
      <c r="A107" s="3" t="s">
        <v>184</v>
      </c>
      <c r="B107" s="13">
        <v>-44063662.426666602</v>
      </c>
      <c r="C107" s="28">
        <f ca="1">'[3]RB&amp;ISbyFERC'!H36</f>
        <v>115754.46590498486</v>
      </c>
      <c r="D107" s="28"/>
      <c r="E107" s="28">
        <v>0</v>
      </c>
      <c r="F107" s="28"/>
      <c r="G107" s="13">
        <f t="shared" ca="1" si="21"/>
        <v>-43947907.960761614</v>
      </c>
    </row>
    <row r="108" spans="1:7" x14ac:dyDescent="0.25">
      <c r="A108" s="3" t="s">
        <v>185</v>
      </c>
      <c r="B108" s="13">
        <v>-7454076.5020833304</v>
      </c>
      <c r="C108" s="28">
        <f ca="1">'[3]RB&amp;ISbyFERC'!H37</f>
        <v>79555.251091638202</v>
      </c>
      <c r="D108" s="28"/>
      <c r="E108" s="28">
        <v>0</v>
      </c>
      <c r="F108" s="28"/>
      <c r="G108" s="13">
        <f t="shared" ca="1" si="21"/>
        <v>-7374521.2509916918</v>
      </c>
    </row>
    <row r="109" spans="1:7" x14ac:dyDescent="0.25">
      <c r="A109" s="3" t="s">
        <v>186</v>
      </c>
      <c r="B109" s="13">
        <v>-24618541.702500001</v>
      </c>
      <c r="C109" s="28">
        <f ca="1">'[3]RB&amp;ISbyFERC'!H38</f>
        <v>268874.38720055472</v>
      </c>
      <c r="D109" s="28"/>
      <c r="E109" s="28">
        <v>0</v>
      </c>
      <c r="F109" s="28"/>
      <c r="G109" s="13">
        <f t="shared" ca="1" si="21"/>
        <v>-24349667.315299448</v>
      </c>
    </row>
    <row r="110" spans="1:7" x14ac:dyDescent="0.25">
      <c r="A110" s="3" t="s">
        <v>187</v>
      </c>
      <c r="B110" s="13">
        <v>3624052.79166666</v>
      </c>
      <c r="C110" s="28">
        <f ca="1">'[3]RB&amp;ISbyFERC'!H39</f>
        <v>-548526.17634609865</v>
      </c>
      <c r="D110" s="28"/>
      <c r="E110" s="28">
        <v>0</v>
      </c>
      <c r="F110" s="28"/>
      <c r="G110" s="13">
        <f t="shared" ca="1" si="21"/>
        <v>3075526.6153205615</v>
      </c>
    </row>
    <row r="111" spans="1:7" x14ac:dyDescent="0.25">
      <c r="A111" s="3" t="s">
        <v>188</v>
      </c>
      <c r="B111" s="13">
        <v>-23096807.317499999</v>
      </c>
      <c r="C111" s="28">
        <f ca="1">'[3]RB&amp;ISbyFERC'!H40</f>
        <v>-532192.12331509916</v>
      </c>
      <c r="D111" s="28"/>
      <c r="E111" s="28">
        <v>0</v>
      </c>
      <c r="F111" s="28"/>
      <c r="G111" s="13">
        <f t="shared" ca="1" si="21"/>
        <v>-23628999.440815099</v>
      </c>
    </row>
    <row r="112" spans="1:7" x14ac:dyDescent="0.25">
      <c r="A112" s="3" t="s">
        <v>189</v>
      </c>
      <c r="B112" s="13">
        <v>-185205.07666666599</v>
      </c>
      <c r="C112" s="28">
        <f ca="1">'[3]RB&amp;ISbyFERC'!H41</f>
        <v>-275274.83015462558</v>
      </c>
      <c r="D112" s="28"/>
      <c r="E112" s="28">
        <v>0</v>
      </c>
      <c r="F112" s="28"/>
      <c r="G112" s="13">
        <f t="shared" ca="1" si="21"/>
        <v>-460479.90682129154</v>
      </c>
    </row>
    <row r="113" spans="1:7" x14ac:dyDescent="0.25">
      <c r="A113" s="3" t="s">
        <v>190</v>
      </c>
      <c r="B113" s="16">
        <v>-518040.28249999997</v>
      </c>
      <c r="C113" s="16"/>
      <c r="D113" s="16"/>
      <c r="E113" s="16">
        <v>0</v>
      </c>
      <c r="F113" s="16"/>
      <c r="G113" s="16">
        <f t="shared" si="21"/>
        <v>-518040.28249999997</v>
      </c>
    </row>
    <row r="114" spans="1:7" x14ac:dyDescent="0.25">
      <c r="A114" s="6" t="s">
        <v>191</v>
      </c>
      <c r="B114" s="13">
        <f>SUM(B101:B113)</f>
        <v>-1249691989.6395831</v>
      </c>
      <c r="C114" s="13">
        <f t="shared" ref="C114:E114" ca="1" si="22">SUM(C101:C113)</f>
        <v>9657677.0954943914</v>
      </c>
      <c r="D114" s="13">
        <f t="shared" si="22"/>
        <v>0</v>
      </c>
      <c r="E114" s="13">
        <f t="shared" ca="1" si="22"/>
        <v>-7348109.9829196921</v>
      </c>
      <c r="F114" s="13">
        <v>0</v>
      </c>
      <c r="G114" s="13">
        <f t="shared" ref="G114" ca="1" si="23">SUM(G101:G113)</f>
        <v>-1247382422.5270083</v>
      </c>
    </row>
    <row r="115" spans="1:7" x14ac:dyDescent="0.25">
      <c r="A115" s="6" t="s">
        <v>192</v>
      </c>
      <c r="B115" s="13"/>
      <c r="C115" s="13"/>
      <c r="D115" s="13"/>
      <c r="E115" s="13"/>
      <c r="F115" s="13"/>
      <c r="G115" s="13"/>
    </row>
    <row r="116" spans="1:7" x14ac:dyDescent="0.25">
      <c r="A116" s="6" t="s">
        <v>193</v>
      </c>
      <c r="B116" s="13"/>
      <c r="C116" s="13"/>
      <c r="D116" s="13"/>
      <c r="E116" s="13"/>
      <c r="F116" s="13"/>
      <c r="G116" s="13"/>
    </row>
    <row r="117" spans="1:7" x14ac:dyDescent="0.25">
      <c r="A117" s="3" t="s">
        <v>194</v>
      </c>
      <c r="B117" s="13">
        <v>-2766.8941666666601</v>
      </c>
      <c r="C117" s="13">
        <f ca="1">'[3]RB&amp;ISbyFERC'!$H$8</f>
        <v>-160.05849655319011</v>
      </c>
      <c r="D117" s="13"/>
      <c r="E117" s="13">
        <v>0</v>
      </c>
      <c r="F117" s="13"/>
      <c r="G117" s="13">
        <f t="shared" ref="G117:G128" ca="1" si="24">SUM(B117:F117)</f>
        <v>-2926.9526632198504</v>
      </c>
    </row>
    <row r="118" spans="1:7" x14ac:dyDescent="0.25">
      <c r="A118" s="3" t="s">
        <v>195</v>
      </c>
      <c r="B118" s="13">
        <v>-439506.00708333298</v>
      </c>
      <c r="C118" s="28">
        <f ca="1">SUM('[3]RB&amp;ISbyFERC'!$H$9:$H$12)</f>
        <v>-6173.5026159130475</v>
      </c>
      <c r="D118" s="13"/>
      <c r="E118" s="13">
        <v>0</v>
      </c>
      <c r="F118" s="13"/>
      <c r="G118" s="13">
        <f t="shared" ca="1" si="24"/>
        <v>-445679.50969924603</v>
      </c>
    </row>
    <row r="119" spans="1:7" x14ac:dyDescent="0.25">
      <c r="A119" s="3" t="s">
        <v>196</v>
      </c>
      <c r="B119" s="13">
        <v>-10055593.418333299</v>
      </c>
      <c r="C119" s="28">
        <f ca="1">SUM('[3]RB&amp;ISbyFERC'!$H$13:$H$15)</f>
        <v>-24963.999320689891</v>
      </c>
      <c r="D119" s="13"/>
      <c r="E119" s="13">
        <v>0</v>
      </c>
      <c r="F119" s="13"/>
      <c r="G119" s="13">
        <f t="shared" ca="1" si="24"/>
        <v>-10080557.417653989</v>
      </c>
    </row>
    <row r="120" spans="1:7" x14ac:dyDescent="0.25">
      <c r="A120" s="3" t="s">
        <v>197</v>
      </c>
      <c r="B120" s="13">
        <v>-1651937.5595833301</v>
      </c>
      <c r="C120" s="28">
        <f ca="1">'[3]RB&amp;ISbyFERC'!H16</f>
        <v>3278.2589304753637</v>
      </c>
      <c r="D120" s="13"/>
      <c r="E120" s="13">
        <v>0</v>
      </c>
      <c r="F120" s="13"/>
      <c r="G120" s="13">
        <f t="shared" ca="1" si="24"/>
        <v>-1648659.3006528546</v>
      </c>
    </row>
    <row r="121" spans="1:7" x14ac:dyDescent="0.25">
      <c r="A121" s="3" t="s">
        <v>198</v>
      </c>
      <c r="B121" s="13">
        <v>-6658594.6358333305</v>
      </c>
      <c r="C121" s="28">
        <f ca="1">'[3]RB&amp;ISbyFERC'!H17</f>
        <v>-45059.61368294101</v>
      </c>
      <c r="D121" s="13"/>
      <c r="E121" s="13">
        <v>0</v>
      </c>
      <c r="F121" s="13"/>
      <c r="G121" s="13">
        <f t="shared" ca="1" si="24"/>
        <v>-6703654.2495162711</v>
      </c>
    </row>
    <row r="122" spans="1:7" x14ac:dyDescent="0.25">
      <c r="A122" s="3" t="s">
        <v>199</v>
      </c>
      <c r="B122" s="13">
        <v>197502.81666666601</v>
      </c>
      <c r="C122" s="28">
        <f ca="1">'[3]RB&amp;ISbyFERC'!H18</f>
        <v>-2502.9053398307697</v>
      </c>
      <c r="D122" s="13"/>
      <c r="E122" s="13">
        <v>0</v>
      </c>
      <c r="F122" s="13"/>
      <c r="G122" s="13">
        <f t="shared" ca="1" si="24"/>
        <v>194999.91132683525</v>
      </c>
    </row>
    <row r="123" spans="1:7" x14ac:dyDescent="0.25">
      <c r="A123" s="3" t="s">
        <v>200</v>
      </c>
      <c r="B123" s="13">
        <v>-1034994.7</v>
      </c>
      <c r="C123" s="28">
        <f ca="1">'[3]RB&amp;ISbyFERC'!H19</f>
        <v>-11352.620526196264</v>
      </c>
      <c r="D123" s="13"/>
      <c r="E123" s="13">
        <v>0</v>
      </c>
      <c r="F123" s="13"/>
      <c r="G123" s="13">
        <f t="shared" ca="1" si="24"/>
        <v>-1046347.3205261963</v>
      </c>
    </row>
    <row r="124" spans="1:7" x14ac:dyDescent="0.25">
      <c r="A124" s="3" t="s">
        <v>201</v>
      </c>
      <c r="B124" s="13">
        <v>-42539.995833333298</v>
      </c>
      <c r="C124" s="28">
        <f ca="1">'[3]RB&amp;ISbyFERC'!$H$20</f>
        <v>-7559.7015846645954</v>
      </c>
      <c r="D124" s="13"/>
      <c r="E124" s="13">
        <v>0</v>
      </c>
      <c r="F124" s="13"/>
      <c r="G124" s="13">
        <f t="shared" ca="1" si="24"/>
        <v>-50099.697417997893</v>
      </c>
    </row>
    <row r="125" spans="1:7" x14ac:dyDescent="0.25">
      <c r="A125" s="3" t="s">
        <v>202</v>
      </c>
      <c r="B125" s="13">
        <v>-1411413.8399999901</v>
      </c>
      <c r="C125" s="13">
        <f ca="1">'[3]RB&amp;ISbyFERC'!H21</f>
        <v>7501.6140632004608</v>
      </c>
      <c r="D125" s="13"/>
      <c r="E125" s="13">
        <v>0</v>
      </c>
      <c r="F125" s="13"/>
      <c r="G125" s="13">
        <f t="shared" ca="1" si="24"/>
        <v>-1403912.2259367895</v>
      </c>
    </row>
    <row r="126" spans="1:7" x14ac:dyDescent="0.25">
      <c r="A126" s="3" t="s">
        <v>203</v>
      </c>
      <c r="B126" s="13">
        <v>-1248727.75</v>
      </c>
      <c r="C126" s="13">
        <f ca="1">'[3]RB&amp;ISbyFERC'!H22</f>
        <v>2822.4670366752252</v>
      </c>
      <c r="D126" s="13"/>
      <c r="E126" s="13">
        <v>0</v>
      </c>
      <c r="F126" s="13"/>
      <c r="G126" s="13">
        <f t="shared" ca="1" si="24"/>
        <v>-1245905.2829633248</v>
      </c>
    </row>
    <row r="127" spans="1:7" x14ac:dyDescent="0.25">
      <c r="A127" s="3" t="s">
        <v>204</v>
      </c>
      <c r="B127" s="13">
        <v>-1664330.05</v>
      </c>
      <c r="C127" s="13">
        <f ca="1">'[3]RB&amp;ISbyFERC'!H23</f>
        <v>10234.409368278692</v>
      </c>
      <c r="D127" s="13"/>
      <c r="E127" s="13">
        <v>0</v>
      </c>
      <c r="F127" s="13"/>
      <c r="G127" s="13">
        <f t="shared" ca="1" si="24"/>
        <v>-1654095.6406317214</v>
      </c>
    </row>
    <row r="128" spans="1:7" x14ac:dyDescent="0.25">
      <c r="A128" s="3" t="s">
        <v>205</v>
      </c>
      <c r="B128" s="16">
        <v>-568463.39</v>
      </c>
      <c r="C128" s="16">
        <f ca="1">'[3]RB&amp;ISbyFERC'!H24</f>
        <v>4296.8303897467813</v>
      </c>
      <c r="D128" s="16"/>
      <c r="E128" s="16">
        <v>0</v>
      </c>
      <c r="F128" s="16"/>
      <c r="G128" s="16">
        <f t="shared" ca="1" si="24"/>
        <v>-564166.5596102532</v>
      </c>
    </row>
    <row r="129" spans="1:7" x14ac:dyDescent="0.25">
      <c r="A129" s="6" t="s">
        <v>206</v>
      </c>
      <c r="B129" s="13">
        <f>SUM(B117:B128)</f>
        <v>-24581365.424166616</v>
      </c>
      <c r="C129" s="13">
        <f t="shared" ref="C129:E129" ca="1" si="25">SUM(C117:C128)</f>
        <v>-69638.821778412239</v>
      </c>
      <c r="D129" s="13">
        <f t="shared" si="25"/>
        <v>0</v>
      </c>
      <c r="E129" s="13">
        <f t="shared" si="25"/>
        <v>0</v>
      </c>
      <c r="F129" s="13">
        <v>0</v>
      </c>
      <c r="G129" s="13">
        <f t="shared" ref="G129" ca="1" si="26">SUM(G117:G128)</f>
        <v>-24651004.245945022</v>
      </c>
    </row>
    <row r="130" spans="1:7" x14ac:dyDescent="0.25">
      <c r="A130" s="6" t="s">
        <v>207</v>
      </c>
      <c r="B130" s="13"/>
      <c r="C130" s="13"/>
      <c r="D130" s="13"/>
      <c r="E130" s="13"/>
      <c r="F130" s="13"/>
      <c r="G130" s="13"/>
    </row>
    <row r="131" spans="1:7" x14ac:dyDescent="0.25">
      <c r="A131" s="6" t="s">
        <v>208</v>
      </c>
      <c r="B131" s="13"/>
      <c r="C131" s="13"/>
      <c r="D131" s="13"/>
      <c r="E131" s="13"/>
      <c r="F131" s="13"/>
      <c r="G131" s="13"/>
    </row>
    <row r="132" spans="1:7" x14ac:dyDescent="0.25">
      <c r="A132" s="3" t="s">
        <v>209</v>
      </c>
      <c r="B132" s="13">
        <v>-487900.41335999902</v>
      </c>
      <c r="C132" s="13">
        <f ca="1">'[3]RB&amp;ISbyFERC'!H42</f>
        <v>8200.1361067011894</v>
      </c>
      <c r="D132" s="13"/>
      <c r="E132" s="13">
        <v>0</v>
      </c>
      <c r="F132" s="13"/>
      <c r="G132" s="13">
        <f t="shared" ref="G132:G143" ca="1" si="27">SUM(B132:F132)</f>
        <v>-479700.27725329786</v>
      </c>
    </row>
    <row r="133" spans="1:7" x14ac:dyDescent="0.25">
      <c r="A133" s="3" t="s">
        <v>210</v>
      </c>
      <c r="B133" s="13">
        <v>-24118925.762486499</v>
      </c>
      <c r="C133" s="13">
        <f ca="1">'[3]RB&amp;ISbyFERC'!H43</f>
        <v>598880.32279710181</v>
      </c>
      <c r="D133" s="13">
        <f ca="1">'[2]RB&amp;IS by FERC'!$M$16</f>
        <v>-580939.27582192782</v>
      </c>
      <c r="E133" s="13">
        <v>0</v>
      </c>
      <c r="F133" s="13"/>
      <c r="G133" s="13">
        <f t="shared" ca="1" si="27"/>
        <v>-24100984.715511326</v>
      </c>
    </row>
    <row r="134" spans="1:7" x14ac:dyDescent="0.25">
      <c r="A134" s="15" t="s">
        <v>261</v>
      </c>
      <c r="B134" s="13"/>
      <c r="C134" s="13"/>
      <c r="D134" s="13">
        <f ca="1">'[2]RB&amp;IS by FERC'!$M$17</f>
        <v>531419.38875000004</v>
      </c>
      <c r="E134" s="13"/>
      <c r="F134" s="13"/>
      <c r="G134" s="13">
        <f t="shared" ca="1" si="27"/>
        <v>531419.38875000004</v>
      </c>
    </row>
    <row r="135" spans="1:7" x14ac:dyDescent="0.25">
      <c r="A135" s="3" t="s">
        <v>211</v>
      </c>
      <c r="B135" s="13">
        <v>-13371502.811631801</v>
      </c>
      <c r="C135" s="13">
        <f ca="1">SUM('[3]RB&amp;ISbyFERC'!$H$44:$H$45)</f>
        <v>-73229.36594889815</v>
      </c>
      <c r="D135" s="13"/>
      <c r="E135" s="13">
        <v>0</v>
      </c>
      <c r="F135" s="13"/>
      <c r="G135" s="13">
        <f t="shared" ca="1" si="27"/>
        <v>-13444732.177580699</v>
      </c>
    </row>
    <row r="136" spans="1:7" x14ac:dyDescent="0.25">
      <c r="A136" s="3" t="s">
        <v>212</v>
      </c>
      <c r="B136" s="13">
        <v>-5030032.1446599104</v>
      </c>
      <c r="C136" s="13">
        <f ca="1">'[3]RB&amp;ISbyFERC'!H46</f>
        <v>116177.30915231886</v>
      </c>
      <c r="D136" s="13"/>
      <c r="E136" s="13">
        <v>0</v>
      </c>
      <c r="F136" s="13"/>
      <c r="G136" s="13">
        <f t="shared" ca="1" si="27"/>
        <v>-4913854.8355075913</v>
      </c>
    </row>
    <row r="137" spans="1:7" x14ac:dyDescent="0.25">
      <c r="A137" s="3" t="s">
        <v>213</v>
      </c>
      <c r="B137" s="13">
        <v>-39731.700578000004</v>
      </c>
      <c r="C137" s="13">
        <f ca="1">'[3]RB&amp;ISbyFERC'!H47</f>
        <v>-1144.1748875718515</v>
      </c>
      <c r="D137" s="13"/>
      <c r="E137" s="13">
        <v>0</v>
      </c>
      <c r="F137" s="13"/>
      <c r="G137" s="13">
        <f t="shared" ca="1" si="27"/>
        <v>-40875.875465571859</v>
      </c>
    </row>
    <row r="138" spans="1:7" x14ac:dyDescent="0.25">
      <c r="A138" s="3" t="s">
        <v>214</v>
      </c>
      <c r="B138" s="13">
        <v>-5906849.78827566</v>
      </c>
      <c r="C138" s="13">
        <f ca="1">'[3]RB&amp;ISbyFERC'!H48</f>
        <v>-82112.59489593959</v>
      </c>
      <c r="D138" s="13"/>
      <c r="E138" s="13">
        <v>0</v>
      </c>
      <c r="F138" s="13"/>
      <c r="G138" s="13">
        <f t="shared" ca="1" si="27"/>
        <v>-5988962.3831715994</v>
      </c>
    </row>
    <row r="139" spans="1:7" x14ac:dyDescent="0.25">
      <c r="A139" s="3" t="s">
        <v>215</v>
      </c>
      <c r="B139" s="13">
        <v>-1048577.0033333299</v>
      </c>
      <c r="C139" s="13">
        <f ca="1">'[3]RB&amp;ISbyFERC'!H49</f>
        <v>13918.723966367859</v>
      </c>
      <c r="D139" s="13"/>
      <c r="E139" s="13">
        <v>0</v>
      </c>
      <c r="F139" s="13"/>
      <c r="G139" s="13">
        <f t="shared" ca="1" si="27"/>
        <v>-1034658.279366962</v>
      </c>
    </row>
    <row r="140" spans="1:7" x14ac:dyDescent="0.25">
      <c r="A140" s="3" t="s">
        <v>216</v>
      </c>
      <c r="B140" s="13">
        <v>-724286.10351799906</v>
      </c>
      <c r="C140" s="13">
        <f ca="1">'[3]RB&amp;ISbyFERC'!H50</f>
        <v>2202.9661352502599</v>
      </c>
      <c r="D140" s="13"/>
      <c r="E140" s="13">
        <v>0</v>
      </c>
      <c r="F140" s="13"/>
      <c r="G140" s="13">
        <f t="shared" ca="1" si="27"/>
        <v>-722083.13738274877</v>
      </c>
    </row>
    <row r="141" spans="1:7" x14ac:dyDescent="0.25">
      <c r="A141" s="3" t="s">
        <v>217</v>
      </c>
      <c r="B141" s="13">
        <v>-11906869.789925899</v>
      </c>
      <c r="C141" s="13">
        <f ca="1">'[3]RB&amp;ISbyFERC'!H51</f>
        <v>-50622.991630835371</v>
      </c>
      <c r="D141" s="13"/>
      <c r="E141" s="13">
        <v>0</v>
      </c>
      <c r="F141" s="13"/>
      <c r="G141" s="13">
        <f t="shared" ca="1" si="27"/>
        <v>-11957492.781556735</v>
      </c>
    </row>
    <row r="142" spans="1:7" x14ac:dyDescent="0.25">
      <c r="A142" s="3" t="s">
        <v>218</v>
      </c>
      <c r="B142" s="13">
        <v>-278235.29011449998</v>
      </c>
      <c r="C142" s="13">
        <f ca="1">'[3]RB&amp;ISbyFERC'!H52</f>
        <v>1771.3932151995978</v>
      </c>
      <c r="D142" s="13"/>
      <c r="E142" s="13">
        <v>0</v>
      </c>
      <c r="F142" s="13"/>
      <c r="G142" s="13">
        <f t="shared" ca="1" si="27"/>
        <v>-276463.89689930039</v>
      </c>
    </row>
    <row r="143" spans="1:7" x14ac:dyDescent="0.25">
      <c r="A143" s="3" t="s">
        <v>219</v>
      </c>
      <c r="B143" s="16">
        <v>-96949.429278249998</v>
      </c>
      <c r="C143" s="16"/>
      <c r="D143" s="16"/>
      <c r="E143" s="16">
        <v>0</v>
      </c>
      <c r="F143" s="16"/>
      <c r="G143" s="16">
        <f t="shared" si="27"/>
        <v>-96949.429278249998</v>
      </c>
    </row>
    <row r="144" spans="1:7" x14ac:dyDescent="0.25">
      <c r="A144" s="6" t="s">
        <v>220</v>
      </c>
      <c r="B144" s="13">
        <f>SUM(B132:B143)</f>
        <v>-63009860.237161845</v>
      </c>
      <c r="C144" s="13">
        <f t="shared" ref="C144:E144" ca="1" si="28">SUM(C132:C143)</f>
        <v>534041.72400969476</v>
      </c>
      <c r="D144" s="13">
        <f t="shared" ca="1" si="28"/>
        <v>-49519.887071927777</v>
      </c>
      <c r="E144" s="13">
        <f t="shared" si="28"/>
        <v>0</v>
      </c>
      <c r="F144" s="13">
        <v>0</v>
      </c>
      <c r="G144" s="13">
        <f t="shared" ref="G144" ca="1" si="29">SUM(G132:G143)</f>
        <v>-62525338.400224067</v>
      </c>
    </row>
    <row r="145" spans="1:7" x14ac:dyDescent="0.25">
      <c r="A145" s="3" t="s">
        <v>221</v>
      </c>
      <c r="B145" s="13"/>
      <c r="C145" s="13"/>
      <c r="D145" s="13"/>
      <c r="E145" s="13"/>
      <c r="F145" s="13"/>
      <c r="G145" s="13"/>
    </row>
    <row r="146" spans="1:7" x14ac:dyDescent="0.25">
      <c r="A146" s="6" t="s">
        <v>222</v>
      </c>
      <c r="B146" s="13"/>
      <c r="C146" s="13"/>
      <c r="D146" s="13"/>
      <c r="E146" s="13"/>
      <c r="F146" s="13"/>
      <c r="G146" s="13"/>
    </row>
    <row r="147" spans="1:7" x14ac:dyDescent="0.25">
      <c r="A147" s="3" t="s">
        <v>223</v>
      </c>
      <c r="B147" s="13">
        <v>-154272.00950308301</v>
      </c>
      <c r="C147" s="13"/>
      <c r="D147" s="13"/>
      <c r="E147" s="13">
        <v>0</v>
      </c>
      <c r="F147" s="13"/>
      <c r="G147" s="13">
        <f>SUM(B147:F147)</f>
        <v>-154272.00950308301</v>
      </c>
    </row>
    <row r="148" spans="1:7" x14ac:dyDescent="0.25">
      <c r="A148" s="3" t="s">
        <v>224</v>
      </c>
      <c r="B148" s="16">
        <v>-23739093.547409099</v>
      </c>
      <c r="C148" s="16"/>
      <c r="D148" s="16"/>
      <c r="E148" s="16">
        <v>0</v>
      </c>
      <c r="F148" s="16"/>
      <c r="G148" s="16">
        <f>SUM(B148:F148)</f>
        <v>-23739093.547409099</v>
      </c>
    </row>
    <row r="149" spans="1:7" x14ac:dyDescent="0.25">
      <c r="A149" s="6" t="s">
        <v>225</v>
      </c>
      <c r="B149" s="13">
        <f>SUM(B147:B148)</f>
        <v>-23893365.55691218</v>
      </c>
      <c r="C149" s="13">
        <f t="shared" ref="C149:E149" si="30">SUM(C147:C148)</f>
        <v>0</v>
      </c>
      <c r="D149" s="13">
        <f t="shared" si="30"/>
        <v>0</v>
      </c>
      <c r="E149" s="13">
        <f t="shared" si="30"/>
        <v>0</v>
      </c>
      <c r="F149" s="13">
        <v>0</v>
      </c>
      <c r="G149" s="13">
        <f t="shared" ref="G149" si="31">SUM(G147:G148)</f>
        <v>-23893365.55691218</v>
      </c>
    </row>
    <row r="150" spans="1:7" x14ac:dyDescent="0.25">
      <c r="A150" s="6" t="s">
        <v>100</v>
      </c>
      <c r="B150" s="16"/>
      <c r="C150" s="16"/>
      <c r="D150" s="16"/>
      <c r="E150" s="16"/>
      <c r="F150" s="16"/>
      <c r="G150" s="16"/>
    </row>
    <row r="151" spans="1:7" x14ac:dyDescent="0.25">
      <c r="A151" s="6"/>
      <c r="B151" s="18"/>
      <c r="C151" s="18"/>
      <c r="D151" s="18"/>
      <c r="E151" s="18"/>
      <c r="F151" s="18"/>
      <c r="G151" s="18"/>
    </row>
    <row r="152" spans="1:7" x14ac:dyDescent="0.25">
      <c r="A152" s="6" t="s">
        <v>99</v>
      </c>
      <c r="B152" s="13">
        <f t="shared" ref="B152:G152" si="32">+B96+B114+B129+B144+B149</f>
        <v>-1367386427.6278238</v>
      </c>
      <c r="C152" s="13">
        <f t="shared" ca="1" si="32"/>
        <v>10133921.18366956</v>
      </c>
      <c r="D152" s="13">
        <f t="shared" ca="1" si="32"/>
        <v>-49519.887071927777</v>
      </c>
      <c r="E152" s="13">
        <f t="shared" ca="1" si="32"/>
        <v>-7348109.9829196921</v>
      </c>
      <c r="F152" s="13">
        <v>0</v>
      </c>
      <c r="G152" s="13">
        <f t="shared" ca="1" si="32"/>
        <v>-1364650136.3141456</v>
      </c>
    </row>
    <row r="153" spans="1:7" x14ac:dyDescent="0.25">
      <c r="A153" s="6"/>
      <c r="B153" s="13"/>
      <c r="C153" s="13"/>
      <c r="D153" s="13"/>
      <c r="E153" s="13"/>
      <c r="F153" s="13"/>
      <c r="G153" s="13"/>
    </row>
    <row r="154" spans="1:7" x14ac:dyDescent="0.25">
      <c r="A154" s="6" t="s">
        <v>253</v>
      </c>
      <c r="B154" s="13"/>
      <c r="C154" s="13"/>
      <c r="D154" s="13"/>
      <c r="E154" s="13"/>
      <c r="F154" s="13"/>
      <c r="G154" s="13"/>
    </row>
    <row r="155" spans="1:7" x14ac:dyDescent="0.25">
      <c r="A155" s="8" t="s">
        <v>255</v>
      </c>
      <c r="B155" s="18">
        <v>4311119</v>
      </c>
      <c r="C155" s="18"/>
      <c r="D155" s="18"/>
      <c r="E155" s="13">
        <v>0</v>
      </c>
      <c r="F155" s="13"/>
      <c r="G155" s="13">
        <f>SUM(B155:F155)</f>
        <v>4311119</v>
      </c>
    </row>
    <row r="156" spans="1:7" x14ac:dyDescent="0.25">
      <c r="A156" s="8" t="s">
        <v>252</v>
      </c>
      <c r="B156" s="18">
        <f>123439.45*I76</f>
        <v>40512.827489999996</v>
      </c>
      <c r="C156" s="18"/>
      <c r="D156" s="18"/>
      <c r="E156" s="18">
        <v>0</v>
      </c>
      <c r="F156" s="18"/>
      <c r="G156" s="18">
        <f>SUM(B156:F156)</f>
        <v>40512.827489999996</v>
      </c>
    </row>
    <row r="157" spans="1:7" x14ac:dyDescent="0.25">
      <c r="A157" s="8" t="s">
        <v>256</v>
      </c>
      <c r="B157" s="16">
        <v>7</v>
      </c>
      <c r="C157" s="16"/>
      <c r="D157" s="16"/>
      <c r="E157" s="16">
        <v>0</v>
      </c>
      <c r="F157" s="16"/>
      <c r="G157" s="16">
        <f>SUM(B157:F157)</f>
        <v>7</v>
      </c>
    </row>
    <row r="158" spans="1:7" x14ac:dyDescent="0.25">
      <c r="A158" s="2"/>
      <c r="B158" s="18">
        <f>SUM(B155:B157)</f>
        <v>4351638.8274900001</v>
      </c>
      <c r="C158" s="18">
        <f t="shared" ref="C158:E158" si="33">SUM(C155:C157)</f>
        <v>0</v>
      </c>
      <c r="D158" s="18">
        <f t="shared" si="33"/>
        <v>0</v>
      </c>
      <c r="E158" s="18">
        <f t="shared" si="33"/>
        <v>0</v>
      </c>
      <c r="F158" s="18">
        <v>0</v>
      </c>
      <c r="G158" s="18">
        <f t="shared" ref="G158" si="34">SUM(G155:G157)</f>
        <v>4351638.8274900001</v>
      </c>
    </row>
    <row r="159" spans="1:7" x14ac:dyDescent="0.25">
      <c r="A159" s="8"/>
      <c r="B159" s="18"/>
      <c r="C159" s="18"/>
      <c r="D159" s="18"/>
      <c r="E159" s="18"/>
      <c r="F159" s="18"/>
      <c r="G159" s="18"/>
    </row>
    <row r="160" spans="1:7" x14ac:dyDescent="0.25">
      <c r="A160" s="6" t="s">
        <v>254</v>
      </c>
      <c r="B160" s="18">
        <f>B152+B158</f>
        <v>-1363034788.8003337</v>
      </c>
      <c r="C160" s="18">
        <f ca="1">C152+C158</f>
        <v>10133921.18366956</v>
      </c>
      <c r="D160" s="18">
        <f t="shared" ref="D160:E160" ca="1" si="35">D152+D158</f>
        <v>-49519.887071927777</v>
      </c>
      <c r="E160" s="18">
        <f t="shared" ca="1" si="35"/>
        <v>-7348109.9829196921</v>
      </c>
      <c r="F160" s="18">
        <v>0</v>
      </c>
      <c r="G160" s="13">
        <f ca="1">SUM(B160:F160)</f>
        <v>-1360298497.4866557</v>
      </c>
    </row>
    <row r="161" spans="1:9" x14ac:dyDescent="0.25">
      <c r="A161" s="3" t="s">
        <v>98</v>
      </c>
      <c r="B161" s="13"/>
      <c r="C161" s="13"/>
      <c r="D161" s="13"/>
      <c r="E161" s="13"/>
      <c r="F161" s="13"/>
      <c r="G161" s="13"/>
    </row>
    <row r="162" spans="1:9" ht="13.8" thickBot="1" x14ac:dyDescent="0.3">
      <c r="A162" s="6" t="s">
        <v>97</v>
      </c>
      <c r="B162" s="22">
        <f t="shared" ref="B162:G162" ca="1" si="36">B87+B160</f>
        <v>2181998249.6009693</v>
      </c>
      <c r="C162" s="22">
        <f t="shared" ca="1" si="36"/>
        <v>10133921.18366956</v>
      </c>
      <c r="D162" s="22">
        <f t="shared" ca="1" si="36"/>
        <v>7640766.3366530705</v>
      </c>
      <c r="E162" s="22">
        <f t="shared" ca="1" si="36"/>
        <v>24657843.125056505</v>
      </c>
      <c r="F162" s="22">
        <v>0</v>
      </c>
      <c r="G162" s="22">
        <f t="shared" ca="1" si="36"/>
        <v>2224430780.2463484</v>
      </c>
    </row>
    <row r="163" spans="1:9" ht="13.8" thickTop="1" x14ac:dyDescent="0.25">
      <c r="A163" s="3" t="s">
        <v>96</v>
      </c>
      <c r="B163" s="13"/>
      <c r="C163" s="13"/>
      <c r="D163" s="13"/>
      <c r="E163" s="13"/>
      <c r="F163" s="13"/>
      <c r="G163" s="13"/>
    </row>
    <row r="164" spans="1:9" x14ac:dyDescent="0.25">
      <c r="B164" s="13"/>
      <c r="C164" s="13"/>
      <c r="D164" s="13"/>
      <c r="E164" s="13"/>
      <c r="F164" s="13"/>
      <c r="G164" s="13"/>
    </row>
    <row r="165" spans="1:9" x14ac:dyDescent="0.25">
      <c r="A165" s="9" t="s">
        <v>228</v>
      </c>
      <c r="B165" s="13"/>
      <c r="C165" s="13"/>
      <c r="D165" s="13"/>
      <c r="E165" s="13"/>
      <c r="F165" s="13"/>
      <c r="G165" s="13"/>
    </row>
    <row r="166" spans="1:9" x14ac:dyDescent="0.25">
      <c r="B166" s="13"/>
      <c r="C166" s="13"/>
      <c r="D166" s="13"/>
      <c r="E166" s="13"/>
      <c r="F166" s="13"/>
      <c r="G166" s="13"/>
    </row>
    <row r="167" spans="1:9" x14ac:dyDescent="0.25">
      <c r="B167" s="13"/>
      <c r="C167" s="13"/>
      <c r="D167" s="13"/>
      <c r="E167" s="13"/>
      <c r="F167" s="13"/>
      <c r="G167" s="13"/>
    </row>
    <row r="168" spans="1:9" x14ac:dyDescent="0.25">
      <c r="A168" s="3" t="s">
        <v>229</v>
      </c>
      <c r="B168" s="13">
        <v>-501002523</v>
      </c>
      <c r="C168" s="13">
        <f ca="1">'[3]Lead G'!$E$40</f>
        <v>-3546872.4142843462</v>
      </c>
      <c r="D168" s="13">
        <f ca="1">'[2]RB&amp;IS by FERC'!$M$21</f>
        <v>134349.35867273732</v>
      </c>
      <c r="E168" s="13">
        <f ca="1">SUM('[1]Lead G'!$H$35:$H$36)</f>
        <v>-5646134.7161250766</v>
      </c>
      <c r="F168" s="13"/>
      <c r="G168" s="13">
        <f t="shared" ref="G168:G174" ca="1" si="37">SUM(B168:F168)</f>
        <v>-510061180.77173668</v>
      </c>
    </row>
    <row r="169" spans="1:9" x14ac:dyDescent="0.25">
      <c r="A169" s="3" t="s">
        <v>230</v>
      </c>
      <c r="B169" s="13">
        <f>-41974017*I76</f>
        <v>-13775872.3794</v>
      </c>
      <c r="C169" s="13"/>
      <c r="D169" s="13"/>
      <c r="E169" s="13">
        <v>0</v>
      </c>
      <c r="F169" s="13"/>
      <c r="G169" s="13">
        <f t="shared" si="37"/>
        <v>-13775872.3794</v>
      </c>
    </row>
    <row r="170" spans="1:9" x14ac:dyDescent="0.25">
      <c r="A170" s="3" t="s">
        <v>231</v>
      </c>
      <c r="B170" s="13">
        <f>12622777</f>
        <v>12622777</v>
      </c>
      <c r="C170" s="13"/>
      <c r="D170" s="13"/>
      <c r="E170" s="13">
        <v>0</v>
      </c>
      <c r="F170" s="13"/>
      <c r="G170" s="13">
        <f t="shared" si="37"/>
        <v>12622777</v>
      </c>
      <c r="H170" s="2" t="s">
        <v>251</v>
      </c>
      <c r="I170" s="11">
        <v>0.14580000000000001</v>
      </c>
    </row>
    <row r="171" spans="1:9" x14ac:dyDescent="0.25">
      <c r="A171" s="3" t="s">
        <v>235</v>
      </c>
      <c r="B171" s="13">
        <v>-20859704</v>
      </c>
      <c r="C171" s="13"/>
      <c r="D171" s="13"/>
      <c r="E171" s="13">
        <v>0</v>
      </c>
      <c r="F171" s="13"/>
      <c r="G171" s="13">
        <f t="shared" si="37"/>
        <v>-20859704</v>
      </c>
    </row>
    <row r="172" spans="1:9" x14ac:dyDescent="0.25">
      <c r="A172" s="3" t="s">
        <v>232</v>
      </c>
      <c r="B172" s="13">
        <f>-28342777*I76</f>
        <v>-9302099.4113999996</v>
      </c>
      <c r="C172" s="13"/>
      <c r="D172" s="13"/>
      <c r="E172" s="13">
        <v>0</v>
      </c>
      <c r="F172" s="13"/>
      <c r="G172" s="13">
        <f t="shared" si="37"/>
        <v>-9302099.4113999996</v>
      </c>
    </row>
    <row r="173" spans="1:9" x14ac:dyDescent="0.25">
      <c r="A173" s="3" t="s">
        <v>233</v>
      </c>
      <c r="B173" s="13">
        <v>77640607</v>
      </c>
      <c r="C173" s="13"/>
      <c r="D173" s="13"/>
      <c r="E173" s="13">
        <v>0</v>
      </c>
      <c r="F173" s="21">
        <f>'[4]Gas Summary'!$AF$60</f>
        <v>4743345.615733996</v>
      </c>
      <c r="G173" s="13">
        <f t="shared" si="37"/>
        <v>82383952.615733996</v>
      </c>
    </row>
    <row r="174" spans="1:9" x14ac:dyDescent="0.25">
      <c r="A174" s="3" t="s">
        <v>258</v>
      </c>
      <c r="B174" s="16">
        <v>-1675</v>
      </c>
      <c r="C174" s="16"/>
      <c r="D174" s="16"/>
      <c r="E174" s="16">
        <v>0</v>
      </c>
      <c r="F174" s="16"/>
      <c r="G174" s="16">
        <f t="shared" si="37"/>
        <v>-1675</v>
      </c>
    </row>
    <row r="175" spans="1:9" x14ac:dyDescent="0.25">
      <c r="A175" s="6" t="s">
        <v>234</v>
      </c>
      <c r="B175" s="13">
        <f>SUM(B168:B174)</f>
        <v>-454678489.79080003</v>
      </c>
      <c r="C175" s="13">
        <f t="shared" ref="C175:F175" ca="1" si="38">SUM(C168:C174)</f>
        <v>-3546872.4142843462</v>
      </c>
      <c r="D175" s="13">
        <f t="shared" ca="1" si="38"/>
        <v>134349.35867273732</v>
      </c>
      <c r="E175" s="13">
        <f t="shared" ca="1" si="38"/>
        <v>-5646134.7161250766</v>
      </c>
      <c r="F175" s="13">
        <f t="shared" si="38"/>
        <v>4743345.615733996</v>
      </c>
      <c r="G175" s="13">
        <f t="shared" ref="G175" ca="1" si="39">SUM(G168:G174)</f>
        <v>-458993801.94680274</v>
      </c>
    </row>
    <row r="176" spans="1:9" x14ac:dyDescent="0.25">
      <c r="B176" s="13"/>
      <c r="C176" s="13"/>
      <c r="D176" s="13"/>
      <c r="E176" s="13"/>
      <c r="F176" s="13"/>
      <c r="G176" s="13"/>
    </row>
    <row r="177" spans="1:7" ht="13.8" thickBot="1" x14ac:dyDescent="0.3">
      <c r="A177" s="6" t="s">
        <v>239</v>
      </c>
      <c r="B177" s="17">
        <f ca="1">B162+B175</f>
        <v>1727319759.8101692</v>
      </c>
      <c r="C177" s="17">
        <f t="shared" ref="C177:F177" ca="1" si="40">C162+C175</f>
        <v>6587048.769385213</v>
      </c>
      <c r="D177" s="17">
        <f t="shared" ca="1" si="40"/>
        <v>7775115.6953258077</v>
      </c>
      <c r="E177" s="17">
        <f t="shared" ca="1" si="40"/>
        <v>19011708.408931427</v>
      </c>
      <c r="F177" s="17">
        <f t="shared" si="40"/>
        <v>4743345.615733996</v>
      </c>
      <c r="G177" s="17">
        <f t="shared" ref="G177" ca="1" si="41">G162+G175</f>
        <v>1765436978.2995458</v>
      </c>
    </row>
    <row r="178" spans="1:7" ht="13.8" thickTop="1" x14ac:dyDescent="0.25">
      <c r="B178" s="13"/>
      <c r="C178" s="13"/>
      <c r="D178" s="13"/>
      <c r="E178" s="13"/>
      <c r="F178" s="13"/>
      <c r="G178" s="13"/>
    </row>
    <row r="179" spans="1:7" x14ac:dyDescent="0.25">
      <c r="A179" s="2" t="s">
        <v>260</v>
      </c>
      <c r="B179" s="13">
        <f ca="1">'[4]Gas Summary'!$I$61</f>
        <v>1727319760.395555</v>
      </c>
      <c r="C179" s="13">
        <f ca="1">'[4]Gas Summary'!$O$61</f>
        <v>6587048.7693852149</v>
      </c>
      <c r="D179" s="13">
        <f ca="1">'[4]Gas Summary'!$AD$61</f>
        <v>7775115.6953258077</v>
      </c>
      <c r="E179" s="13">
        <f ca="1">'[4]Gas Summary'!$AH$61</f>
        <v>19011708.408931427</v>
      </c>
      <c r="F179" s="13">
        <f>'[4]Gas Summary'!$AF$61</f>
        <v>4743345.615733996</v>
      </c>
      <c r="G179" s="13">
        <f ca="1">'[4]Gas Summary'!$AJ$61</f>
        <v>1765436978.8849313</v>
      </c>
    </row>
    <row r="180" spans="1:7" x14ac:dyDescent="0.25">
      <c r="B180" s="13"/>
      <c r="C180" s="13"/>
      <c r="D180" s="13"/>
      <c r="E180" s="13"/>
      <c r="F180" s="13"/>
      <c r="G180" s="13"/>
    </row>
    <row r="181" spans="1:7" x14ac:dyDescent="0.25">
      <c r="B181" s="13">
        <f ca="1">+B177-B179</f>
        <v>-0.58538579940795898</v>
      </c>
      <c r="C181" s="14">
        <f ca="1">C177-C179</f>
        <v>0</v>
      </c>
      <c r="D181" s="13">
        <f t="shared" ref="D181:F181" ca="1" si="42">+D177-D179</f>
        <v>0</v>
      </c>
      <c r="E181" s="13">
        <f t="shared" ca="1" si="42"/>
        <v>0</v>
      </c>
      <c r="F181" s="13">
        <f t="shared" si="42"/>
        <v>0</v>
      </c>
      <c r="G181" s="13">
        <f ca="1">+G177-G179</f>
        <v>-0.58538556098937988</v>
      </c>
    </row>
  </sheetData>
  <conditionalFormatting sqref="B1:G1">
    <cfRule type="cellIs" dxfId="1" priority="1" operator="equal">
      <formula>0</formula>
    </cfRule>
    <cfRule type="cellIs" dxfId="0" priority="2" operator="notEqual">
      <formula>0</formula>
    </cfRule>
  </conditionalFormatting>
  <pageMargins left="0" right="0" top="0" bottom="0" header="0.5" footer="0.5"/>
  <pageSetup paperSize="5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6"/>
  <sheetViews>
    <sheetView workbookViewId="0">
      <selection activeCell="E57" sqref="E57"/>
    </sheetView>
  </sheetViews>
  <sheetFormatPr defaultColWidth="0" defaultRowHeight="13.8" x14ac:dyDescent="0.25"/>
  <cols>
    <col min="1" max="1" width="30.6640625" customWidth="1"/>
    <col min="2" max="2" width="80.6640625" customWidth="1"/>
    <col min="3" max="106" width="0" hidden="1" customWidth="1"/>
    <col min="107" max="16384" width="8.88671875" hidden="1"/>
  </cols>
  <sheetData>
    <row r="1" spans="1:106" x14ac:dyDescent="0.25">
      <c r="A1" t="s">
        <v>0</v>
      </c>
      <c r="B1" t="s">
        <v>1</v>
      </c>
      <c r="D1" t="s">
        <v>2</v>
      </c>
      <c r="E1" t="s">
        <v>1</v>
      </c>
      <c r="H1">
        <v>1</v>
      </c>
      <c r="K1">
        <v>10</v>
      </c>
      <c r="L1" t="s">
        <v>3</v>
      </c>
      <c r="N1">
        <v>100</v>
      </c>
      <c r="O1">
        <v>0</v>
      </c>
      <c r="P1">
        <v>0</v>
      </c>
      <c r="Q1">
        <v>0</v>
      </c>
      <c r="R1">
        <v>255</v>
      </c>
      <c r="T1">
        <v>0</v>
      </c>
      <c r="V1">
        <v>0</v>
      </c>
      <c r="W1">
        <v>0</v>
      </c>
      <c r="X1" t="s">
        <v>4</v>
      </c>
      <c r="CM1">
        <v>30</v>
      </c>
      <c r="CN1">
        <v>10</v>
      </c>
      <c r="CO1" t="s">
        <v>5</v>
      </c>
      <c r="CW1" t="s">
        <v>6</v>
      </c>
      <c r="CX1" t="s">
        <v>6</v>
      </c>
      <c r="CY1" t="s">
        <v>7</v>
      </c>
      <c r="CZ1" t="s">
        <v>8</v>
      </c>
      <c r="DA1">
        <v>6</v>
      </c>
      <c r="DB1" t="s">
        <v>9</v>
      </c>
    </row>
    <row r="2" spans="1:106" x14ac:dyDescent="0.25">
      <c r="A2" t="s">
        <v>10</v>
      </c>
      <c r="CZ2" t="s">
        <v>11</v>
      </c>
    </row>
    <row r="3" spans="1:106" x14ac:dyDescent="0.25">
      <c r="CZ3" t="s">
        <v>12</v>
      </c>
    </row>
    <row r="4" spans="1:106" x14ac:dyDescent="0.25">
      <c r="A4" t="s">
        <v>13</v>
      </c>
      <c r="B4" t="s">
        <v>14</v>
      </c>
      <c r="CZ4" t="s">
        <v>15</v>
      </c>
    </row>
    <row r="5" spans="1:106" x14ac:dyDescent="0.25">
      <c r="A5" t="s">
        <v>16</v>
      </c>
      <c r="B5" s="1">
        <v>42694.533668981501</v>
      </c>
      <c r="CZ5" t="s">
        <v>8</v>
      </c>
    </row>
    <row r="6" spans="1:106" x14ac:dyDescent="0.25">
      <c r="A6" t="s">
        <v>17</v>
      </c>
      <c r="B6">
        <v>231100</v>
      </c>
      <c r="CZ6" t="s">
        <v>11</v>
      </c>
    </row>
    <row r="7" spans="1:106" x14ac:dyDescent="0.25">
      <c r="A7" t="s">
        <v>18</v>
      </c>
      <c r="B7" t="s">
        <v>19</v>
      </c>
      <c r="CZ7" t="s">
        <v>8</v>
      </c>
    </row>
    <row r="8" spans="1:106" x14ac:dyDescent="0.25">
      <c r="A8" t="s">
        <v>20</v>
      </c>
      <c r="B8" t="s">
        <v>21</v>
      </c>
      <c r="CZ8" t="s">
        <v>22</v>
      </c>
    </row>
    <row r="9" spans="1:106" x14ac:dyDescent="0.25">
      <c r="A9" t="s">
        <v>23</v>
      </c>
      <c r="CZ9" t="s">
        <v>24</v>
      </c>
    </row>
    <row r="10" spans="1:106" x14ac:dyDescent="0.25">
      <c r="CZ10" t="s">
        <v>25</v>
      </c>
    </row>
    <row r="11" spans="1:106" x14ac:dyDescent="0.25">
      <c r="A11" t="s">
        <v>26</v>
      </c>
      <c r="CZ11" t="s">
        <v>27</v>
      </c>
    </row>
    <row r="12" spans="1:106" x14ac:dyDescent="0.25">
      <c r="A12" t="s">
        <v>28</v>
      </c>
      <c r="B12" t="s">
        <v>29</v>
      </c>
      <c r="CZ12" t="s">
        <v>30</v>
      </c>
    </row>
    <row r="13" spans="1:106" x14ac:dyDescent="0.25">
      <c r="A13" t="s">
        <v>31</v>
      </c>
      <c r="B13" t="s">
        <v>32</v>
      </c>
      <c r="CZ13" t="s">
        <v>33</v>
      </c>
    </row>
    <row r="14" spans="1:106" x14ac:dyDescent="0.25">
      <c r="CZ14" t="s">
        <v>34</v>
      </c>
    </row>
    <row r="15" spans="1:106" x14ac:dyDescent="0.25">
      <c r="A15" t="s">
        <v>35</v>
      </c>
      <c r="B15" t="s">
        <v>36</v>
      </c>
      <c r="CZ15" t="s">
        <v>37</v>
      </c>
    </row>
    <row r="16" spans="1:106" x14ac:dyDescent="0.25">
      <c r="CZ16" t="s">
        <v>15</v>
      </c>
    </row>
    <row r="17" spans="1:104" x14ac:dyDescent="0.25">
      <c r="A17" t="s">
        <v>38</v>
      </c>
      <c r="B17" t="s">
        <v>39</v>
      </c>
      <c r="CZ17" t="s">
        <v>40</v>
      </c>
    </row>
    <row r="18" spans="1:104" x14ac:dyDescent="0.25">
      <c r="A18" t="s">
        <v>41</v>
      </c>
      <c r="B18" t="s">
        <v>42</v>
      </c>
      <c r="CZ18" t="s">
        <v>43</v>
      </c>
    </row>
    <row r="19" spans="1:104" x14ac:dyDescent="0.25">
      <c r="A19" t="s">
        <v>44</v>
      </c>
      <c r="B19" t="s">
        <v>45</v>
      </c>
      <c r="CZ19" t="s">
        <v>46</v>
      </c>
    </row>
    <row r="20" spans="1:104" x14ac:dyDescent="0.25">
      <c r="A20" t="s">
        <v>41</v>
      </c>
      <c r="B20" t="s">
        <v>47</v>
      </c>
      <c r="K20" t="s">
        <v>48</v>
      </c>
      <c r="CZ20" t="s">
        <v>49</v>
      </c>
    </row>
    <row r="21" spans="1:104" x14ac:dyDescent="0.25">
      <c r="A21" t="s">
        <v>41</v>
      </c>
      <c r="B21" t="s">
        <v>50</v>
      </c>
      <c r="K21" t="s">
        <v>51</v>
      </c>
      <c r="CZ21" t="s">
        <v>12</v>
      </c>
    </row>
    <row r="22" spans="1:104" x14ac:dyDescent="0.25">
      <c r="A22" t="s">
        <v>41</v>
      </c>
      <c r="B22" t="s">
        <v>52</v>
      </c>
      <c r="K22" t="s">
        <v>53</v>
      </c>
      <c r="CZ22" t="s">
        <v>54</v>
      </c>
    </row>
    <row r="23" spans="1:104" x14ac:dyDescent="0.25">
      <c r="A23" t="s">
        <v>55</v>
      </c>
      <c r="B23" t="s">
        <v>56</v>
      </c>
      <c r="K23">
        <v>0</v>
      </c>
      <c r="CZ23" t="s">
        <v>57</v>
      </c>
    </row>
    <row r="24" spans="1:104" x14ac:dyDescent="0.25">
      <c r="CZ24" t="s">
        <v>58</v>
      </c>
    </row>
    <row r="25" spans="1:104" x14ac:dyDescent="0.25">
      <c r="A25" t="s">
        <v>59</v>
      </c>
      <c r="CZ25" t="s">
        <v>60</v>
      </c>
    </row>
    <row r="26" spans="1:104" x14ac:dyDescent="0.25">
      <c r="CZ26" t="s">
        <v>61</v>
      </c>
    </row>
    <row r="27" spans="1:104" x14ac:dyDescent="0.25">
      <c r="A27" t="s">
        <v>62</v>
      </c>
      <c r="B27" t="s">
        <v>63</v>
      </c>
      <c r="CZ27" t="s">
        <v>64</v>
      </c>
    </row>
    <row r="28" spans="1:104" x14ac:dyDescent="0.25">
      <c r="A28" t="s">
        <v>65</v>
      </c>
      <c r="B28" t="s">
        <v>66</v>
      </c>
      <c r="CZ28" t="s">
        <v>67</v>
      </c>
    </row>
    <row r="29" spans="1:104" x14ac:dyDescent="0.25">
      <c r="CZ29" t="s">
        <v>68</v>
      </c>
    </row>
    <row r="30" spans="1:104" x14ac:dyDescent="0.25">
      <c r="CZ30" t="s">
        <v>69</v>
      </c>
    </row>
    <row r="31" spans="1:104" x14ac:dyDescent="0.25">
      <c r="CZ31" t="s">
        <v>70</v>
      </c>
    </row>
    <row r="32" spans="1:104" x14ac:dyDescent="0.25">
      <c r="CZ32" t="s">
        <v>71</v>
      </c>
    </row>
    <row r="33" spans="104:104" x14ac:dyDescent="0.25">
      <c r="CZ33" t="s">
        <v>72</v>
      </c>
    </row>
    <row r="34" spans="104:104" x14ac:dyDescent="0.25">
      <c r="CZ34" t="s">
        <v>73</v>
      </c>
    </row>
    <row r="35" spans="104:104" x14ac:dyDescent="0.25">
      <c r="CZ35" t="s">
        <v>74</v>
      </c>
    </row>
    <row r="36" spans="104:104" x14ac:dyDescent="0.25">
      <c r="CZ36" t="s">
        <v>75</v>
      </c>
    </row>
    <row r="37" spans="104:104" x14ac:dyDescent="0.25">
      <c r="CZ37" t="s">
        <v>76</v>
      </c>
    </row>
    <row r="38" spans="104:104" x14ac:dyDescent="0.25">
      <c r="CZ38" t="s">
        <v>77</v>
      </c>
    </row>
    <row r="39" spans="104:104" x14ac:dyDescent="0.25">
      <c r="CZ39" t="s">
        <v>78</v>
      </c>
    </row>
    <row r="40" spans="104:104" x14ac:dyDescent="0.25">
      <c r="CZ40" t="s">
        <v>79</v>
      </c>
    </row>
    <row r="41" spans="104:104" x14ac:dyDescent="0.25">
      <c r="CZ41" t="s">
        <v>80</v>
      </c>
    </row>
    <row r="42" spans="104:104" x14ac:dyDescent="0.25">
      <c r="CZ42" t="s">
        <v>81</v>
      </c>
    </row>
    <row r="43" spans="104:104" x14ac:dyDescent="0.25">
      <c r="CZ43" t="s">
        <v>82</v>
      </c>
    </row>
    <row r="44" spans="104:104" x14ac:dyDescent="0.25">
      <c r="CZ44" t="s">
        <v>83</v>
      </c>
    </row>
    <row r="45" spans="104:104" x14ac:dyDescent="0.25">
      <c r="CZ45" t="s">
        <v>84</v>
      </c>
    </row>
    <row r="46" spans="104:104" x14ac:dyDescent="0.25">
      <c r="CZ46" t="s">
        <v>85</v>
      </c>
    </row>
    <row r="47" spans="104:104" x14ac:dyDescent="0.25">
      <c r="CZ47" t="s">
        <v>86</v>
      </c>
    </row>
    <row r="48" spans="104:104" x14ac:dyDescent="0.25">
      <c r="CZ48" t="s">
        <v>87</v>
      </c>
    </row>
    <row r="49" spans="104:104" x14ac:dyDescent="0.25">
      <c r="CZ49" t="s">
        <v>88</v>
      </c>
    </row>
    <row r="50" spans="104:104" x14ac:dyDescent="0.25">
      <c r="CZ50" t="s">
        <v>89</v>
      </c>
    </row>
    <row r="51" spans="104:104" x14ac:dyDescent="0.25">
      <c r="CZ51" t="s">
        <v>90</v>
      </c>
    </row>
    <row r="52" spans="104:104" x14ac:dyDescent="0.25">
      <c r="CZ52" t="s">
        <v>91</v>
      </c>
    </row>
    <row r="53" spans="104:104" x14ac:dyDescent="0.25">
      <c r="CZ53" t="s">
        <v>92</v>
      </c>
    </row>
    <row r="54" spans="104:104" x14ac:dyDescent="0.25">
      <c r="CZ54" t="s">
        <v>93</v>
      </c>
    </row>
    <row r="55" spans="104:104" x14ac:dyDescent="0.25">
      <c r="CZ55" t="s">
        <v>94</v>
      </c>
    </row>
    <row r="56" spans="104:104" x14ac:dyDescent="0.25">
      <c r="CZ56" t="s">
        <v>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C679FACBF767418D4D2AF9C5803E0B" ma:contentTypeVersion="76" ma:contentTypeDescription="" ma:contentTypeScope="" ma:versionID="f058cda35981f7a69f184a1697251f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6F60F24-826B-4847-9CE1-A2E900740A83}"/>
</file>

<file path=customXml/itemProps2.xml><?xml version="1.0" encoding="utf-8"?>
<ds:datastoreItem xmlns:ds="http://schemas.openxmlformats.org/officeDocument/2006/customXml" ds:itemID="{B04F67F3-C470-48AE-896A-3A44CE184995}"/>
</file>

<file path=customXml/itemProps3.xml><?xml version="1.0" encoding="utf-8"?>
<ds:datastoreItem xmlns:ds="http://schemas.openxmlformats.org/officeDocument/2006/customXml" ds:itemID="{D8C997C0-77BB-45C6-8E8F-2078B2DE03BF}"/>
</file>

<file path=customXml/itemProps4.xml><?xml version="1.0" encoding="utf-8"?>
<ds:datastoreItem xmlns:ds="http://schemas.openxmlformats.org/officeDocument/2006/customXml" ds:itemID="{8CB8972C-67D7-4323-84D3-D49549CE13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Gas Rate Base - Plant Detail</vt:lpstr>
      <vt:lpstr>Scenario Info</vt:lpstr>
      <vt:lpstr>'Gas Rate Base - Plant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Winne, Pete</dc:creator>
  <cp:lastModifiedBy>kbarnard</cp:lastModifiedBy>
  <cp:lastPrinted>2017-09-20T17:30:57Z</cp:lastPrinted>
  <dcterms:created xsi:type="dcterms:W3CDTF">2016-11-20T20:53:19Z</dcterms:created>
  <dcterms:modified xsi:type="dcterms:W3CDTF">2018-04-05T15:30:22Z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0x0101006E56B4D1795A2E4DB2F0B01679ED314A00A3C679FACBF767418D4D2AF9C5803E0B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