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7-08-01 WUSF Petition\Tenino Telephone Company\"/>
    </mc:Choice>
  </mc:AlternateContent>
  <bookViews>
    <workbookView xWindow="0" yWindow="0" windowWidth="26835" windowHeight="12750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C38" i="13" l="1"/>
  <c r="C35" i="13"/>
  <c r="C13" i="13"/>
  <c r="G19" i="12"/>
  <c r="B10" i="12"/>
  <c r="D11" i="8" l="1"/>
  <c r="D10" i="8"/>
  <c r="C38" i="1" l="1"/>
  <c r="C35" i="1"/>
  <c r="C26" i="1"/>
  <c r="C11" i="8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<sst xmlns="http://schemas.openxmlformats.org/spreadsheetml/2006/main" count="630" uniqueCount="269">
  <si>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</si>
  <si>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</si>
  <si>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</si>
  <si>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</si>
  <si>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</si>
  <si>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</si>
  <si>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</si>
  <si>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</si>
  <si>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</si>
  <si>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</si>
  <si>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</si>
  <si>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</si>
  <si>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</si>
  <si>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</si>
  <si>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</si>
  <si>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</si>
  <si>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</si>
  <si>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</si>
  <si>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</si>
  <si>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</si>
  <si>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</si>
  <si>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</si>
  <si>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</si>
  <si>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</si>
  <si>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</si>
  <si>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</si>
  <si>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</si>
  <si>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</si>
  <si>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</si>
  <si>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</si>
  <si>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</si>
  <si>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</si>
  <si>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</si>
  <si>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</si>
  <si>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</si>
  <si>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</si>
  <si>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</si>
  <si>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</si>
  <si>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</si>
  <si>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</si>
  <si>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</si>
  <si>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</si>
  <si>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</si>
  <si>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</si>
  <si>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</si>
  <si>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</si>
  <si>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</si>
  <si>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</si>
  <si>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</si>
  <si>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</si>
  <si>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</si>
  <si>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</si>
  <si>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</si>
  <si>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</si>
  <si>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</si>
  <si>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</si>
  <si>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</si>
  <si>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</si>
  <si>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</si>
  <si>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</si>
  <si>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</si>
  <si>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</si>
  <si>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</si>
  <si>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</si>
  <si>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</si>
  <si>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</si>
  <si>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</si>
  <si>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</si>
  <si>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</si>
  <si>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</si>
  <si>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</si>
  <si>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</si>
  <si>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</si>
  <si>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</si>
  <si>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</si>
  <si>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</si>
  <si>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</si>
  <si>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</si>
  <si>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</si>
  <si>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</si>
  <si>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</si>
  <si>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</si>
  <si>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</si>
  <si>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</si>
  <si>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</si>
  <si>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</si>
  <si>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</si>
  <si>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</si>
  <si>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</si>
  <si>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</si>
  <si>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</si>
  <si>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</si>
  <si>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</si>
  <si>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</si>
  <si>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</si>
  <si>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</si>
  <si>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</si>
  <si>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</si>
  <si>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</si>
  <si>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</si>
  <si>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</si>
  <si>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</si>
  <si>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</si>
  <si>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</si>
  <si>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</si>
  <si>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</si>
  <si>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</si>
  <si>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</si>
  <si>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</si>
  <si>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</si>
  <si>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</si>
  <si>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</si>
  <si>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</si>
  <si>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</si>
  <si>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</si>
  <si>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</si>
  <si>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</si>
  <si>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</si>
  <si>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</si>
  <si>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</si>
  <si>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</si>
  <si>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</si>
  <si>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</si>
  <si>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</si>
  <si>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</si>
  <si>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</si>
  <si>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</si>
  <si>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</si>
  <si>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</si>
  <si>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</si>
  <si>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</si>
  <si>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</si>
  <si>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</si>
  <si>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</si>
  <si>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</si>
  <si>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</si>
  <si>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</si>
  <si>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</si>
  <si>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</si>
  <si>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</si>
  <si>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</si>
  <si>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</si>
  <si>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</si>
  <si>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</si>
  <si>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</si>
  <si>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</si>
  <si>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</si>
  <si>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</si>
  <si>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</si>
  <si>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</si>
  <si>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</si>
  <si>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</si>
  <si>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</si>
  <si>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</si>
  <si>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</si>
  <si>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</si>
  <si>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</si>
  <si>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</si>
  <si>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</si>
  <si>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</si>
  <si>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</si>
  <si>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</si>
  <si>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</si>
  <si>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</si>
  <si>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</si>
  <si>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</si>
  <si>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</si>
  <si>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</si>
  <si>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</si>
  <si>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</si>
  <si>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</si>
  <si>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</si>
  <si>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</si>
  <si>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</si>
  <si>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</si>
  <si>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</si>
  <si>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</si>
  <si>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</si>
  <si>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</si>
  <si>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</si>
  <si>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</si>
  <si>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</si>
  <si>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</si>
  <si>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</si>
  <si>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</si>
  <si>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</si>
  <si>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</si>
  <si>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</si>
  <si>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</si>
  <si>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</si>
  <si>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</si>
  <si>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</si>
  <si>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</si>
  <si>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</si>
  <si>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</si>
  <si>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</si>
  <si>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</si>
  <si>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</si>
  <si>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</si>
  <si>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</si>
  <si>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</si>
  <si>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</si>
  <si>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</si>
  <si>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</si>
  <si>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</si>
  <si>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</si>
  <si>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</si>
  <si>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</si>
  <si>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</si>
  <si>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</si>
  <si>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</si>
  <si>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</si>
  <si>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</si>
  <si>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</si>
  <si>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</si>
  <si>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</si>
  <si>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</si>
  <si>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</si>
  <si>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</si>
  <si>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</si>
  <si>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</si>
  <si>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</si>
  <si>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</si>
  <si>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</si>
  <si>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</si>
  <si>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</si>
  <si>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</si>
  <si>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</si>
  <si>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</si>
  <si>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</si>
  <si>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</si>
  <si>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</si>
  <si>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</si>
  <si>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</si>
  <si>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</si>
  <si>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</si>
  <si>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</si>
  <si>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</si>
  <si>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</si>
  <si>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</si>
  <si>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</si>
  <si>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</si>
  <si>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</si>
  <si>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</si>
  <si>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</si>
  <si>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</si>
  <si>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</si>
  <si>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</si>
  <si>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</si>
  <si>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</si>
  <si>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</si>
  <si>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</si>
  <si>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</si>
  <si>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</si>
  <si>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</si>
  <si>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</si>
  <si>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</si>
  <si>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</si>
  <si>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</si>
  <si>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</si>
  <si>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</si>
  <si>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</si>
  <si>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</si>
  <si>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</si>
  <si>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</si>
  <si>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</si>
  <si>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</si>
  <si>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</si>
  <si>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Tenino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</si>
</sst>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22" sqref="E22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Tenino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360173</v>
      </c>
      <c r="E9" s="55">
        <v>372956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118371</v>
      </c>
      <c r="E11" s="52">
        <v>78597</v>
      </c>
    </row>
    <row r="12" spans="1:5" x14ac:dyDescent="0.25">
      <c r="A12" s="10" t="s">
        <v>183</v>
      </c>
      <c r="B12" s="17" t="s">
        <v>210</v>
      </c>
      <c r="C12" s="10"/>
      <c r="D12" s="52">
        <v>503858</v>
      </c>
      <c r="E12" s="52">
        <v>305877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3856</v>
      </c>
      <c r="E14" s="52">
        <v>2819</v>
      </c>
    </row>
    <row r="15" spans="1:5" x14ac:dyDescent="0.25">
      <c r="A15" s="10" t="s">
        <v>185</v>
      </c>
      <c r="B15" s="17" t="s">
        <v>148</v>
      </c>
      <c r="C15" s="10"/>
      <c r="D15" s="52">
        <v>214058</v>
      </c>
      <c r="E15" s="52">
        <v>468706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1059995</v>
      </c>
      <c r="E16" s="52">
        <v>1010793</v>
      </c>
    </row>
    <row r="17" spans="1:5" x14ac:dyDescent="0.25">
      <c r="A17" s="10">
        <v>5</v>
      </c>
      <c r="B17" s="17" t="s">
        <v>199</v>
      </c>
      <c r="C17" s="10"/>
      <c r="D17" s="52">
        <v>195772</v>
      </c>
      <c r="E17" s="52">
        <v>226222</v>
      </c>
    </row>
    <row r="18" spans="1:5" x14ac:dyDescent="0.25">
      <c r="A18" s="10">
        <v>6</v>
      </c>
      <c r="B18" s="17" t="s">
        <v>170</v>
      </c>
      <c r="C18" s="11"/>
      <c r="D18" s="53"/>
      <c r="E18" s="53">
        <v>82</v>
      </c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2456083</v>
      </c>
      <c r="E19" s="35">
        <f>E9+E11+E12+E14+E15+E16+E17+E18</f>
        <v>2466052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2456083</v>
      </c>
      <c r="E20" s="37">
        <f>IncomeStmtSummary!D10</f>
        <v>2466052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Tenino Telephone Company</v>
      </c>
      <c r="B3" s="66"/>
    </row>
    <row r="6" spans="1:5" x14ac:dyDescent="0.25">
      <c r="A6" s="9" t="s">
        <v>257</v>
      </c>
      <c r="B6" s="9" t="s">
        <v>230</v>
      </c>
      <c r="C6" s="6"/>
      <c r="D6" s="123" t="s">
        <v>195</v>
      </c>
      <c r="E6" s="124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A13" sqref="A13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Tenino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1559639</v>
      </c>
      <c r="D10" s="82">
        <f>C10</f>
        <v>1559639</v>
      </c>
    </row>
    <row r="11" spans="1:4" x14ac:dyDescent="0.25">
      <c r="A11" s="75">
        <v>2</v>
      </c>
      <c r="B11" s="79" t="s">
        <v>177</v>
      </c>
      <c r="C11" s="94">
        <f>'RateBase '!E15</f>
        <v>1327123</v>
      </c>
      <c r="D11" s="94">
        <f>C11</f>
        <v>1327123</v>
      </c>
    </row>
    <row r="12" spans="1:4" x14ac:dyDescent="0.25">
      <c r="A12" s="75">
        <v>3</v>
      </c>
      <c r="B12" s="90" t="s">
        <v>178</v>
      </c>
      <c r="C12" s="80">
        <f>(C10+C11)/2</f>
        <v>1443381</v>
      </c>
      <c r="D12" s="80">
        <f>(D10+D11)/2</f>
        <v>1443381</v>
      </c>
    </row>
    <row r="13" spans="1:4" x14ac:dyDescent="0.25">
      <c r="A13" s="75">
        <v>4</v>
      </c>
      <c r="B13" s="79" t="s">
        <v>179</v>
      </c>
      <c r="C13" s="58">
        <f>IncomeStmtSummary!D29</f>
        <v>-507081</v>
      </c>
      <c r="D13" s="58">
        <f>C13</f>
        <v>-507081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-507081</v>
      </c>
      <c r="D15" s="80">
        <f>D13+D14</f>
        <v>-507081</v>
      </c>
    </row>
    <row r="16" spans="1:4" x14ac:dyDescent="0.25">
      <c r="A16" s="75">
        <v>7</v>
      </c>
      <c r="B16" s="90" t="s">
        <v>180</v>
      </c>
      <c r="C16" s="81">
        <f>C15/C12</f>
        <v>-0.35131472563377236</v>
      </c>
      <c r="D16" s="81">
        <f>D15/D12</f>
        <v>-0.35131472563377236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9" zoomScaleNormal="100" workbookViewId="0">
      <selection activeCell="B42" sqref="B42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4348514</v>
      </c>
      <c r="C10" s="54"/>
      <c r="D10" s="58">
        <f>SUM(B10:C10)</f>
        <v>4348514</v>
      </c>
      <c r="E10" s="17"/>
      <c r="F10" s="17" t="s">
        <v>78</v>
      </c>
      <c r="G10" s="52">
        <v>101923</v>
      </c>
      <c r="H10" s="54"/>
      <c r="I10" s="58">
        <f>SUM(G10:H10)</f>
        <v>101923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/>
      <c r="C14" s="54"/>
      <c r="D14" s="58">
        <f>SUM(B14:C14)</f>
        <v>0</v>
      </c>
      <c r="E14" s="17"/>
      <c r="F14" s="17" t="s">
        <v>84</v>
      </c>
      <c r="G14" s="52"/>
      <c r="H14" s="54"/>
      <c r="I14" s="58">
        <f t="shared" si="0"/>
        <v>0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117096</v>
      </c>
      <c r="C17" s="54"/>
      <c r="D17" s="58">
        <f>SUM(B17:C17)</f>
        <v>117096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>
        <v>87786</v>
      </c>
      <c r="H18" s="54"/>
      <c r="I18" s="58">
        <f t="shared" si="0"/>
        <v>87786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220675</v>
      </c>
      <c r="H19" s="113"/>
      <c r="I19" s="59">
        <f t="shared" si="0"/>
        <v>220675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410384</v>
      </c>
      <c r="H20" s="58">
        <f>SUM(H10:H19)</f>
        <v>0</v>
      </c>
      <c r="I20" s="58">
        <f t="shared" ref="I20" si="3">SUM(I10:I19)</f>
        <v>410384</v>
      </c>
    </row>
    <row r="21" spans="1:9" x14ac:dyDescent="0.25">
      <c r="A21" s="17" t="s">
        <v>49</v>
      </c>
      <c r="B21" s="52"/>
      <c r="C21" s="54"/>
      <c r="D21" s="58">
        <f t="shared" si="2"/>
        <v>0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77405</v>
      </c>
      <c r="C24" s="113"/>
      <c r="D24" s="59">
        <f t="shared" si="2"/>
        <v>77405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4543015</v>
      </c>
      <c r="C25" s="58">
        <f>C10+C11+C13+C14+C15+C17+C18+C19+C20+C21+C22+C23+C24</f>
        <v>0</v>
      </c>
      <c r="D25" s="58">
        <f t="shared" ref="D25" si="5">D10+D11+D13+D14+D15+D17+D18+D19+D20+D21+D22+D23+D24</f>
        <v>4543015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>
        <v>44579</v>
      </c>
      <c r="H30" s="54"/>
      <c r="I30" s="58">
        <f t="shared" si="6"/>
        <v>44579</v>
      </c>
    </row>
    <row r="31" spans="1:9" x14ac:dyDescent="0.25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44579</v>
      </c>
      <c r="H32" s="121">
        <f>SUM(H22:H31)</f>
        <v>0</v>
      </c>
      <c r="I32" s="121">
        <f>SUM(I22:I31)</f>
        <v>44579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>
        <v>3000</v>
      </c>
      <c r="C34" s="54"/>
      <c r="D34" s="58">
        <f t="shared" ref="D34:D38" si="7">SUM(B34:C34)</f>
        <v>3000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/>
      <c r="C35" s="69">
        <f>-1*(C25+C30+C31+C33+C34+C36+C37+C38+C47)</f>
        <v>3859</v>
      </c>
      <c r="D35" s="58">
        <f t="shared" si="7"/>
        <v>3859</v>
      </c>
      <c r="E35" s="17"/>
      <c r="F35" s="18" t="s">
        <v>236</v>
      </c>
      <c r="G35" s="52"/>
      <c r="H35" s="52"/>
      <c r="I35" s="58">
        <f>SUM(G35:H35)</f>
        <v>0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>
        <v>609276</v>
      </c>
      <c r="C38" s="113">
        <v>-795</v>
      </c>
      <c r="D38" s="59">
        <f t="shared" si="7"/>
        <v>608481</v>
      </c>
      <c r="E38" s="17"/>
      <c r="F38" s="17" t="s">
        <v>237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65</v>
      </c>
      <c r="B39" s="58">
        <f>B30+B31+B33+B34+B35+B36+B37+B38</f>
        <v>612276</v>
      </c>
      <c r="C39" s="58">
        <f>C30+C31+C33+C34+C35+C36+C37+C38</f>
        <v>3064</v>
      </c>
      <c r="D39" s="58">
        <f>D30+D31+D33+D34+D35+D36+D37+D38</f>
        <v>615340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97200</v>
      </c>
      <c r="H40" s="22"/>
      <c r="I40" s="58">
        <f>SUM(G40:H40)</f>
        <v>97200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23224226</v>
      </c>
      <c r="C42" s="52">
        <v>-30448</v>
      </c>
      <c r="D42" s="58">
        <f>SUM(B42:C42)</f>
        <v>23193778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62438</v>
      </c>
      <c r="C44" s="52"/>
      <c r="D44" s="58">
        <f t="shared" si="10"/>
        <v>62438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-21661523</v>
      </c>
      <c r="C46" s="53">
        <v>27384</v>
      </c>
      <c r="D46" s="59">
        <f t="shared" si="10"/>
        <v>-21634139</v>
      </c>
      <c r="E46" s="17"/>
      <c r="F46" s="17" t="s">
        <v>243</v>
      </c>
      <c r="G46" s="53">
        <v>6228269</v>
      </c>
      <c r="H46" s="95">
        <f>-1*(H20+H32+H38)</f>
        <v>0</v>
      </c>
      <c r="I46" s="59">
        <f t="shared" si="9"/>
        <v>6228269</v>
      </c>
    </row>
    <row r="47" spans="1:9" x14ac:dyDescent="0.25">
      <c r="A47" s="17" t="s">
        <v>71</v>
      </c>
      <c r="B47" s="58">
        <f>B42+B43+B44+B45+B46</f>
        <v>1625141</v>
      </c>
      <c r="C47" s="58">
        <f t="shared" ref="C47:D47" si="11">C42+C43+C44+C45+C46</f>
        <v>-3064</v>
      </c>
      <c r="D47" s="58">
        <f t="shared" si="11"/>
        <v>1622077</v>
      </c>
      <c r="E47" s="17"/>
      <c r="F47" s="17" t="s">
        <v>244</v>
      </c>
      <c r="G47" s="58">
        <f>SUM(G40:G46)</f>
        <v>6325469</v>
      </c>
      <c r="H47" s="61">
        <f t="shared" ref="H47:I47" si="12">SUM(H40:H46)</f>
        <v>0</v>
      </c>
      <c r="I47" s="58">
        <f t="shared" si="12"/>
        <v>6325469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6780432</v>
      </c>
      <c r="C49" s="60">
        <f>C25+C39+C47</f>
        <v>0</v>
      </c>
      <c r="D49" s="60">
        <f>D25+D39+D47</f>
        <v>6780432</v>
      </c>
      <c r="E49" s="19"/>
      <c r="F49" s="83" t="s">
        <v>248</v>
      </c>
      <c r="G49" s="60">
        <f>G20+G32+G38+G47</f>
        <v>6780432</v>
      </c>
      <c r="H49" s="60">
        <f>H20+H32+H38+H47</f>
        <v>0</v>
      </c>
      <c r="I49" s="60">
        <f>I20+I32+I38+I47</f>
        <v>6780432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6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Tenino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f>1083345+2999850</f>
        <v>4083195</v>
      </c>
      <c r="C10" s="54"/>
      <c r="D10" s="58">
        <f>SUM(B10:C10)</f>
        <v>4083195</v>
      </c>
      <c r="E10" s="17"/>
      <c r="F10" s="17" t="s">
        <v>78</v>
      </c>
      <c r="G10" s="52">
        <v>59516</v>
      </c>
      <c r="H10" s="54"/>
      <c r="I10" s="58">
        <f>SUM(G10:H10)</f>
        <v>59516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/>
      <c r="H14" s="54"/>
      <c r="I14" s="58">
        <f t="shared" si="0"/>
        <v>0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208680</v>
      </c>
      <c r="C17" s="54"/>
      <c r="D17" s="58">
        <f>SUM(B17:C17)</f>
        <v>208680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>
        <v>89661</v>
      </c>
      <c r="H18" s="54"/>
      <c r="I18" s="58">
        <f t="shared" si="0"/>
        <v>89661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f>120528+113143</f>
        <v>233671</v>
      </c>
      <c r="H19" s="113"/>
      <c r="I19" s="59">
        <f t="shared" si="0"/>
        <v>233671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382848</v>
      </c>
      <c r="H20" s="58">
        <f>SUM(H10:H19)</f>
        <v>0</v>
      </c>
      <c r="I20" s="58">
        <f t="shared" ref="I20" si="3">SUM(I10:I19)</f>
        <v>382848</v>
      </c>
    </row>
    <row r="21" spans="1:9" x14ac:dyDescent="0.25">
      <c r="A21" s="17" t="s">
        <v>49</v>
      </c>
      <c r="B21" s="52"/>
      <c r="C21" s="54"/>
      <c r="D21" s="58">
        <f t="shared" si="2"/>
        <v>0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2">
        <v>57125</v>
      </c>
      <c r="C24" s="113"/>
      <c r="D24" s="59">
        <f t="shared" si="2"/>
        <v>57125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4349000</v>
      </c>
      <c r="C25" s="58">
        <f>C10+C11+C13+C14+C15+C17+C18+C19+C20+C21+C22+C23+C24</f>
        <v>0</v>
      </c>
      <c r="D25" s="58">
        <f t="shared" ref="D25" si="5">D10+D11+D13+D14+D15+D17+D18+D19+D20+D21+D22+D23+D24</f>
        <v>4349000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>
        <v>123396</v>
      </c>
      <c r="H30" s="54"/>
      <c r="I30" s="58">
        <f t="shared" si="6"/>
        <v>123396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123396</v>
      </c>
      <c r="H32" s="82">
        <f>SUM(H22:H31)</f>
        <v>0</v>
      </c>
      <c r="I32" s="58">
        <f>SUM(I22:I31)</f>
        <v>123396</v>
      </c>
    </row>
    <row r="33" spans="1:11" x14ac:dyDescent="0.25">
      <c r="A33" s="17" t="s">
        <v>57</v>
      </c>
      <c r="B33" s="52">
        <v>3000</v>
      </c>
      <c r="C33" s="54"/>
      <c r="D33" s="58">
        <f>SUM(B33:C33)</f>
        <v>3000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/>
      <c r="C35" s="69">
        <f>-1*(C25+C30+C31+C33+C34+C36+C37+C38+C47)</f>
        <v>3524</v>
      </c>
      <c r="D35" s="58">
        <f t="shared" si="7"/>
        <v>3524</v>
      </c>
      <c r="E35" s="17"/>
      <c r="F35" s="18" t="s">
        <v>236</v>
      </c>
      <c r="G35" s="52"/>
      <c r="H35" s="52"/>
      <c r="I35" s="58">
        <f>SUM(G35:H35)</f>
        <v>0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>
        <v>657664</v>
      </c>
      <c r="C37" s="54">
        <v>-850</v>
      </c>
      <c r="D37" s="58">
        <f t="shared" si="7"/>
        <v>656814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65</v>
      </c>
      <c r="B39" s="58">
        <f>B30+B31+B33+B34+B35+B36+B37+B38</f>
        <v>660664</v>
      </c>
      <c r="C39" s="58">
        <f>C30+C31+C33+C34+C35+C36+C37+C38</f>
        <v>2674</v>
      </c>
      <c r="D39" s="58">
        <f t="shared" ref="D39" si="9">D30+D31+D33+D34+D35+D36+D37+D38</f>
        <v>663338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97200</v>
      </c>
      <c r="H40" s="22"/>
      <c r="I40" s="58">
        <f>SUM(G40:H40)</f>
        <v>97200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23701018</v>
      </c>
      <c r="C42" s="52">
        <v>-30700</v>
      </c>
      <c r="D42" s="58">
        <f>SUM(B42:C42)</f>
        <v>23670318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44258</v>
      </c>
      <c r="C44" s="52"/>
      <c r="D44" s="58">
        <f t="shared" si="11"/>
        <v>44258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-22371221</v>
      </c>
      <c r="C46" s="53">
        <v>28026</v>
      </c>
      <c r="D46" s="59">
        <f t="shared" si="11"/>
        <v>-22343195</v>
      </c>
      <c r="E46" s="17"/>
      <c r="F46" s="17" t="s">
        <v>243</v>
      </c>
      <c r="G46" s="53">
        <v>5780275</v>
      </c>
      <c r="H46" s="95">
        <f>-1*(H20+H32+H38)</f>
        <v>0</v>
      </c>
      <c r="I46" s="59">
        <f t="shared" si="10"/>
        <v>5780275</v>
      </c>
    </row>
    <row r="47" spans="1:11" x14ac:dyDescent="0.25">
      <c r="A47" s="17" t="s">
        <v>71</v>
      </c>
      <c r="B47" s="58">
        <f>B42+B43+B44+B45+B46</f>
        <v>1374055</v>
      </c>
      <c r="C47" s="58">
        <f t="shared" ref="C47:D47" si="12">C42+C43+C44+C45+C46</f>
        <v>-2674</v>
      </c>
      <c r="D47" s="58">
        <f t="shared" si="12"/>
        <v>1371381</v>
      </c>
      <c r="E47" s="17"/>
      <c r="F47" s="17" t="s">
        <v>244</v>
      </c>
      <c r="G47" s="58">
        <f>SUM(G40:G46)</f>
        <v>5877475</v>
      </c>
      <c r="H47" s="61">
        <f t="shared" ref="H47:I47" si="13">SUM(H40:H46)</f>
        <v>0</v>
      </c>
      <c r="I47" s="58">
        <f t="shared" si="13"/>
        <v>5877475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6383719</v>
      </c>
      <c r="C49" s="60">
        <f t="shared" ref="C49:D49" si="14">C25+C39+C47</f>
        <v>0</v>
      </c>
      <c r="D49" s="60">
        <f t="shared" si="14"/>
        <v>6383719</v>
      </c>
      <c r="E49" s="19"/>
      <c r="F49" s="83" t="s">
        <v>247</v>
      </c>
      <c r="G49" s="60">
        <f>G20+G32+G38+G47</f>
        <v>6383719</v>
      </c>
      <c r="H49" s="60">
        <f>H20+H32+H38+H47</f>
        <v>0</v>
      </c>
      <c r="I49" s="60">
        <f>I20+I32+I38+I47</f>
        <v>6383719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13" sqref="A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Tenino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4348514</v>
      </c>
      <c r="C10" s="32">
        <f>'CurrentYearBalanceSheet '!D10</f>
        <v>4083195</v>
      </c>
      <c r="D10" s="17"/>
      <c r="E10" s="17" t="s">
        <v>78</v>
      </c>
      <c r="F10" s="32">
        <f>PriorYearBalanceSheet!I10</f>
        <v>101923</v>
      </c>
      <c r="G10" s="32">
        <f>'CurrentYearBalanceSheet '!I10</f>
        <v>59516</v>
      </c>
    </row>
    <row r="11" spans="1:7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47</v>
      </c>
      <c r="B14" s="32">
        <f>PriorYearBalanceSheet!D14</f>
        <v>0</v>
      </c>
      <c r="C14" s="32">
        <f>'CurrentYearBalanceSheet '!D14</f>
        <v>0</v>
      </c>
      <c r="D14" s="17"/>
      <c r="E14" s="17" t="s">
        <v>84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117096</v>
      </c>
      <c r="C17" s="32">
        <f>'CurrentYearBalanceSheet '!D17</f>
        <v>208680</v>
      </c>
      <c r="D17" s="17"/>
      <c r="E17" s="17" t="s">
        <v>87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47</v>
      </c>
      <c r="B18" s="32">
        <f>PriorYearBalanceSheet!D18</f>
        <v>0</v>
      </c>
      <c r="C18" s="32">
        <f>'CurrentYearBalanceSheet '!D18</f>
        <v>0</v>
      </c>
      <c r="D18" s="17"/>
      <c r="E18" s="17" t="s">
        <v>88</v>
      </c>
      <c r="F18" s="32">
        <f>PriorYearBalanceSheet!I18</f>
        <v>87786</v>
      </c>
      <c r="G18" s="32">
        <f>'CurrentYearBalanceSheet '!I18</f>
        <v>89661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220675</v>
      </c>
      <c r="G19" s="32">
        <f>'CurrentYearBalanceSheet '!I19</f>
        <v>233671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410384</v>
      </c>
      <c r="G20" s="35">
        <f>SUM(G10:G19)</f>
        <v>382848</v>
      </c>
    </row>
    <row r="21" spans="1:7" x14ac:dyDescent="0.25">
      <c r="A21" s="17" t="s">
        <v>49</v>
      </c>
      <c r="B21" s="32">
        <f>PriorYearBalanceSheet!D21</f>
        <v>0</v>
      </c>
      <c r="C21" s="32">
        <f>'CurrentYearBalanceSheet '!D21</f>
        <v>0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51</v>
      </c>
      <c r="B23" s="32">
        <f>PriorYearBalanceSheet!D23</f>
        <v>0</v>
      </c>
      <c r="C23" s="32">
        <f>'CurrentYearBalanceSheet '!D23</f>
        <v>0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77405</v>
      </c>
      <c r="C24" s="33">
        <f>'CurrentYearBalanceSheet '!D24</f>
        <v>57125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41</v>
      </c>
      <c r="B25" s="32">
        <f>B10+B11+B13+B14+B15+B17+B18+B19+B20+B21+B22+B23+B24</f>
        <v>4543015</v>
      </c>
      <c r="C25" s="32">
        <f>C10+C11+C13+C14+C15+C17+C18+C19+C20+C21+C22+C23+C24</f>
        <v>4349000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44579</v>
      </c>
      <c r="G30" s="32">
        <f>'CurrentYearBalanceSheet '!I30</f>
        <v>123396</v>
      </c>
    </row>
    <row r="31" spans="1:7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44579</v>
      </c>
      <c r="G32" s="32">
        <f>SUM(G22:G31)</f>
        <v>123396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3000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3000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3859</v>
      </c>
      <c r="C35" s="32">
        <f>'CurrentYearBalanceSheet '!D35</f>
        <v>3524</v>
      </c>
      <c r="D35" s="17"/>
      <c r="E35" s="18" t="s">
        <v>236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0</v>
      </c>
      <c r="C37" s="32">
        <f>'CurrentYearBalanceSheet '!D37</f>
        <v>656814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608481</v>
      </c>
      <c r="C38" s="33">
        <f>'CurrentYearBalanceSheet '!D38</f>
        <v>0</v>
      </c>
      <c r="D38" s="17"/>
      <c r="E38" s="17" t="s">
        <v>237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65</v>
      </c>
      <c r="B39" s="32">
        <f>B30+B31+B33+B34+B35+B36+B37+B38</f>
        <v>615340</v>
      </c>
      <c r="C39" s="32">
        <f>C30+C31+C33+C34+C35+C36+C37+C38</f>
        <v>663338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97200</v>
      </c>
      <c r="G40" s="32">
        <f>'CurrentYearBalanceSheet '!I40</f>
        <v>97200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23193778</v>
      </c>
      <c r="C42" s="32">
        <f>'CurrentYearBalanceSheet '!D42</f>
        <v>23670318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62438</v>
      </c>
      <c r="C44" s="32">
        <f>'CurrentYearBalanceSheet '!D44</f>
        <v>44258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-21634139</v>
      </c>
      <c r="C46" s="33">
        <f>'CurrentYearBalanceSheet '!D46</f>
        <v>-22343195</v>
      </c>
      <c r="D46" s="17"/>
      <c r="E46" s="17" t="s">
        <v>252</v>
      </c>
      <c r="F46" s="33">
        <f>PriorYearBalanceSheet!I46</f>
        <v>6228269</v>
      </c>
      <c r="G46" s="33">
        <f>'CurrentYearBalanceSheet '!I46</f>
        <v>5780275</v>
      </c>
    </row>
    <row r="47" spans="1:7" x14ac:dyDescent="0.25">
      <c r="A47" s="17" t="s">
        <v>71</v>
      </c>
      <c r="B47" s="32">
        <f>SUM(B42:B46)</f>
        <v>1622077</v>
      </c>
      <c r="C47" s="32">
        <f>SUM(C42:C46)</f>
        <v>1371381</v>
      </c>
      <c r="D47" s="17"/>
      <c r="E47" s="17" t="s">
        <v>244</v>
      </c>
      <c r="F47" s="32">
        <f>SUM(F40:F46)</f>
        <v>6325469</v>
      </c>
      <c r="G47" s="32">
        <f>SUM(G40:G46)</f>
        <v>5877475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6780432</v>
      </c>
      <c r="C49" s="34">
        <f>C25+C39+C47</f>
        <v>6383719</v>
      </c>
      <c r="D49" s="17"/>
      <c r="E49" s="21" t="s">
        <v>245</v>
      </c>
      <c r="F49" s="34">
        <f>F20+F32+F38+F47</f>
        <v>6780432</v>
      </c>
      <c r="G49" s="34">
        <f>G20+G32+G38+G47</f>
        <v>6383719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13" sqref="A1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23193778</v>
      </c>
      <c r="E10" s="58">
        <f>'BalanceSheet(Summary)'!C42</f>
        <v>23670318</v>
      </c>
      <c r="F10" s="58">
        <f>(D10+E10)/2</f>
        <v>23432048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-21634139</v>
      </c>
      <c r="E12" s="58">
        <f>'BalanceSheet(Summary)'!C46</f>
        <v>-22343195</v>
      </c>
      <c r="F12" s="58">
        <f t="shared" ref="F12:F15" si="0">(D12+E12)/2</f>
        <v>-21988667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0</v>
      </c>
      <c r="E13" s="58">
        <f>'BalanceSheet(Summary)'!C21</f>
        <v>0</v>
      </c>
      <c r="F13" s="58">
        <f t="shared" si="0"/>
        <v>0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0</v>
      </c>
      <c r="E14" s="52">
        <f>'BalanceSheet(Summary)'!G35*-1</f>
        <v>0</v>
      </c>
      <c r="F14" s="58">
        <f t="shared" si="0"/>
        <v>0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1559639</v>
      </c>
      <c r="E15" s="62">
        <f>SUM(E10:E14)</f>
        <v>1327123</v>
      </c>
      <c r="F15" s="63">
        <f t="shared" si="0"/>
        <v>1443381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0" sqref="D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2135</v>
      </c>
      <c r="D10" s="52">
        <f>2085+13</f>
        <v>2098</v>
      </c>
      <c r="E10" s="32">
        <f>D10-C10</f>
        <v>-37</v>
      </c>
      <c r="F10" s="38">
        <f>E10/C10</f>
        <v>-1.7330210772833723E-2</v>
      </c>
    </row>
    <row r="11" spans="1:6" x14ac:dyDescent="0.25">
      <c r="A11" s="10">
        <v>2</v>
      </c>
      <c r="B11" s="19" t="s">
        <v>127</v>
      </c>
      <c r="C11" s="52">
        <f>112+317+43</f>
        <v>472</v>
      </c>
      <c r="D11" s="52">
        <f>412+39</f>
        <v>451</v>
      </c>
      <c r="E11" s="32">
        <f>D11-C11</f>
        <v>-21</v>
      </c>
      <c r="F11" s="38">
        <f t="shared" ref="F11:F12" si="0">E11/C11</f>
        <v>-4.4491525423728813E-2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2607</v>
      </c>
      <c r="D12" s="34">
        <f t="shared" ref="D12:E12" si="1">SUM(D10:D11)</f>
        <v>2549</v>
      </c>
      <c r="E12" s="34">
        <f t="shared" si="1"/>
        <v>-58</v>
      </c>
      <c r="F12" s="39">
        <f t="shared" si="0"/>
        <v>-2.2247794399693134E-2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C9" sqref="C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597828</v>
      </c>
      <c r="D9" s="52"/>
      <c r="E9" s="58">
        <f>SUM(C9:D9)</f>
        <v>597828</v>
      </c>
    </row>
    <row r="10" spans="1:6" x14ac:dyDescent="0.25">
      <c r="A10" s="10">
        <v>2</v>
      </c>
      <c r="B10" s="14" t="s">
        <v>2</v>
      </c>
      <c r="C10" s="52">
        <v>2456083</v>
      </c>
      <c r="D10" s="52"/>
      <c r="E10" s="58">
        <f t="shared" ref="E10:E14" si="0">SUM(C10:D10)</f>
        <v>2456083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31124</v>
      </c>
      <c r="D12" s="52"/>
      <c r="E12" s="58">
        <f t="shared" si="0"/>
        <v>31124</v>
      </c>
    </row>
    <row r="13" spans="1:6" x14ac:dyDescent="0.25">
      <c r="A13" s="10">
        <v>5</v>
      </c>
      <c r="B13" s="14" t="s">
        <v>5</v>
      </c>
      <c r="C13" s="52">
        <v>35510</v>
      </c>
      <c r="D13" s="52"/>
      <c r="E13" s="58">
        <f t="shared" si="0"/>
        <v>35510</v>
      </c>
    </row>
    <row r="14" spans="1:6" x14ac:dyDescent="0.25">
      <c r="A14" s="10">
        <v>6</v>
      </c>
      <c r="B14" s="14" t="s">
        <v>139</v>
      </c>
      <c r="C14" s="52">
        <v>-6348</v>
      </c>
      <c r="D14" s="52"/>
      <c r="E14" s="58">
        <f t="shared" si="0"/>
        <v>-6348</v>
      </c>
    </row>
    <row r="15" spans="1:6" x14ac:dyDescent="0.25">
      <c r="A15" s="10">
        <v>7</v>
      </c>
      <c r="B15" s="89" t="s">
        <v>138</v>
      </c>
      <c r="C15" s="97">
        <f>SUM(C9:C14)</f>
        <v>3114197</v>
      </c>
      <c r="D15" s="97">
        <f t="shared" ref="D15:E15" si="1">SUM(D9:D14)</f>
        <v>0</v>
      </c>
      <c r="E15" s="97">
        <f t="shared" si="1"/>
        <v>3114197</v>
      </c>
      <c r="F15" s="1"/>
    </row>
    <row r="16" spans="1:6" x14ac:dyDescent="0.25">
      <c r="A16" s="10">
        <v>8</v>
      </c>
      <c r="B16" s="14" t="s">
        <v>6</v>
      </c>
      <c r="C16" s="52">
        <v>1203498</v>
      </c>
      <c r="D16" s="52">
        <v>-4366</v>
      </c>
      <c r="E16" s="41">
        <f>SUM(C16:D16)</f>
        <v>1199132</v>
      </c>
    </row>
    <row r="17" spans="1:6" x14ac:dyDescent="0.25">
      <c r="A17" s="10">
        <v>9</v>
      </c>
      <c r="B17" s="14" t="s">
        <v>40</v>
      </c>
      <c r="C17" s="52">
        <v>690881</v>
      </c>
      <c r="D17" s="52"/>
      <c r="E17" s="41">
        <f t="shared" ref="E17:E21" si="2">SUM(C17:D17)</f>
        <v>690881</v>
      </c>
    </row>
    <row r="18" spans="1:6" x14ac:dyDescent="0.25">
      <c r="A18" s="10">
        <v>10</v>
      </c>
      <c r="B18" s="14" t="s">
        <v>7</v>
      </c>
      <c r="C18" s="52">
        <v>752503</v>
      </c>
      <c r="D18" s="52">
        <v>-960</v>
      </c>
      <c r="E18" s="41">
        <f t="shared" si="2"/>
        <v>751543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254369</v>
      </c>
      <c r="D20" s="52">
        <v>-4383</v>
      </c>
      <c r="E20" s="41">
        <f t="shared" si="2"/>
        <v>249986</v>
      </c>
    </row>
    <row r="21" spans="1:6" x14ac:dyDescent="0.25">
      <c r="A21" s="10">
        <v>13</v>
      </c>
      <c r="B21" s="14" t="s">
        <v>10</v>
      </c>
      <c r="C21" s="52">
        <v>680768</v>
      </c>
      <c r="D21" s="52">
        <v>-5488</v>
      </c>
      <c r="E21" s="41">
        <f t="shared" si="2"/>
        <v>675280</v>
      </c>
    </row>
    <row r="22" spans="1:6" x14ac:dyDescent="0.25">
      <c r="A22" s="10">
        <v>14</v>
      </c>
      <c r="B22" s="84" t="s">
        <v>260</v>
      </c>
      <c r="C22" s="97">
        <f>C16+C17+C18+C19+C20+C21</f>
        <v>3582019</v>
      </c>
      <c r="D22" s="97">
        <f>D16+D17+D18+D19+D20+D21</f>
        <v>-15197</v>
      </c>
      <c r="E22" s="98">
        <f>E16+E17+E18+E19+E20+E21</f>
        <v>3566822</v>
      </c>
      <c r="F22" s="1"/>
    </row>
    <row r="23" spans="1:6" x14ac:dyDescent="0.25">
      <c r="A23" s="10">
        <v>15</v>
      </c>
      <c r="B23" s="14" t="s">
        <v>14</v>
      </c>
      <c r="C23" s="58">
        <f>C15-C22</f>
        <v>-467822</v>
      </c>
      <c r="D23" s="58">
        <f>D15-D22</f>
        <v>15197</v>
      </c>
      <c r="E23" s="58">
        <f>E15-E22</f>
        <v>-452625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89365</v>
      </c>
      <c r="D25" s="114">
        <v>-94</v>
      </c>
      <c r="E25" s="58">
        <f t="shared" ref="E25:E27" si="3">SUM(C25:D25)</f>
        <v>89271</v>
      </c>
    </row>
    <row r="26" spans="1:6" x14ac:dyDescent="0.25">
      <c r="A26" s="10">
        <v>18</v>
      </c>
      <c r="B26" s="14" t="s">
        <v>200</v>
      </c>
      <c r="C26" s="52">
        <f>-187926</f>
        <v>-187926</v>
      </c>
      <c r="D26" s="54">
        <v>9988</v>
      </c>
      <c r="E26" s="58">
        <f t="shared" si="3"/>
        <v>-177938</v>
      </c>
    </row>
    <row r="27" spans="1:6" x14ac:dyDescent="0.25">
      <c r="A27" s="10">
        <v>19</v>
      </c>
      <c r="B27" s="14" t="s">
        <v>13</v>
      </c>
      <c r="C27" s="52"/>
      <c r="D27" s="114"/>
      <c r="E27" s="58">
        <f t="shared" si="3"/>
        <v>0</v>
      </c>
    </row>
    <row r="28" spans="1:6" x14ac:dyDescent="0.25">
      <c r="A28" s="10">
        <v>20</v>
      </c>
      <c r="B28" s="89" t="s">
        <v>12</v>
      </c>
      <c r="C28" s="80">
        <f>SUM(C25:C27)</f>
        <v>-98561</v>
      </c>
      <c r="D28" s="80">
        <f t="shared" ref="D28:E28" si="4">SUM(D25:D27)</f>
        <v>9894</v>
      </c>
      <c r="E28" s="99">
        <f t="shared" si="4"/>
        <v>-88667</v>
      </c>
    </row>
    <row r="29" spans="1:6" x14ac:dyDescent="0.25">
      <c r="A29" s="10">
        <v>21</v>
      </c>
      <c r="B29" s="89" t="s">
        <v>23</v>
      </c>
      <c r="C29" s="80">
        <f>C23+C24-C28</f>
        <v>-369261</v>
      </c>
      <c r="D29" s="80">
        <f>D23+D24-D28</f>
        <v>5303</v>
      </c>
      <c r="E29" s="99">
        <f>E23+E24-E28</f>
        <v>-363958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0</v>
      </c>
      <c r="D34" s="100">
        <f t="shared" ref="D34" si="6">SUM(D30:D33)</f>
        <v>0</v>
      </c>
      <c r="E34" s="80">
        <f>SUM(E30:E33)</f>
        <v>0</v>
      </c>
    </row>
    <row r="35" spans="1:10" x14ac:dyDescent="0.25">
      <c r="A35" s="10">
        <v>27</v>
      </c>
      <c r="B35" s="14" t="s">
        <v>19</v>
      </c>
      <c r="C35" s="52">
        <f>52081+6100</f>
        <v>58181</v>
      </c>
      <c r="D35" s="54"/>
      <c r="E35" s="32">
        <f>SUM(C35:D35)</f>
        <v>58181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f>39803-33315</f>
        <v>6488</v>
      </c>
      <c r="D38" s="69">
        <f>-1*(D29-D34)</f>
        <v>-5303</v>
      </c>
      <c r="E38" s="32">
        <f t="shared" si="7"/>
        <v>1185</v>
      </c>
    </row>
    <row r="39" spans="1:10" x14ac:dyDescent="0.25">
      <c r="A39" s="10">
        <v>31</v>
      </c>
      <c r="B39" s="89" t="s">
        <v>22</v>
      </c>
      <c r="C39" s="80">
        <f>C29-C34+C35+C36+C37+C38</f>
        <v>-304592</v>
      </c>
      <c r="D39" s="80">
        <f t="shared" ref="D39:E39" si="8">D29-D34+D35+D36+D37+D38</f>
        <v>0</v>
      </c>
      <c r="E39" s="80">
        <f t="shared" si="8"/>
        <v>-304592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6532861</v>
      </c>
      <c r="D41" s="54"/>
      <c r="E41" s="58">
        <f t="shared" ref="E41:E46" si="9">SUM(C41:D41)</f>
        <v>6532861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6228269</v>
      </c>
      <c r="D47" s="100">
        <f t="shared" ref="D47:E47" si="10">(D39+D41+D42)-(D43+D44+D45+D46)</f>
        <v>0</v>
      </c>
      <c r="E47" s="99">
        <f t="shared" si="10"/>
        <v>6228269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0</v>
      </c>
      <c r="D52" s="102"/>
      <c r="E52" s="32">
        <f>C52</f>
        <v>0</v>
      </c>
    </row>
    <row r="53" spans="1:7" x14ac:dyDescent="0.25">
      <c r="A53" s="10">
        <v>45</v>
      </c>
      <c r="B53" s="14" t="s">
        <v>36</v>
      </c>
      <c r="C53" s="103">
        <f>((C22+C28-C18-C19)/C15)</f>
        <v>0.87693713660375372</v>
      </c>
      <c r="D53" s="103" t="e">
        <f>((D22+D28-D18-D19)/D15)</f>
        <v>#DIV/0!</v>
      </c>
      <c r="E53" s="103">
        <f>((E22+E28-E18-E19)/E15)</f>
        <v>0.87554255559298266</v>
      </c>
    </row>
    <row r="54" spans="1:7" x14ac:dyDescent="0.25">
      <c r="A54" s="10">
        <v>46</v>
      </c>
      <c r="B54" s="14" t="s">
        <v>37</v>
      </c>
      <c r="C54" s="103">
        <f>((C22+C28+C34)/C15)</f>
        <v>1.1185734235823874</v>
      </c>
      <c r="D54" s="103" t="e">
        <f>((D22+D28+D34)/D15)</f>
        <v>#DIV/0!</v>
      </c>
      <c r="E54" s="103">
        <f>((E22+E28+E34)/E15)</f>
        <v>1.1168705769095533</v>
      </c>
    </row>
    <row r="55" spans="1:7" x14ac:dyDescent="0.25">
      <c r="A55" s="10">
        <v>47</v>
      </c>
      <c r="B55" s="14" t="s">
        <v>38</v>
      </c>
      <c r="C55" s="103" t="e">
        <f>((C39+C34)/C34)</f>
        <v>#DIV/0!</v>
      </c>
      <c r="D55" s="103" t="e">
        <f t="shared" ref="D55:E55" si="13">((D39+D34)/D34)</f>
        <v>#DIV/0!</v>
      </c>
      <c r="E55" s="103" t="e">
        <f t="shared" si="13"/>
        <v>#DIV/0!</v>
      </c>
    </row>
    <row r="56" spans="1:7" x14ac:dyDescent="0.25">
      <c r="A56" s="10">
        <v>48</v>
      </c>
      <c r="B56" s="14" t="s">
        <v>39</v>
      </c>
      <c r="C56" s="103" t="e">
        <f>(C39+C34+C18+C19)/C52</f>
        <v>#DIV/0!</v>
      </c>
      <c r="D56" s="103" t="e">
        <f>(D39+D34+D18+D19)/D52</f>
        <v>#DIV/0!</v>
      </c>
      <c r="E56" s="103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617895</v>
      </c>
      <c r="D9" s="52"/>
      <c r="E9" s="32">
        <f>SUM(C9:D9)</f>
        <v>617895</v>
      </c>
    </row>
    <row r="10" spans="1:6" x14ac:dyDescent="0.25">
      <c r="A10" s="10">
        <v>2</v>
      </c>
      <c r="B10" s="17" t="s">
        <v>2</v>
      </c>
      <c r="C10" s="52">
        <v>2466052</v>
      </c>
      <c r="D10" s="52"/>
      <c r="E10" s="32">
        <f t="shared" ref="E10:E14" si="0">SUM(C10:D10)</f>
        <v>2466052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28947</v>
      </c>
      <c r="D12" s="52"/>
      <c r="E12" s="32">
        <f t="shared" si="0"/>
        <v>28947</v>
      </c>
    </row>
    <row r="13" spans="1:6" x14ac:dyDescent="0.25">
      <c r="A13" s="10">
        <v>5</v>
      </c>
      <c r="B13" s="17" t="s">
        <v>5</v>
      </c>
      <c r="C13" s="52">
        <f>61854-28947</f>
        <v>32907</v>
      </c>
      <c r="D13" s="52"/>
      <c r="E13" s="32">
        <f t="shared" si="0"/>
        <v>32907</v>
      </c>
    </row>
    <row r="14" spans="1:6" x14ac:dyDescent="0.25">
      <c r="A14" s="10">
        <v>6</v>
      </c>
      <c r="B14" s="17" t="s">
        <v>139</v>
      </c>
      <c r="C14" s="52">
        <v>-8949</v>
      </c>
      <c r="D14" s="52"/>
      <c r="E14" s="32">
        <f t="shared" si="0"/>
        <v>-8949</v>
      </c>
    </row>
    <row r="15" spans="1:6" x14ac:dyDescent="0.25">
      <c r="A15" s="10">
        <v>7</v>
      </c>
      <c r="B15" s="84" t="s">
        <v>138</v>
      </c>
      <c r="C15" s="40">
        <f>SUM(C9:C14)</f>
        <v>3136852</v>
      </c>
      <c r="D15" s="40">
        <f t="shared" ref="D15:E15" si="1">SUM(D9:D14)</f>
        <v>0</v>
      </c>
      <c r="E15" s="40">
        <f t="shared" si="1"/>
        <v>3136852</v>
      </c>
      <c r="F15" s="1"/>
    </row>
    <row r="16" spans="1:6" x14ac:dyDescent="0.25">
      <c r="A16" s="10">
        <v>8</v>
      </c>
      <c r="B16" s="17" t="s">
        <v>6</v>
      </c>
      <c r="C16" s="52">
        <v>1324193</v>
      </c>
      <c r="D16" s="52">
        <v>-4983</v>
      </c>
      <c r="E16" s="41">
        <f>SUM(C16:D16)</f>
        <v>1319210</v>
      </c>
    </row>
    <row r="17" spans="1:6" x14ac:dyDescent="0.25">
      <c r="A17" s="10">
        <v>9</v>
      </c>
      <c r="B17" s="17" t="s">
        <v>40</v>
      </c>
      <c r="C17" s="52">
        <v>737863</v>
      </c>
      <c r="D17" s="52"/>
      <c r="E17" s="41">
        <f t="shared" ref="E17:E21" si="2">SUM(C17:D17)</f>
        <v>737863</v>
      </c>
    </row>
    <row r="18" spans="1:6" x14ac:dyDescent="0.25">
      <c r="A18" s="10">
        <v>10</v>
      </c>
      <c r="B18" s="17" t="s">
        <v>7</v>
      </c>
      <c r="C18" s="52">
        <v>767870</v>
      </c>
      <c r="D18" s="52">
        <v>-2368</v>
      </c>
      <c r="E18" s="41">
        <f t="shared" si="2"/>
        <v>765502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274164</v>
      </c>
      <c r="D20" s="52">
        <v>-6619</v>
      </c>
      <c r="E20" s="41">
        <f t="shared" si="2"/>
        <v>267545</v>
      </c>
    </row>
    <row r="21" spans="1:6" x14ac:dyDescent="0.25">
      <c r="A21" s="10">
        <v>13</v>
      </c>
      <c r="B21" s="17" t="s">
        <v>10</v>
      </c>
      <c r="C21" s="52">
        <v>705105</v>
      </c>
      <c r="D21" s="52">
        <v>-6771</v>
      </c>
      <c r="E21" s="41">
        <f t="shared" si="2"/>
        <v>698334</v>
      </c>
    </row>
    <row r="22" spans="1:6" x14ac:dyDescent="0.25">
      <c r="A22" s="10">
        <v>14</v>
      </c>
      <c r="B22" s="84" t="s">
        <v>260</v>
      </c>
      <c r="C22" s="40">
        <f>C16+C17+C18+C19+C20+C21</f>
        <v>3809195</v>
      </c>
      <c r="D22" s="40">
        <f>D16+D17+D18+D19+D20+D21</f>
        <v>-20741</v>
      </c>
      <c r="E22" s="42">
        <f>E16+E17+E18+E19+E20+E21</f>
        <v>3788454</v>
      </c>
      <c r="F22" s="1"/>
    </row>
    <row r="23" spans="1:6" x14ac:dyDescent="0.25">
      <c r="A23" s="10">
        <v>15</v>
      </c>
      <c r="B23" s="17" t="s">
        <v>14</v>
      </c>
      <c r="C23" s="32">
        <f>C15-C22</f>
        <v>-672343</v>
      </c>
      <c r="D23" s="32">
        <f>D15-D22</f>
        <v>20741</v>
      </c>
      <c r="E23" s="32">
        <f>E15-E22</f>
        <v>-651602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98467</v>
      </c>
      <c r="D25" s="114">
        <v>-102</v>
      </c>
      <c r="E25" s="32">
        <f t="shared" ref="E25:E27" si="3">SUM(C25:D25)</f>
        <v>98365</v>
      </c>
    </row>
    <row r="26" spans="1:6" x14ac:dyDescent="0.25">
      <c r="A26" s="10">
        <v>18</v>
      </c>
      <c r="B26" s="17" t="s">
        <v>200</v>
      </c>
      <c r="C26" s="52">
        <v>-260309</v>
      </c>
      <c r="D26" s="54">
        <v>17423</v>
      </c>
      <c r="E26" s="32">
        <f t="shared" si="3"/>
        <v>-242886</v>
      </c>
    </row>
    <row r="27" spans="1:6" x14ac:dyDescent="0.25">
      <c r="A27" s="10">
        <v>19</v>
      </c>
      <c r="B27" s="17" t="s">
        <v>13</v>
      </c>
      <c r="C27" s="52"/>
      <c r="D27" s="114"/>
      <c r="E27" s="32">
        <f t="shared" si="3"/>
        <v>0</v>
      </c>
    </row>
    <row r="28" spans="1:6" x14ac:dyDescent="0.25">
      <c r="A28" s="10">
        <v>20</v>
      </c>
      <c r="B28" s="84" t="s">
        <v>12</v>
      </c>
      <c r="C28" s="37">
        <f>SUM(C25:C27)</f>
        <v>-161842</v>
      </c>
      <c r="D28" s="37">
        <f t="shared" ref="D28:E28" si="4">SUM(D25:D27)</f>
        <v>17321</v>
      </c>
      <c r="E28" s="43">
        <f t="shared" si="4"/>
        <v>-144521</v>
      </c>
    </row>
    <row r="29" spans="1:6" x14ac:dyDescent="0.25">
      <c r="A29" s="10">
        <v>21</v>
      </c>
      <c r="B29" s="84" t="s">
        <v>23</v>
      </c>
      <c r="C29" s="37">
        <f>C23+C24-C28</f>
        <v>-510501</v>
      </c>
      <c r="D29" s="37">
        <f>D23+D24-D28</f>
        <v>3420</v>
      </c>
      <c r="E29" s="43">
        <f>E23+E24-E28</f>
        <v>-507081</v>
      </c>
    </row>
    <row r="30" spans="1:6" x14ac:dyDescent="0.25">
      <c r="A30" s="10">
        <v>22</v>
      </c>
      <c r="B30" s="17" t="s">
        <v>15</v>
      </c>
      <c r="C30" s="52"/>
      <c r="D30" s="54"/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154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4" t="s">
        <v>18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19</v>
      </c>
      <c r="C35" s="52">
        <f>45428-3067</f>
        <v>42361</v>
      </c>
      <c r="D35" s="54"/>
      <c r="E35" s="32">
        <f>SUM(C35:D35)</f>
        <v>42361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f>52347-32201</f>
        <v>20146</v>
      </c>
      <c r="D38" s="69">
        <f>-1*(D29-D34)</f>
        <v>-3420</v>
      </c>
      <c r="E38" s="32">
        <f t="shared" si="7"/>
        <v>16726</v>
      </c>
    </row>
    <row r="39" spans="1:5" x14ac:dyDescent="0.25">
      <c r="A39" s="10">
        <v>31</v>
      </c>
      <c r="B39" s="84" t="s">
        <v>22</v>
      </c>
      <c r="C39" s="37">
        <f>C29-C34+C35+C36+C37+C38</f>
        <v>-447994</v>
      </c>
      <c r="D39" s="37">
        <f t="shared" ref="D39:E39" si="8">D29-D34+D35+D36+D37+D38</f>
        <v>0</v>
      </c>
      <c r="E39" s="37">
        <f t="shared" si="8"/>
        <v>-447994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6228269</v>
      </c>
      <c r="D41" s="54"/>
      <c r="E41" s="32">
        <f t="shared" ref="E41:E46" si="9">SUM(C41:D41)</f>
        <v>6228269</v>
      </c>
    </row>
    <row r="42" spans="1:5" x14ac:dyDescent="0.25">
      <c r="A42" s="10">
        <v>34</v>
      </c>
      <c r="B42" s="17" t="s">
        <v>26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5780275</v>
      </c>
      <c r="D47" s="64">
        <f t="shared" ref="D47:E47" si="10">(D39+D41+D42)-(D43+D44+D45+D46)</f>
        <v>0</v>
      </c>
      <c r="E47" s="43">
        <f t="shared" si="10"/>
        <v>5780275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0</v>
      </c>
      <c r="D52" s="96"/>
      <c r="E52" s="32">
        <f>C52</f>
        <v>0</v>
      </c>
    </row>
    <row r="53" spans="1:7" x14ac:dyDescent="0.25">
      <c r="A53" s="10">
        <v>45</v>
      </c>
      <c r="B53" s="17" t="s">
        <v>36</v>
      </c>
      <c r="C53" s="46">
        <f>((C22+C28-C18-C19)/C15)</f>
        <v>0.91795309437614525</v>
      </c>
      <c r="D53" s="46" t="e">
        <f>((D22+D28-D18-D19)/D15)</f>
        <v>#DIV/0!</v>
      </c>
      <c r="E53" s="46">
        <f>((E22+E28-E18-E19)/E15)</f>
        <v>0.91761772630650096</v>
      </c>
    </row>
    <row r="54" spans="1:7" x14ac:dyDescent="0.25">
      <c r="A54" s="10">
        <v>46</v>
      </c>
      <c r="B54" s="17" t="s">
        <v>37</v>
      </c>
      <c r="C54" s="46">
        <f>((C22+C28+C34)/C15)</f>
        <v>1.1627430940318511</v>
      </c>
      <c r="D54" s="46" t="e">
        <f>((D22+D28+D34)/D15)</f>
        <v>#DIV/0!</v>
      </c>
      <c r="E54" s="46">
        <f>((E22+E28+E34)/E15)</f>
        <v>1.1616528290145662</v>
      </c>
    </row>
    <row r="55" spans="1:7" x14ac:dyDescent="0.25">
      <c r="A55" s="10">
        <v>47</v>
      </c>
      <c r="B55" s="17" t="s">
        <v>38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39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Tenino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597828</v>
      </c>
      <c r="D9" s="41">
        <f>'CurrentYearIncomeStmt '!E9</f>
        <v>617895</v>
      </c>
    </row>
    <row r="10" spans="1:5" x14ac:dyDescent="0.25">
      <c r="A10" s="10">
        <v>2</v>
      </c>
      <c r="B10" s="17" t="s">
        <v>2</v>
      </c>
      <c r="C10" s="32">
        <f>PriorYearIncomeStmt!E10</f>
        <v>2456083</v>
      </c>
      <c r="D10" s="41">
        <f>'CurrentYearIncomeStmt '!E10</f>
        <v>2466052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31124</v>
      </c>
      <c r="D12" s="41">
        <f>'CurrentYearIncomeStmt '!E12</f>
        <v>28947</v>
      </c>
    </row>
    <row r="13" spans="1:5" x14ac:dyDescent="0.25">
      <c r="A13" s="10">
        <v>5</v>
      </c>
      <c r="B13" s="17" t="s">
        <v>5</v>
      </c>
      <c r="C13" s="32">
        <f>PriorYearIncomeStmt!E13</f>
        <v>35510</v>
      </c>
      <c r="D13" s="41">
        <f>'CurrentYearIncomeStmt '!E13</f>
        <v>32907</v>
      </c>
    </row>
    <row r="14" spans="1:5" x14ac:dyDescent="0.25">
      <c r="A14" s="10">
        <v>6</v>
      </c>
      <c r="B14" s="17" t="s">
        <v>139</v>
      </c>
      <c r="C14" s="32">
        <f>PriorYearIncomeStmt!E14</f>
        <v>-6348</v>
      </c>
      <c r="D14" s="41">
        <f>'CurrentYearIncomeStmt '!E14</f>
        <v>-8949</v>
      </c>
    </row>
    <row r="15" spans="1:5" x14ac:dyDescent="0.25">
      <c r="A15" s="10">
        <v>7</v>
      </c>
      <c r="B15" s="84" t="s">
        <v>138</v>
      </c>
      <c r="C15" s="40">
        <f>SUM(C9:C14)</f>
        <v>3114197</v>
      </c>
      <c r="D15" s="42">
        <f t="shared" ref="D15" si="0">SUM(D9:D14)</f>
        <v>3136852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1199132</v>
      </c>
      <c r="D16" s="41">
        <f>'CurrentYearIncomeStmt '!E16</f>
        <v>1319210</v>
      </c>
    </row>
    <row r="17" spans="1:5" x14ac:dyDescent="0.25">
      <c r="A17" s="10">
        <v>9</v>
      </c>
      <c r="B17" s="17" t="s">
        <v>40</v>
      </c>
      <c r="C17" s="32">
        <f>PriorYearIncomeStmt!E17</f>
        <v>690881</v>
      </c>
      <c r="D17" s="41">
        <f>'CurrentYearIncomeStmt '!E17</f>
        <v>737863</v>
      </c>
    </row>
    <row r="18" spans="1:5" x14ac:dyDescent="0.25">
      <c r="A18" s="10">
        <v>10</v>
      </c>
      <c r="B18" s="17" t="s">
        <v>7</v>
      </c>
      <c r="C18" s="32">
        <f>PriorYearIncomeStmt!E18</f>
        <v>751543</v>
      </c>
      <c r="D18" s="41">
        <f>'CurrentYearIncomeStmt '!E18</f>
        <v>765502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249986</v>
      </c>
      <c r="D20" s="41">
        <f>'CurrentYearIncomeStmt '!E20</f>
        <v>267545</v>
      </c>
    </row>
    <row r="21" spans="1:5" x14ac:dyDescent="0.25">
      <c r="A21" s="10">
        <v>13</v>
      </c>
      <c r="B21" s="17" t="s">
        <v>10</v>
      </c>
      <c r="C21" s="32">
        <f>PriorYearIncomeStmt!E21</f>
        <v>675280</v>
      </c>
      <c r="D21" s="41">
        <f>'CurrentYearIncomeStmt '!E21</f>
        <v>698334</v>
      </c>
    </row>
    <row r="22" spans="1:5" x14ac:dyDescent="0.25">
      <c r="A22" s="10">
        <v>14</v>
      </c>
      <c r="B22" s="84" t="s">
        <v>260</v>
      </c>
      <c r="C22" s="40">
        <f>C16+C17+C18+C19+C20+C21</f>
        <v>3566822</v>
      </c>
      <c r="D22" s="42">
        <f>D16+D17+D18+D19+D20+D21</f>
        <v>3788454</v>
      </c>
      <c r="E22" s="1"/>
    </row>
    <row r="23" spans="1:5" x14ac:dyDescent="0.25">
      <c r="A23" s="10">
        <v>15</v>
      </c>
      <c r="B23" s="17" t="s">
        <v>14</v>
      </c>
      <c r="C23" s="32">
        <f>C15-C22</f>
        <v>-452625</v>
      </c>
      <c r="D23" s="41">
        <f>D15-D22</f>
        <v>-651602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89271</v>
      </c>
      <c r="D25" s="41">
        <f>'CurrentYearIncomeStmt '!E25</f>
        <v>98365</v>
      </c>
    </row>
    <row r="26" spans="1:5" x14ac:dyDescent="0.25">
      <c r="A26" s="10">
        <v>18</v>
      </c>
      <c r="B26" s="17" t="s">
        <v>188</v>
      </c>
      <c r="C26" s="32">
        <f>PriorYearIncomeStmt!E26</f>
        <v>-177938</v>
      </c>
      <c r="D26" s="41">
        <f>'CurrentYearIncomeStmt '!E26</f>
        <v>-242886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4" t="s">
        <v>12</v>
      </c>
      <c r="C28" s="37">
        <f>SUM(C25:C27)</f>
        <v>-88667</v>
      </c>
      <c r="D28" s="43">
        <f t="shared" ref="D28" si="1">SUM(D25:D27)</f>
        <v>-144521</v>
      </c>
    </row>
    <row r="29" spans="1:5" x14ac:dyDescent="0.25">
      <c r="A29" s="10">
        <v>21</v>
      </c>
      <c r="B29" s="84" t="s">
        <v>23</v>
      </c>
      <c r="C29" s="37">
        <f>C23+C24-C28</f>
        <v>-363958</v>
      </c>
      <c r="D29" s="43">
        <f>D23+D24-D28</f>
        <v>-507081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4" t="s">
        <v>18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19</v>
      </c>
      <c r="C35" s="32">
        <f>PriorYearIncomeStmt!E35</f>
        <v>58181</v>
      </c>
      <c r="D35" s="41">
        <f>'CurrentYearIncomeStmt '!E35</f>
        <v>42361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1185</v>
      </c>
      <c r="D38" s="41">
        <f>'CurrentYearIncomeStmt '!E38</f>
        <v>16726</v>
      </c>
    </row>
    <row r="39" spans="1:4" x14ac:dyDescent="0.25">
      <c r="A39" s="10">
        <v>31</v>
      </c>
      <c r="B39" s="84" t="s">
        <v>22</v>
      </c>
      <c r="C39" s="37">
        <f>C29-C34+C35+C36+C37+C38</f>
        <v>-304592</v>
      </c>
      <c r="D39" s="43">
        <f t="shared" ref="D39" si="3">D29-D34+D35+D36+D37+D38</f>
        <v>-447994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6532861</v>
      </c>
      <c r="D41" s="41">
        <f>'CurrentYearIncomeStmt '!E41</f>
        <v>6228269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6228269</v>
      </c>
      <c r="D47" s="43">
        <f t="shared" ref="D47" si="4">(D39+D41+D42)-(D43+D44+D45+D46)</f>
        <v>5780275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36</v>
      </c>
      <c r="C53" s="49">
        <f>((C22+C28-C18-C19)/C15)</f>
        <v>0.87554255559298266</v>
      </c>
      <c r="D53" s="49">
        <f>((D22+D28-D18-D19)/D15)</f>
        <v>0.91761772630650096</v>
      </c>
    </row>
    <row r="54" spans="1:8" x14ac:dyDescent="0.25">
      <c r="A54" s="10">
        <v>46</v>
      </c>
      <c r="B54" s="17" t="s">
        <v>37</v>
      </c>
      <c r="C54" s="49">
        <f>((C22+C28+C34)/C15)</f>
        <v>1.1168705769095533</v>
      </c>
      <c r="D54" s="49">
        <f>((D22+D28+D34)/D15)</f>
        <v>1.1616528290145662</v>
      </c>
    </row>
    <row r="55" spans="1:8" x14ac:dyDescent="0.25">
      <c r="A55" s="10">
        <v>47</v>
      </c>
      <c r="B55" s="17" t="s">
        <v>38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39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55A9EB76D9FD42990F6B7B45F68187" ma:contentTypeVersion="104" ma:contentTypeDescription="" ma:contentTypeScope="" ma:versionID="44a61736a330cd119da7b7ff77e2ca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Tenino Telephone Company</CaseCompanyNames>
    <Nickname xmlns="http://schemas.microsoft.com/sharepoint/v3" xsi:nil="true"/>
    <DocketNumber xmlns="dc463f71-b30c-4ab2-9473-d307f9d35888">170854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5F44054-F92F-4AC9-956A-CE2D3033BD5D}"/>
</file>

<file path=customXml/itemProps2.xml><?xml version="1.0" encoding="utf-8"?>
<ds:datastoreItem xmlns:ds="http://schemas.openxmlformats.org/officeDocument/2006/customXml" ds:itemID="{62B9844E-7EEF-41CB-AEA2-B4C1919F96BE}"/>
</file>

<file path=customXml/itemProps3.xml><?xml version="1.0" encoding="utf-8"?>
<ds:datastoreItem xmlns:ds="http://schemas.openxmlformats.org/officeDocument/2006/customXml" ds:itemID="{51D0DB20-4778-4A8C-ACB7-AF1643DEA5FB}"/>
</file>

<file path=customXml/itemProps4.xml><?xml version="1.0" encoding="utf-8"?>
<ds:datastoreItem xmlns:ds="http://schemas.openxmlformats.org/officeDocument/2006/customXml" ds:itemID="{D6EEB7C7-6974-4776-A440-638D800D8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2017-07-10T22:26:13Z</cp:lastPrinted>
  <dcterms:created xsi:type="dcterms:W3CDTF">2014-05-21T17:51:51Z</dcterms:created>
  <dcterms:modified xsi:type="dcterms:W3CDTF">2017-07-10T22:26:50Z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0x0101006E56B4D1795A2E4DB2F0B01679ED314A001455A9EB76D9FD42990F6B7B45F68187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