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revisions/userNames.xml" ContentType="application/vnd.openxmlformats-officedocument.spreadsheetml.userNam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5.xml" ContentType="application/vnd.openxmlformats-officedocument.spreadsheetml.revisionLog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ept\Rates\ENERGY EFFICIENCY\Tariff Changes\Mid 2017\"/>
    </mc:Choice>
  </mc:AlternateContent>
  <bookViews>
    <workbookView xWindow="0" yWindow="0" windowWidth="19200" windowHeight="7350" tabRatio="694"/>
  </bookViews>
  <sheets>
    <sheet name="TOTAL FIRST YEAR" sheetId="1" r:id="rId1"/>
    <sheet name="Rates&amp;NEB" sheetId="2" r:id="rId2"/>
    <sheet name="APP 2885" sheetId="3" r:id="rId3"/>
  </sheets>
  <externalReferences>
    <externalReference r:id="rId4"/>
  </externalReferences>
  <definedNames>
    <definedName name="_xlnm._FilterDatabase" localSheetId="1" hidden="1">[1]Sheet4!$A$1:$G$57</definedName>
    <definedName name="_xlnm._FilterDatabase" localSheetId="0" hidden="1">'TOTAL FIRST YEAR'!$B$4:$T$70</definedName>
    <definedName name="AC">'APP 2885'!$B$10:$G$54</definedName>
    <definedName name="Admin_Costs">#REF!</definedName>
    <definedName name="ByMeasure">#REF!</definedName>
    <definedName name="Inflation">'Rates&amp;NEB'!$B$7</definedName>
    <definedName name="LTdiscount">'Rates&amp;NEB'!$B$9</definedName>
    <definedName name="NEPercentage">'Rates&amp;NEB'!$B$11</definedName>
    <definedName name="NomInt">'Rates&amp;NEB'!$B$5</definedName>
    <definedName name="OffsetAnchor">#REF!</definedName>
    <definedName name="_xlnm.Print_Area" localSheetId="0">'TOTAL FIRST YEAR'!$B$1:$AB$76</definedName>
    <definedName name="TotalAnnualThermSavings">'TOTAL FIRST YEAR'!$I$70</definedName>
    <definedName name="Z_2071E27A_5EFB_4FE2_B87C_64D436A2C10C_.wvu.Cols" localSheetId="0" hidden="1">'TOTAL FIRST YEAR'!$A:$A</definedName>
    <definedName name="Z_2071E27A_5EFB_4FE2_B87C_64D436A2C10C_.wvu.FilterData" localSheetId="0" hidden="1">'TOTAL FIRST YEAR'!$B$4:$T$70</definedName>
    <definedName name="Z_2071E27A_5EFB_4FE2_B87C_64D436A2C10C_.wvu.PrintArea" localSheetId="0" hidden="1">'TOTAL FIRST YEAR'!$B$1:$AC$75</definedName>
    <definedName name="Z_53FDAFFF_3D96_4F28_89A0_59B371010818_.wvu.Cols" localSheetId="0" hidden="1">'TOTAL FIRST YEAR'!$A:$A</definedName>
    <definedName name="Z_53FDAFFF_3D96_4F28_89A0_59B371010818_.wvu.FilterData" localSheetId="0" hidden="1">'TOTAL FIRST YEAR'!$B$4:$T$70</definedName>
    <definedName name="Z_53FDAFFF_3D96_4F28_89A0_59B371010818_.wvu.PrintArea" localSheetId="0" hidden="1">'TOTAL FIRST YEAR'!$B$1:$AC$75</definedName>
    <definedName name="Z_C923932C_96B5_464D_9E0A_3FBBD9F9862F_.wvu.Cols" localSheetId="0" hidden="1">'TOTAL FIRST YEAR'!$C:$C,'TOTAL FIRST YEAR'!$F:$R,'TOTAL FIRST YEAR'!$T:$W,'TOTAL FIRST YEAR'!$Y:$AB</definedName>
    <definedName name="Z_C923932C_96B5_464D_9E0A_3FBBD9F9862F_.wvu.FilterData" localSheetId="0" hidden="1">'TOTAL FIRST YEAR'!$B$4:$T$70</definedName>
    <definedName name="Z_C923932C_96B5_464D_9E0A_3FBBD9F9862F_.wvu.PrintArea" localSheetId="0" hidden="1">'TOTAL FIRST YEAR'!$B$1:$AB$76</definedName>
    <definedName name="Z_C923932C_96B5_464D_9E0A_3FBBD9F9862F_.wvu.Rows" localSheetId="0" hidden="1">'TOTAL FIRST YEAR'!$1:$2,'TOTAL FIRST YEAR'!$5:$5,'TOTAL FIRST YEAR'!$7:$7,'TOTAL FIRST YEAR'!$9:$11,'TOTAL FIRST YEAR'!$13:$15,'TOTAL FIRST YEAR'!$17:$19,'TOTAL FIRST YEAR'!$21:$23,'TOTAL FIRST YEAR'!$25:$27,'TOTAL FIRST YEAR'!$29:$31,'TOTAL FIRST YEAR'!$33:$35,'TOTAL FIRST YEAR'!$37:$37,'TOTAL FIRST YEAR'!$39:$41,'TOTAL FIRST YEAR'!$43:$45,'TOTAL FIRST YEAR'!$47:$49,'TOTAL FIRST YEAR'!$51:$53,'TOTAL FIRST YEAR'!$55:$57,'TOTAL FIRST YEAR'!$59:$59,'TOTAL FIRST YEAR'!$61:$63,'TOTAL FIRST YEAR'!$65:$67,'TOTAL FIRST YEAR'!$69:$69</definedName>
  </definedNames>
  <calcPr calcId="152511"/>
  <customWorkbookViews>
    <customWorkbookView name="Cascade Natural Gas - Personal View" guid="{C923932C-96B5-464D-9E0A-3FBBD9F9862F}" mergeInterval="0" personalView="1" maximized="1" xWindow="-11" yWindow="-11" windowWidth="1942" windowHeight="1046" tabRatio="694" activeSheetId="1" showComments="commIndAndComment"/>
    <customWorkbookView name="Damle, Vaishali - Personal View" guid="{53FDAFFF-3D96-4F28-89A0-59B371010818}" mergeInterval="0" personalView="1" maximized="1" windowWidth="1920" windowHeight="854" tabRatio="694" activeSheetId="1"/>
    <customWorkbookView name="Monica Cowlishaw - Personal View" guid="{2071E27A-5EFB-4FE2-B87C-64D436A2C10C}" mergeInterval="0" personalView="1" maximized="1" windowWidth="1280" windowHeight="818" tabRatio="694" activeSheetId="1" showComments="commIndAndComment"/>
  </customWorkbookViews>
</workbook>
</file>

<file path=xl/calcChain.xml><?xml version="1.0" encoding="utf-8"?>
<calcChain xmlns="http://schemas.openxmlformats.org/spreadsheetml/2006/main">
  <c r="C76" i="1" l="1"/>
  <c r="D76" i="1"/>
  <c r="T34" i="1" l="1"/>
  <c r="M34" i="1"/>
  <c r="L34" i="1"/>
  <c r="K34" i="1"/>
  <c r="I34" i="1"/>
  <c r="P34" i="1" s="1"/>
  <c r="T33" i="1"/>
  <c r="M33" i="1"/>
  <c r="L33" i="1"/>
  <c r="K33" i="1"/>
  <c r="I33" i="1"/>
  <c r="Q33" i="1" s="1"/>
  <c r="T32" i="1"/>
  <c r="M32" i="1"/>
  <c r="L32" i="1"/>
  <c r="K32" i="1"/>
  <c r="I32" i="1"/>
  <c r="P32" i="1" s="1"/>
  <c r="I47" i="1"/>
  <c r="Q47" i="1" s="1"/>
  <c r="K47" i="1"/>
  <c r="L47" i="1"/>
  <c r="M47" i="1"/>
  <c r="T47" i="1"/>
  <c r="R47" i="1"/>
  <c r="P47" i="1" l="1"/>
  <c r="R33" i="1"/>
  <c r="W33" i="1" s="1"/>
  <c r="R32" i="1"/>
  <c r="AB32" i="1" s="1"/>
  <c r="R34" i="1"/>
  <c r="AB34" i="1" s="1"/>
  <c r="V47" i="1"/>
  <c r="X33" i="1"/>
  <c r="Q34" i="1"/>
  <c r="Q32" i="1"/>
  <c r="Z32" i="1"/>
  <c r="Z34" i="1"/>
  <c r="P33" i="1"/>
  <c r="V33" i="1"/>
  <c r="W47" i="1"/>
  <c r="X47" i="1"/>
  <c r="N47" i="1"/>
  <c r="H14" i="1"/>
  <c r="I14" i="1" s="1"/>
  <c r="Q14" i="1" s="1"/>
  <c r="H13" i="1"/>
  <c r="L13" i="1" s="1"/>
  <c r="H12" i="1"/>
  <c r="L12" i="1" s="1"/>
  <c r="T14" i="1"/>
  <c r="M14" i="1"/>
  <c r="L14" i="1"/>
  <c r="K14" i="1"/>
  <c r="T13" i="1"/>
  <c r="M13" i="1"/>
  <c r="I13" i="1"/>
  <c r="P13" i="1" s="1"/>
  <c r="T12" i="1"/>
  <c r="M12" i="1"/>
  <c r="T61" i="1"/>
  <c r="AB33" i="1" l="1"/>
  <c r="X32" i="1"/>
  <c r="W32" i="1"/>
  <c r="Z47" i="1"/>
  <c r="AA32" i="1"/>
  <c r="V32" i="1"/>
  <c r="AA34" i="1"/>
  <c r="X34" i="1"/>
  <c r="W34" i="1"/>
  <c r="AB47" i="1"/>
  <c r="V34" i="1"/>
  <c r="AA33" i="1"/>
  <c r="Z33" i="1"/>
  <c r="AA47" i="1"/>
  <c r="N14" i="1"/>
  <c r="Q13" i="1"/>
  <c r="V13" i="1" s="1"/>
  <c r="K13" i="1"/>
  <c r="N13" i="1" s="1"/>
  <c r="Z13" i="1" s="1"/>
  <c r="I12" i="1"/>
  <c r="K12" i="1"/>
  <c r="N12" i="1" s="1"/>
  <c r="P14" i="1"/>
  <c r="V14" i="1"/>
  <c r="Z14" i="1" l="1"/>
  <c r="Q12" i="1"/>
  <c r="V12" i="1" s="1"/>
  <c r="P12" i="1"/>
  <c r="Z12" i="1" s="1"/>
  <c r="I61" i="1" l="1"/>
  <c r="Q61" i="1" s="1"/>
  <c r="V61" i="1" s="1"/>
  <c r="K61" i="1"/>
  <c r="L61" i="1"/>
  <c r="M61" i="1"/>
  <c r="P61" i="1"/>
  <c r="I62" i="1"/>
  <c r="Q62" i="1" s="1"/>
  <c r="K62" i="1"/>
  <c r="L62" i="1"/>
  <c r="M62" i="1"/>
  <c r="T8" i="1"/>
  <c r="T9" i="1"/>
  <c r="T10" i="1"/>
  <c r="R61" i="1"/>
  <c r="P62" i="1" l="1"/>
  <c r="R8" i="1"/>
  <c r="N61" i="1"/>
  <c r="W61" i="1"/>
  <c r="X61" i="1"/>
  <c r="R58" i="1"/>
  <c r="R51" i="1"/>
  <c r="R43" i="1"/>
  <c r="R30" i="1"/>
  <c r="R24" i="1"/>
  <c r="R17" i="1"/>
  <c r="R68" i="1"/>
  <c r="R56" i="1"/>
  <c r="R50" i="1"/>
  <c r="R40" i="1"/>
  <c r="R29" i="1"/>
  <c r="R22" i="1"/>
  <c r="R10" i="1"/>
  <c r="R16" i="1"/>
  <c r="R12" i="1"/>
  <c r="R13" i="1"/>
  <c r="R14" i="1"/>
  <c r="R65" i="1"/>
  <c r="R55" i="1"/>
  <c r="R46" i="1"/>
  <c r="R39" i="1"/>
  <c r="R28" i="1"/>
  <c r="R20" i="1"/>
  <c r="R9" i="1"/>
  <c r="R62" i="1"/>
  <c r="R6" i="1"/>
  <c r="R64" i="1"/>
  <c r="R52" i="1"/>
  <c r="R44" i="1"/>
  <c r="R38" i="1"/>
  <c r="R25" i="1"/>
  <c r="R18" i="1"/>
  <c r="N62" i="1"/>
  <c r="R66" i="1"/>
  <c r="R60" i="1"/>
  <c r="R54" i="1"/>
  <c r="R48" i="1"/>
  <c r="R42" i="1"/>
  <c r="R36" i="1"/>
  <c r="R26" i="1"/>
  <c r="R21" i="1"/>
  <c r="L16" i="1"/>
  <c r="L68" i="1"/>
  <c r="K8" i="1"/>
  <c r="K9" i="1"/>
  <c r="K10" i="1"/>
  <c r="K16" i="1"/>
  <c r="K17" i="1"/>
  <c r="K18" i="1"/>
  <c r="K20" i="1"/>
  <c r="K21" i="1"/>
  <c r="K22" i="1"/>
  <c r="K24" i="1"/>
  <c r="K25" i="1"/>
  <c r="K26" i="1"/>
  <c r="K28" i="1"/>
  <c r="K29" i="1"/>
  <c r="K30" i="1"/>
  <c r="K36" i="1"/>
  <c r="K38" i="1"/>
  <c r="K39" i="1"/>
  <c r="K40" i="1"/>
  <c r="K42" i="1"/>
  <c r="K43" i="1"/>
  <c r="K44" i="1"/>
  <c r="K46" i="1"/>
  <c r="K48" i="1"/>
  <c r="K50" i="1"/>
  <c r="K51" i="1"/>
  <c r="K52" i="1"/>
  <c r="K54" i="1"/>
  <c r="K55" i="1"/>
  <c r="K56" i="1"/>
  <c r="K58" i="1"/>
  <c r="K60" i="1"/>
  <c r="K64" i="1"/>
  <c r="K65" i="1"/>
  <c r="K66" i="1"/>
  <c r="K68" i="1"/>
  <c r="R70" i="1" l="1"/>
  <c r="W14" i="1"/>
  <c r="X14" i="1"/>
  <c r="AB14" i="1"/>
  <c r="AA14" i="1"/>
  <c r="X13" i="1"/>
  <c r="W13" i="1"/>
  <c r="AB13" i="1"/>
  <c r="AA13" i="1"/>
  <c r="X12" i="1"/>
  <c r="W12" i="1"/>
  <c r="AA12" i="1"/>
  <c r="AB12" i="1"/>
  <c r="K6" i="1"/>
  <c r="L48" i="1"/>
  <c r="L46" i="1"/>
  <c r="L28" i="1" l="1"/>
  <c r="L29" i="1"/>
  <c r="L30" i="1"/>
  <c r="L25" i="1"/>
  <c r="L26" i="1"/>
  <c r="L24" i="1"/>
  <c r="L10" i="1"/>
  <c r="L9" i="1"/>
  <c r="L8" i="1"/>
  <c r="L40" i="1"/>
  <c r="L39" i="1"/>
  <c r="L38" i="1"/>
  <c r="L65" i="1"/>
  <c r="L64" i="1"/>
  <c r="L66" i="1"/>
  <c r="L22" i="1"/>
  <c r="L21" i="1"/>
  <c r="L20" i="1"/>
  <c r="I46" i="1" l="1"/>
  <c r="Q46" i="1" s="1"/>
  <c r="M46" i="1"/>
  <c r="T46" i="1"/>
  <c r="I48" i="1"/>
  <c r="Q48" i="1" s="1"/>
  <c r="M48" i="1"/>
  <c r="T48" i="1"/>
  <c r="T62" i="1"/>
  <c r="T6" i="1"/>
  <c r="P46" i="1" l="1"/>
  <c r="V62" i="1"/>
  <c r="P48" i="1"/>
  <c r="N46" i="1"/>
  <c r="V46" i="1"/>
  <c r="V48" i="1"/>
  <c r="N48" i="1"/>
  <c r="T44" i="1"/>
  <c r="M44" i="1"/>
  <c r="L44" i="1"/>
  <c r="I44" i="1"/>
  <c r="Q44" i="1" s="1"/>
  <c r="V44" i="1" l="1"/>
  <c r="Z46" i="1"/>
  <c r="Z48" i="1"/>
  <c r="Z62" i="1"/>
  <c r="P44" i="1"/>
  <c r="N44" i="1"/>
  <c r="G70" i="1"/>
  <c r="T36" i="1"/>
  <c r="T16" i="1"/>
  <c r="T17" i="1"/>
  <c r="T18" i="1"/>
  <c r="T20" i="1"/>
  <c r="T21" i="1"/>
  <c r="T22" i="1"/>
  <c r="T24" i="1"/>
  <c r="T25" i="1"/>
  <c r="T26" i="1"/>
  <c r="T28" i="1"/>
  <c r="T29" i="1"/>
  <c r="T30" i="1"/>
  <c r="T38" i="1"/>
  <c r="T39" i="1"/>
  <c r="T40" i="1"/>
  <c r="T42" i="1"/>
  <c r="T43" i="1"/>
  <c r="T50" i="1"/>
  <c r="T51" i="1"/>
  <c r="T52" i="1"/>
  <c r="T54" i="1"/>
  <c r="T55" i="1"/>
  <c r="T56" i="1"/>
  <c r="T58" i="1"/>
  <c r="T60" i="1"/>
  <c r="T64" i="1"/>
  <c r="T65" i="1"/>
  <c r="T66" i="1"/>
  <c r="T68" i="1"/>
  <c r="I6" i="1"/>
  <c r="I8" i="1"/>
  <c r="Q8" i="1" s="1"/>
  <c r="I9" i="1"/>
  <c r="P9" i="1" s="1"/>
  <c r="I10" i="1"/>
  <c r="I16" i="1"/>
  <c r="Q16" i="1" s="1"/>
  <c r="I17" i="1"/>
  <c r="Q17" i="1" s="1"/>
  <c r="I18" i="1"/>
  <c r="I20" i="1"/>
  <c r="Q20" i="1" s="1"/>
  <c r="I21" i="1"/>
  <c r="Q21" i="1" s="1"/>
  <c r="I22" i="1"/>
  <c r="P22" i="1" s="1"/>
  <c r="I24" i="1"/>
  <c r="I25" i="1"/>
  <c r="P25" i="1" s="1"/>
  <c r="I26" i="1"/>
  <c r="I28" i="1"/>
  <c r="Q28" i="1" s="1"/>
  <c r="I29" i="1"/>
  <c r="Q29" i="1" s="1"/>
  <c r="I30" i="1"/>
  <c r="I36" i="1"/>
  <c r="P36" i="1" s="1"/>
  <c r="I38" i="1"/>
  <c r="P38" i="1" s="1"/>
  <c r="I39" i="1"/>
  <c r="P39" i="1" s="1"/>
  <c r="I40" i="1"/>
  <c r="Q40" i="1" s="1"/>
  <c r="I42" i="1"/>
  <c r="I43" i="1"/>
  <c r="I50" i="1"/>
  <c r="P50" i="1" s="1"/>
  <c r="I51" i="1"/>
  <c r="Q51" i="1" s="1"/>
  <c r="I52" i="1"/>
  <c r="P52" i="1" s="1"/>
  <c r="I54" i="1"/>
  <c r="Q54" i="1" s="1"/>
  <c r="I55" i="1"/>
  <c r="Q55" i="1" s="1"/>
  <c r="I56" i="1"/>
  <c r="Q56" i="1" s="1"/>
  <c r="I58" i="1"/>
  <c r="I60" i="1"/>
  <c r="Q60" i="1" s="1"/>
  <c r="I64" i="1"/>
  <c r="I65" i="1"/>
  <c r="Q65" i="1" s="1"/>
  <c r="I66" i="1"/>
  <c r="Q66" i="1" s="1"/>
  <c r="I68" i="1"/>
  <c r="P68" i="1" s="1"/>
  <c r="L6" i="1"/>
  <c r="M6" i="1"/>
  <c r="M8" i="1"/>
  <c r="M9" i="1"/>
  <c r="M10" i="1"/>
  <c r="M16" i="1"/>
  <c r="L17" i="1"/>
  <c r="M17" i="1"/>
  <c r="L18" i="1"/>
  <c r="M18" i="1"/>
  <c r="M20" i="1"/>
  <c r="M21" i="1"/>
  <c r="M22" i="1"/>
  <c r="M24" i="1"/>
  <c r="M25" i="1"/>
  <c r="M26" i="1"/>
  <c r="M28" i="1"/>
  <c r="M29" i="1"/>
  <c r="M30" i="1"/>
  <c r="L36" i="1"/>
  <c r="M36" i="1"/>
  <c r="M38" i="1"/>
  <c r="M39" i="1"/>
  <c r="M40" i="1"/>
  <c r="L42" i="1"/>
  <c r="M42" i="1"/>
  <c r="L43" i="1"/>
  <c r="M43" i="1"/>
  <c r="L50" i="1"/>
  <c r="M50" i="1"/>
  <c r="L51" i="1"/>
  <c r="M51" i="1"/>
  <c r="L52" i="1"/>
  <c r="M52" i="1"/>
  <c r="L54" i="1"/>
  <c r="M54" i="1"/>
  <c r="L55" i="1"/>
  <c r="M55" i="1"/>
  <c r="L56" i="1"/>
  <c r="M56" i="1"/>
  <c r="L58" i="1"/>
  <c r="M58" i="1"/>
  <c r="L60" i="1"/>
  <c r="M60" i="1"/>
  <c r="M64" i="1"/>
  <c r="M65" i="1"/>
  <c r="M66" i="1"/>
  <c r="M68" i="1"/>
  <c r="I70" i="1" l="1"/>
  <c r="L70" i="1"/>
  <c r="K70" i="1"/>
  <c r="T70" i="1"/>
  <c r="N39" i="1"/>
  <c r="N10" i="1"/>
  <c r="N8" i="1"/>
  <c r="N65" i="1"/>
  <c r="N40" i="1"/>
  <c r="N38" i="1"/>
  <c r="N66" i="1"/>
  <c r="N64" i="1"/>
  <c r="N9" i="1"/>
  <c r="Q10" i="1"/>
  <c r="V10" i="1" s="1"/>
  <c r="V54" i="1"/>
  <c r="Z44" i="1"/>
  <c r="V29" i="1"/>
  <c r="V66" i="1"/>
  <c r="V20" i="1"/>
  <c r="V28" i="1"/>
  <c r="V16" i="1"/>
  <c r="O70" i="1"/>
  <c r="M70" i="1"/>
  <c r="P28" i="1"/>
  <c r="P56" i="1"/>
  <c r="Q38" i="1"/>
  <c r="V38" i="1" s="1"/>
  <c r="Q68" i="1"/>
  <c r="V68" i="1" s="1"/>
  <c r="P60" i="1"/>
  <c r="Q36" i="1"/>
  <c r="V36" i="1" s="1"/>
  <c r="P16" i="1"/>
  <c r="P65" i="1"/>
  <c r="Q25" i="1"/>
  <c r="V25" i="1" s="1"/>
  <c r="P66" i="1"/>
  <c r="V65" i="1"/>
  <c r="P64" i="1"/>
  <c r="Q64" i="1"/>
  <c r="V64" i="1" s="1"/>
  <c r="V60" i="1"/>
  <c r="Q58" i="1"/>
  <c r="V58" i="1" s="1"/>
  <c r="P58" i="1"/>
  <c r="V56" i="1"/>
  <c r="V55" i="1"/>
  <c r="P54" i="1"/>
  <c r="P55" i="1"/>
  <c r="V51" i="1"/>
  <c r="Q52" i="1"/>
  <c r="V52" i="1" s="1"/>
  <c r="P51" i="1"/>
  <c r="N51" i="1"/>
  <c r="Q50" i="1"/>
  <c r="V50" i="1" s="1"/>
  <c r="Q43" i="1"/>
  <c r="V43" i="1" s="1"/>
  <c r="P43" i="1"/>
  <c r="P42" i="1"/>
  <c r="Q42" i="1"/>
  <c r="V42" i="1" s="1"/>
  <c r="V40" i="1"/>
  <c r="P40" i="1"/>
  <c r="Q39" i="1"/>
  <c r="V39" i="1" s="1"/>
  <c r="P30" i="1"/>
  <c r="Q30" i="1"/>
  <c r="V30" i="1" s="1"/>
  <c r="P29" i="1"/>
  <c r="Q26" i="1"/>
  <c r="V26" i="1" s="1"/>
  <c r="P26" i="1"/>
  <c r="P24" i="1"/>
  <c r="Q24" i="1"/>
  <c r="V24" i="1" s="1"/>
  <c r="V21" i="1"/>
  <c r="N22" i="1"/>
  <c r="Q22" i="1"/>
  <c r="V22" i="1" s="1"/>
  <c r="P21" i="1"/>
  <c r="P20" i="1"/>
  <c r="V17" i="1"/>
  <c r="Q18" i="1"/>
  <c r="V18" i="1" s="1"/>
  <c r="P18" i="1"/>
  <c r="P17" i="1"/>
  <c r="N17" i="1"/>
  <c r="P10" i="1"/>
  <c r="Q9" i="1"/>
  <c r="V9" i="1" s="1"/>
  <c r="V8" i="1"/>
  <c r="P8" i="1"/>
  <c r="P6" i="1"/>
  <c r="Q6" i="1"/>
  <c r="V6" i="1" s="1"/>
  <c r="N60" i="1"/>
  <c r="N56" i="1"/>
  <c r="N52" i="1"/>
  <c r="N18" i="1"/>
  <c r="N6" i="1"/>
  <c r="N68" i="1"/>
  <c r="N54" i="1"/>
  <c r="N42" i="1"/>
  <c r="N20" i="1"/>
  <c r="N58" i="1"/>
  <c r="N55" i="1"/>
  <c r="N50" i="1"/>
  <c r="N43" i="1"/>
  <c r="N36" i="1"/>
  <c r="N21" i="1"/>
  <c r="N16" i="1"/>
  <c r="N70" i="1" l="1"/>
  <c r="P70" i="1"/>
  <c r="Z36" i="1"/>
  <c r="Z68" i="1"/>
  <c r="Z66" i="1"/>
  <c r="Z65" i="1"/>
  <c r="Z64" i="1"/>
  <c r="Z60" i="1"/>
  <c r="Z58" i="1"/>
  <c r="Z56" i="1"/>
  <c r="Z55" i="1"/>
  <c r="Z54" i="1"/>
  <c r="Z52" i="1"/>
  <c r="Z51" i="1"/>
  <c r="Z50" i="1"/>
  <c r="Z43" i="1"/>
  <c r="Z42" i="1"/>
  <c r="Z40" i="1"/>
  <c r="Z39" i="1"/>
  <c r="Z38" i="1"/>
  <c r="Z29" i="1"/>
  <c r="Z30" i="1"/>
  <c r="Z28" i="1"/>
  <c r="Z26" i="1"/>
  <c r="Z25" i="1"/>
  <c r="Z24" i="1"/>
  <c r="Z22" i="1"/>
  <c r="Z21" i="1"/>
  <c r="Z20" i="1"/>
  <c r="Z18" i="1"/>
  <c r="Z17" i="1"/>
  <c r="Z16" i="1"/>
  <c r="Z10" i="1"/>
  <c r="Z9" i="1"/>
  <c r="Z8" i="1"/>
  <c r="Z6" i="1"/>
  <c r="AA44" i="1" l="1"/>
  <c r="M69" i="1"/>
  <c r="N69" i="1" s="1"/>
  <c r="AB44" i="1" l="1"/>
  <c r="W44" i="1"/>
  <c r="X44" i="1"/>
  <c r="X46" i="1"/>
  <c r="W46" i="1"/>
  <c r="AB46" i="1"/>
  <c r="AA46" i="1"/>
  <c r="W48" i="1"/>
  <c r="AA48" i="1"/>
  <c r="AB48" i="1"/>
  <c r="X48" i="1"/>
  <c r="AA62" i="1"/>
  <c r="AB62" i="1"/>
  <c r="W62" i="1"/>
  <c r="X62" i="1"/>
  <c r="AA68" i="1"/>
  <c r="Q70" i="1"/>
  <c r="X60" i="1" l="1"/>
  <c r="W60" i="1"/>
  <c r="AB60" i="1"/>
  <c r="AA60" i="1"/>
  <c r="X55" i="1"/>
  <c r="AB55" i="1"/>
  <c r="W55" i="1"/>
  <c r="AA55" i="1"/>
  <c r="W65" i="1"/>
  <c r="AA65" i="1"/>
  <c r="AB65" i="1"/>
  <c r="X65" i="1"/>
  <c r="W39" i="1"/>
  <c r="AB39" i="1"/>
  <c r="X39" i="1"/>
  <c r="AA39" i="1"/>
  <c r="X9" i="1"/>
  <c r="AB9" i="1"/>
  <c r="AA9" i="1"/>
  <c r="W9" i="1"/>
  <c r="AB66" i="1"/>
  <c r="AA66" i="1"/>
  <c r="X66" i="1"/>
  <c r="W66" i="1"/>
  <c r="AB58" i="1"/>
  <c r="X58" i="1"/>
  <c r="AA58" i="1"/>
  <c r="W58" i="1"/>
  <c r="AB51" i="1"/>
  <c r="X51" i="1"/>
  <c r="AA51" i="1"/>
  <c r="W51" i="1"/>
  <c r="AA29" i="1"/>
  <c r="W29" i="1"/>
  <c r="X29" i="1"/>
  <c r="AB29" i="1"/>
  <c r="W54" i="1"/>
  <c r="X54" i="1"/>
  <c r="AA54" i="1"/>
  <c r="AB54" i="1"/>
  <c r="AA36" i="1"/>
  <c r="AB36" i="1"/>
  <c r="X36" i="1"/>
  <c r="W36" i="1"/>
  <c r="X38" i="1"/>
  <c r="W38" i="1"/>
  <c r="AA38" i="1"/>
  <c r="AB38" i="1"/>
  <c r="X42" i="1"/>
  <c r="AB42" i="1"/>
  <c r="W42" i="1"/>
  <c r="AA42" i="1"/>
  <c r="W8" i="1"/>
  <c r="X8" i="1"/>
  <c r="AB8" i="1"/>
  <c r="AA8" i="1"/>
  <c r="AB10" i="1"/>
  <c r="AA10" i="1"/>
  <c r="W10" i="1"/>
  <c r="X10" i="1"/>
  <c r="W6" i="1"/>
  <c r="AB6" i="1"/>
  <c r="AA6" i="1"/>
  <c r="X6" i="1"/>
  <c r="AA26" i="1"/>
  <c r="W26" i="1"/>
  <c r="AB26" i="1"/>
  <c r="X26" i="1"/>
  <c r="X24" i="1"/>
  <c r="W24" i="1"/>
  <c r="AB24" i="1"/>
  <c r="AA24" i="1"/>
  <c r="AA52" i="1"/>
  <c r="X52" i="1"/>
  <c r="W52" i="1"/>
  <c r="AB52" i="1"/>
  <c r="AA56" i="1"/>
  <c r="W56" i="1"/>
  <c r="AB56" i="1"/>
  <c r="X56" i="1"/>
  <c r="W21" i="1"/>
  <c r="AB21" i="1"/>
  <c r="X21" i="1"/>
  <c r="AA21" i="1"/>
  <c r="AA16" i="1"/>
  <c r="AB16" i="1"/>
  <c r="X16" i="1"/>
  <c r="W16" i="1"/>
  <c r="W50" i="1"/>
  <c r="AA50" i="1"/>
  <c r="AB50" i="1"/>
  <c r="X50" i="1"/>
  <c r="AB64" i="1"/>
  <c r="W64" i="1"/>
  <c r="AA64" i="1"/>
  <c r="X64" i="1"/>
  <c r="X20" i="1"/>
  <c r="AB20" i="1"/>
  <c r="W20" i="1"/>
  <c r="AA20" i="1"/>
  <c r="AB18" i="1"/>
  <c r="W18" i="1"/>
  <c r="X18" i="1"/>
  <c r="AA18" i="1"/>
  <c r="AA30" i="1"/>
  <c r="X30" i="1"/>
  <c r="AB30" i="1"/>
  <c r="W30" i="1"/>
  <c r="AB40" i="1"/>
  <c r="AA40" i="1"/>
  <c r="W40" i="1"/>
  <c r="X40" i="1"/>
  <c r="W28" i="1"/>
  <c r="X28" i="1"/>
  <c r="AA28" i="1"/>
  <c r="AB28" i="1"/>
  <c r="X25" i="1"/>
  <c r="AA25" i="1"/>
  <c r="W25" i="1"/>
  <c r="AB25" i="1"/>
  <c r="AA43" i="1"/>
  <c r="AB43" i="1"/>
  <c r="X43" i="1"/>
  <c r="W43" i="1"/>
  <c r="W22" i="1"/>
  <c r="AB22" i="1"/>
  <c r="AA22" i="1"/>
  <c r="X22" i="1"/>
  <c r="AB17" i="1"/>
  <c r="AA17" i="1"/>
  <c r="W17" i="1"/>
  <c r="X17" i="1"/>
  <c r="X68" i="1"/>
  <c r="W68" i="1"/>
  <c r="AB68" i="1"/>
  <c r="AB70" i="1"/>
  <c r="M73" i="1"/>
  <c r="W70" i="1"/>
  <c r="V70" i="1"/>
  <c r="AA70" i="1"/>
  <c r="Z70" i="1"/>
  <c r="X70" i="1" l="1"/>
</calcChain>
</file>

<file path=xl/comments1.xml><?xml version="1.0" encoding="utf-8"?>
<comments xmlns="http://schemas.openxmlformats.org/spreadsheetml/2006/main">
  <authors>
    <author>Robert Cuti</author>
  </authors>
  <commentList>
    <comment ref="K4" authorId="0" guid="{771E9AA3-F26B-4F2D-A089-D2DFA5BCFE7A}" shapeId="0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Societal Benefits
1) Economic Development - 50% of Retail Value 1st year therm savings
2) Carbon Offset- Pvalue of $20/ton annual carbon offset due to gas savings
</t>
        </r>
      </text>
    </comment>
    <comment ref="L4" authorId="0" guid="{40FCFFC0-C5E2-432E-9CB2-8A43CBEBCE74}" shapeId="0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 Participant Benefits
1) Prop Value Adder - 10% of Inc Cost
2) Reduced Maintnenance- PV of Annual Maintenance benefit valued at 5% of first cost
3) Any water/sewer savings (if applicable) based on PV of Annual Water/Sewer savings benefit valued at $2/1000 gal
</t>
        </r>
      </text>
    </comment>
  </commentList>
</comments>
</file>

<file path=xl/sharedStrings.xml><?xml version="1.0" encoding="utf-8"?>
<sst xmlns="http://schemas.openxmlformats.org/spreadsheetml/2006/main" count="262" uniqueCount="117">
  <si>
    <t>CASCADE NATURAL GAS CORPORATION</t>
  </si>
  <si>
    <t>Nominal interest rate (post tax cost of cap.)</t>
  </si>
  <si>
    <t>Inflation rate</t>
  </si>
  <si>
    <t>Long term real discount rate</t>
  </si>
  <si>
    <t>MEASURE</t>
  </si>
  <si>
    <t>ZONE</t>
  </si>
  <si>
    <t>EFFICIENCY RATING</t>
  </si>
  <si>
    <t>THERM</t>
  </si>
  <si>
    <t>TOTAL</t>
  </si>
  <si>
    <t>RESOURCE</t>
  </si>
  <si>
    <t>PARTICIPANTS</t>
  </si>
  <si>
    <t>95% AFUE Rating</t>
  </si>
  <si>
    <t>Equal to or Greater than R-11 to fill cavity</t>
  </si>
  <si>
    <t>Equal to or Greater than R-38</t>
  </si>
  <si>
    <t>Equal to or Greater than R-30 or to fill cavity</t>
  </si>
  <si>
    <t>Low Flow Showerhead plus Aerators</t>
  </si>
  <si>
    <t>TOTAL PROGRAM</t>
  </si>
  <si>
    <t xml:space="preserve">PROGRAM PARTICIPATION </t>
  </si>
  <si>
    <t>COST EFFECTIVENESS ESTIMATES</t>
  </si>
  <si>
    <t>RATES &amp; NON-ENERGY BENEFIT TOGGLES</t>
  </si>
  <si>
    <t>ANNUAL THERM SAVINGS</t>
  </si>
  <si>
    <t>TRC</t>
  </si>
  <si>
    <t>UC</t>
  </si>
  <si>
    <t>BENEFIT</t>
  </si>
  <si>
    <t>Non-Energy Benefits</t>
  </si>
  <si>
    <t>BASECASE - MEDIUM FORECAST - AVERAGE WEATHER</t>
  </si>
  <si>
    <t>45 YEAR RESOURCE SUMMARY COSTS - MELDED COST PER THERM</t>
  </si>
  <si>
    <t>IRP ANNUAL</t>
  </si>
  <si>
    <t xml:space="preserve">PV OF </t>
  </si>
  <si>
    <t>PORTFOLIO COSTS</t>
  </si>
  <si>
    <t>PORTFOLIO</t>
  </si>
  <si>
    <t>NOMINAL</t>
  </si>
  <si>
    <t>COST-</t>
  </si>
  <si>
    <t>COST PER</t>
  </si>
  <si>
    <t>CONSERVATION</t>
  </si>
  <si>
    <t>EFFECTIVENESS</t>
  </si>
  <si>
    <t>YEAR</t>
  </si>
  <si>
    <t>THERM (PV)*</t>
  </si>
  <si>
    <t>COST/THERM</t>
  </si>
  <si>
    <t>CREDIT</t>
  </si>
  <si>
    <t>LIMIT</t>
  </si>
  <si>
    <t>Cascade's Long Term Real Discount Rate:</t>
  </si>
  <si>
    <t>IRP Discount Rate =</t>
  </si>
  <si>
    <t>Years 21-45 Escalation =</t>
  </si>
  <si>
    <t>90% Eff Condensing Tankless Combo w/ WH</t>
  </si>
  <si>
    <t>TOTAL ANNUAL THERM SAVINGS</t>
  </si>
  <si>
    <t>MEASURE LIFE</t>
  </si>
  <si>
    <t>PROGRAM DELIVERY &amp; ADMIN</t>
  </si>
  <si>
    <t>TOTAL REBATES COST</t>
  </si>
  <si>
    <t>UTILITY COST</t>
  </si>
  <si>
    <t>MEASURES INSTALLED</t>
  </si>
  <si>
    <t>RESIDENTIAL Program Participant Cost Effectiveness</t>
  </si>
  <si>
    <t/>
  </si>
  <si>
    <t>0.91 Energy Factor or Greater</t>
  </si>
  <si>
    <t>TRC DISCOUNTED THERM SAVINGS</t>
  </si>
  <si>
    <t>MEASURE INCREMENTAL COST</t>
  </si>
  <si>
    <t xml:space="preserve">NON </t>
  </si>
  <si>
    <t xml:space="preserve">ENERGY </t>
  </si>
  <si>
    <t>WITH</t>
  </si>
  <si>
    <t xml:space="preserve">TOTAL INCREMENTAL COST </t>
  </si>
  <si>
    <t>TOTAL NET INCREMENTAL COST WITH NEBS</t>
  </si>
  <si>
    <t>UCT DISCOUNTED THERM SAVINGS</t>
  </si>
  <si>
    <t>LOADED UTILITY BENEFIT TO COST RATIO</t>
  </si>
  <si>
    <t>LOADED SOCIETAL BENEFIT TO COST RATIO</t>
  </si>
  <si>
    <t>70 % FE Rating</t>
  </si>
  <si>
    <t>95% AFUE New Gas Furnace (New &amp; Existing)</t>
  </si>
  <si>
    <t>HERS 75</t>
  </si>
  <si>
    <t>Built Green Certified Home</t>
  </si>
  <si>
    <t>Built Green Certified</t>
  </si>
  <si>
    <t>Residential Air Sealing</t>
  </si>
  <si>
    <t>Ceiling Insulation</t>
  </si>
  <si>
    <t>0.67 Energy Factor or Greater</t>
  </si>
  <si>
    <t>IRP Discount Rate</t>
  </si>
  <si>
    <t>Inflation Rate</t>
  </si>
  <si>
    <t>Zone 3</t>
  </si>
  <si>
    <t>Zone 1</t>
  </si>
  <si>
    <t>Zone 2</t>
  </si>
  <si>
    <t>Energy Savings Kit 1</t>
  </si>
  <si>
    <t>Energy Savings Kit 2</t>
  </si>
  <si>
    <t>Comprehensive shell air sealing / infiltration control: to achieve CFM of 1250</t>
  </si>
  <si>
    <t>80 % AFUE Rating</t>
  </si>
  <si>
    <t>High Efficieny Entryway Door</t>
  </si>
  <si>
    <t>Door U-Factor &lt;0.21 Energy Star Door</t>
  </si>
  <si>
    <t xml:space="preserve">Total Non-Energy Benefits = </t>
  </si>
  <si>
    <t>.91 Tankless Hot Water Heater</t>
  </si>
  <si>
    <t>.67 Water Heater</t>
  </si>
  <si>
    <t>Floor Insulation</t>
  </si>
  <si>
    <t xml:space="preserve">Floor Insulation </t>
  </si>
  <si>
    <t>High Efficiency Combination Radiant Heat</t>
  </si>
  <si>
    <t>70% FE Hearth  - Hearth Tier 1</t>
  </si>
  <si>
    <t>80% AFUE Hearth  - Hearth Tier 2</t>
  </si>
  <si>
    <t>Wall Insulation</t>
  </si>
  <si>
    <t>ENERGY STAR Certified Home</t>
  </si>
  <si>
    <t>Long-term Discount Rate</t>
  </si>
  <si>
    <t>SOCIETAL NEBS</t>
  </si>
  <si>
    <t>PARTICIPANT NEBS</t>
  </si>
  <si>
    <t>Revised Discount Rate=</t>
  </si>
  <si>
    <t>5%</t>
  </si>
  <si>
    <t>7.5%</t>
  </si>
  <si>
    <t>10.0%</t>
  </si>
  <si>
    <t>10%</t>
  </si>
  <si>
    <t>12.5%</t>
  </si>
  <si>
    <t>15%</t>
  </si>
  <si>
    <t>17.5%</t>
  </si>
  <si>
    <t>20%</t>
  </si>
  <si>
    <t>Boiler</t>
  </si>
  <si>
    <t>96% AFUE Rating</t>
  </si>
  <si>
    <t>Equal to or Greater than R-49</t>
  </si>
  <si>
    <t>NEW PROGRAM REBATE</t>
  </si>
  <si>
    <t>CURRENT REBATE</t>
  </si>
  <si>
    <t>N/A</t>
  </si>
  <si>
    <t>All Zones</t>
  </si>
  <si>
    <t>Total Admin</t>
  </si>
  <si>
    <t>Admin per Therm (Goal)</t>
  </si>
  <si>
    <t>Programmable Thermostat</t>
  </si>
  <si>
    <t>Based on Conservation Plan's 2017 targets</t>
  </si>
  <si>
    <t>2016 INTEGRATED RESOURCE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</si>
</sst>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#,##0.000_);\(#,##0.000\)"/>
    <numFmt numFmtId="167" formatCode="_(&quot;$&quot;* #,##0.00_);_(&quot;$&quot;* \(#,##0.00\);_(&quot;$&quot;* &quot;-&quot;_);_(@_)"/>
    <numFmt numFmtId="168" formatCode="&quot;$&quot;#,##0.0000_);[Red]\(&quot;$&quot;#,##0.0000\)"/>
    <numFmt numFmtId="169" formatCode="0.0%"/>
    <numFmt numFmtId="170" formatCode="_(* #,##0_);_(* \(#,##0\);_(* &quot;-&quot;??_);_(@_)"/>
    <numFmt numFmtId="171" formatCode="_(&quot;$&quot;* #,##0.0000_);_(&quot;$&quot;* \(#,##0.0000\);_(&quot;$&quot;* &quot;-&quot;??_);_(@_)"/>
    <numFmt numFmtId="172" formatCode="&quot;$&quot;#,##0.00"/>
  </numFmts>
  <fonts count="65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64"/>
      <name val="Arial"/>
      <family val="2"/>
    </font>
    <font>
      <sz val="10"/>
      <color theme="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ABFFAB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16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5" fillId="0" borderId="0" applyFont="0" applyFill="0" applyBorder="0" applyAlignment="0" applyProtection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2" fillId="0" borderId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3" fillId="0" borderId="0"/>
    <xf numFmtId="0" fontId="22" fillId="0" borderId="0"/>
    <xf numFmtId="0" fontId="13" fillId="0" borderId="0"/>
    <xf numFmtId="0" fontId="22" fillId="0" borderId="0"/>
    <xf numFmtId="0" fontId="24" fillId="0" borderId="0"/>
    <xf numFmtId="0" fontId="13" fillId="0" borderId="0"/>
    <xf numFmtId="0" fontId="12" fillId="0" borderId="0"/>
    <xf numFmtId="44" fontId="1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2" fillId="0" borderId="0"/>
    <xf numFmtId="44" fontId="12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1" applyNumberFormat="0" applyAlignment="0" applyProtection="0"/>
    <xf numFmtId="0" fontId="34" fillId="9" borderId="12" applyNumberFormat="0" applyAlignment="0" applyProtection="0"/>
    <xf numFmtId="0" fontId="35" fillId="9" borderId="11" applyNumberFormat="0" applyAlignment="0" applyProtection="0"/>
    <xf numFmtId="0" fontId="36" fillId="0" borderId="13" applyNumberFormat="0" applyFill="0" applyAlignment="0" applyProtection="0"/>
    <xf numFmtId="0" fontId="37" fillId="10" borderId="14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6" applyNumberFormat="0" applyFill="0" applyAlignment="0" applyProtection="0"/>
    <xf numFmtId="0" fontId="4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41" fillId="35" borderId="0" applyNumberFormat="0" applyBorder="0" applyAlignment="0" applyProtection="0"/>
    <xf numFmtId="0" fontId="11" fillId="0" borderId="0"/>
    <xf numFmtId="0" fontId="42" fillId="0" borderId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43" fontId="1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11" borderId="15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1" fillId="0" borderId="0"/>
    <xf numFmtId="0" fontId="22" fillId="0" borderId="0"/>
    <xf numFmtId="0" fontId="22" fillId="0" borderId="0"/>
    <xf numFmtId="0" fontId="24" fillId="0" borderId="0"/>
    <xf numFmtId="0" fontId="19" fillId="0" borderId="0"/>
    <xf numFmtId="0" fontId="22" fillId="0" borderId="0"/>
    <xf numFmtId="44" fontId="42" fillId="0" borderId="0" applyFont="0" applyFill="0" applyBorder="0" applyAlignment="0" applyProtection="0"/>
    <xf numFmtId="0" fontId="22" fillId="0" borderId="0"/>
    <xf numFmtId="0" fontId="43" fillId="0" borderId="0"/>
    <xf numFmtId="0" fontId="60" fillId="36" borderId="0" applyNumberFormat="0" applyBorder="0" applyAlignment="0" applyProtection="0"/>
    <xf numFmtId="0" fontId="60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9" borderId="0" applyNumberFormat="0" applyBorder="0" applyAlignment="0" applyProtection="0"/>
    <xf numFmtId="0" fontId="60" fillId="40" borderId="0" applyNumberFormat="0" applyBorder="0" applyAlignment="0" applyProtection="0"/>
    <xf numFmtId="0" fontId="60" fillId="41" borderId="0" applyNumberFormat="0" applyBorder="0" applyAlignment="0" applyProtection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4" borderId="0" applyNumberFormat="0" applyBorder="0" applyAlignment="0" applyProtection="0"/>
    <xf numFmtId="0" fontId="60" fillId="39" borderId="0" applyNumberFormat="0" applyBorder="0" applyAlignment="0" applyProtection="0"/>
    <xf numFmtId="0" fontId="60" fillId="42" borderId="0" applyNumberFormat="0" applyBorder="0" applyAlignment="0" applyProtection="0"/>
    <xf numFmtId="0" fontId="60" fillId="45" borderId="0" applyNumberFormat="0" applyBorder="0" applyAlignment="0" applyProtection="0"/>
    <xf numFmtId="0" fontId="59" fillId="46" borderId="0" applyNumberFormat="0" applyBorder="0" applyAlignment="0" applyProtection="0"/>
    <xf numFmtId="0" fontId="59" fillId="43" borderId="0" applyNumberFormat="0" applyBorder="0" applyAlignment="0" applyProtection="0"/>
    <xf numFmtId="0" fontId="59" fillId="44" borderId="0" applyNumberFormat="0" applyBorder="0" applyAlignment="0" applyProtection="0"/>
    <xf numFmtId="0" fontId="59" fillId="47" borderId="0" applyNumberFormat="0" applyBorder="0" applyAlignment="0" applyProtection="0"/>
    <xf numFmtId="0" fontId="59" fillId="48" borderId="0" applyNumberFormat="0" applyBorder="0" applyAlignment="0" applyProtection="0"/>
    <xf numFmtId="0" fontId="59" fillId="49" borderId="0" applyNumberFormat="0" applyBorder="0" applyAlignment="0" applyProtection="0"/>
    <xf numFmtId="0" fontId="59" fillId="50" borderId="0" applyNumberFormat="0" applyBorder="0" applyAlignment="0" applyProtection="0"/>
    <xf numFmtId="0" fontId="59" fillId="51" borderId="0" applyNumberFormat="0" applyBorder="0" applyAlignment="0" applyProtection="0"/>
    <xf numFmtId="0" fontId="59" fillId="52" borderId="0" applyNumberFormat="0" applyBorder="0" applyAlignment="0" applyProtection="0"/>
    <xf numFmtId="0" fontId="59" fillId="47" borderId="0" applyNumberFormat="0" applyBorder="0" applyAlignment="0" applyProtection="0"/>
    <xf numFmtId="0" fontId="59" fillId="48" borderId="0" applyNumberFormat="0" applyBorder="0" applyAlignment="0" applyProtection="0"/>
    <xf numFmtId="0" fontId="59" fillId="53" borderId="0" applyNumberFormat="0" applyBorder="0" applyAlignment="0" applyProtection="0"/>
    <xf numFmtId="0" fontId="49" fillId="37" borderId="0" applyNumberFormat="0" applyBorder="0" applyAlignment="0" applyProtection="0"/>
    <xf numFmtId="0" fontId="53" fillId="54" borderId="17" applyNumberFormat="0" applyAlignment="0" applyProtection="0"/>
    <xf numFmtId="0" fontId="55" fillId="55" borderId="18" applyNumberFormat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48" fillId="38" borderId="0" applyNumberFormat="0" applyBorder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7" fillId="0" borderId="0" applyNumberFormat="0" applyFill="0" applyBorder="0" applyAlignment="0" applyProtection="0"/>
    <xf numFmtId="0" fontId="51" fillId="41" borderId="17" applyNumberFormat="0" applyAlignment="0" applyProtection="0"/>
    <xf numFmtId="0" fontId="54" fillId="0" borderId="22" applyNumberFormat="0" applyFill="0" applyAlignment="0" applyProtection="0"/>
    <xf numFmtId="0" fontId="50" fillId="56" borderId="0" applyNumberFormat="0" applyBorder="0" applyAlignment="0" applyProtection="0"/>
    <xf numFmtId="0" fontId="10" fillId="0" borderId="0"/>
    <xf numFmtId="0" fontId="15" fillId="0" borderId="0"/>
    <xf numFmtId="0" fontId="60" fillId="57" borderId="23" applyNumberFormat="0" applyFont="0" applyAlignment="0" applyProtection="0"/>
    <xf numFmtId="0" fontId="52" fillId="54" borderId="24" applyNumberFormat="0" applyAlignment="0" applyProtection="0"/>
    <xf numFmtId="0" fontId="44" fillId="0" borderId="0" applyNumberFormat="0" applyFill="0" applyBorder="0" applyAlignment="0" applyProtection="0"/>
    <xf numFmtId="0" fontId="58" fillId="0" borderId="25" applyNumberFormat="0" applyFill="0" applyAlignment="0" applyProtection="0"/>
    <xf numFmtId="0" fontId="56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11" borderId="15" applyNumberFormat="0" applyFont="0" applyAlignment="0" applyProtection="0"/>
    <xf numFmtId="0" fontId="8" fillId="0" borderId="0"/>
    <xf numFmtId="0" fontId="8" fillId="0" borderId="0"/>
    <xf numFmtId="0" fontId="19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11" borderId="15" applyNumberFormat="0" applyFont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11" borderId="15" applyNumberFormat="0" applyFont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2" fillId="11" borderId="15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15" fillId="0" borderId="0"/>
    <xf numFmtId="44" fontId="1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15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15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15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15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156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0" fontId="0" fillId="0" borderId="0" xfId="0" applyBorder="1" applyAlignment="1"/>
    <xf numFmtId="0" fontId="16" fillId="0" borderId="0" xfId="0" applyFont="1" applyBorder="1" applyAlignment="1"/>
    <xf numFmtId="10" fontId="16" fillId="0" borderId="3" xfId="0" applyNumberFormat="1" applyFont="1" applyBorder="1" applyAlignment="1">
      <alignment horizontal="center"/>
    </xf>
    <xf numFmtId="10" fontId="16" fillId="0" borderId="0" xfId="0" applyNumberFormat="1" applyFont="1" applyBorder="1" applyAlignment="1">
      <alignment horizontal="center"/>
    </xf>
    <xf numFmtId="0" fontId="17" fillId="0" borderId="4" xfId="0" applyFont="1" applyBorder="1" applyAlignment="1"/>
    <xf numFmtId="0" fontId="17" fillId="0" borderId="0" xfId="0" applyFont="1" applyFill="1" applyBorder="1" applyAlignment="1"/>
    <xf numFmtId="0" fontId="17" fillId="2" borderId="5" xfId="0" applyFont="1" applyFill="1" applyBorder="1" applyAlignment="1"/>
    <xf numFmtId="0" fontId="17" fillId="3" borderId="6" xfId="0" applyFont="1" applyFill="1" applyBorder="1" applyAlignment="1">
      <alignment horizontal="left"/>
    </xf>
    <xf numFmtId="10" fontId="19" fillId="0" borderId="0" xfId="4" applyNumberFormat="1" applyFont="1"/>
    <xf numFmtId="0" fontId="21" fillId="0" borderId="0" xfId="3" applyFont="1" applyAlignment="1">
      <alignment horizontal="center"/>
    </xf>
    <xf numFmtId="0" fontId="19" fillId="0" borderId="0" xfId="3" applyAlignment="1">
      <alignment horizontal="center"/>
    </xf>
    <xf numFmtId="0" fontId="19" fillId="0" borderId="2" xfId="3" applyBorder="1" applyAlignment="1">
      <alignment horizontal="center"/>
    </xf>
    <xf numFmtId="0" fontId="19" fillId="0" borderId="0" xfId="3"/>
    <xf numFmtId="0" fontId="21" fillId="0" borderId="0" xfId="3" applyFont="1"/>
    <xf numFmtId="164" fontId="19" fillId="0" borderId="0" xfId="4" applyNumberFormat="1" applyFont="1"/>
    <xf numFmtId="44" fontId="19" fillId="0" borderId="0" xfId="15" applyNumberFormat="1" applyFont="1" applyFill="1"/>
    <xf numFmtId="0" fontId="19" fillId="0" borderId="0" xfId="275" applyFont="1" applyFill="1"/>
    <xf numFmtId="168" fontId="19" fillId="0" borderId="0" xfId="275" applyNumberFormat="1" applyFont="1" applyFill="1" applyAlignment="1">
      <alignment horizontal="center"/>
    </xf>
    <xf numFmtId="44" fontId="19" fillId="0" borderId="0" xfId="275" applyNumberFormat="1" applyFont="1" applyFill="1"/>
    <xf numFmtId="44" fontId="19" fillId="0" borderId="0" xfId="3" applyNumberFormat="1" applyAlignment="1">
      <alignment horizontal="center"/>
    </xf>
    <xf numFmtId="44" fontId="19" fillId="0" borderId="0" xfId="2" applyFont="1" applyAlignment="1">
      <alignment horizontal="center"/>
    </xf>
    <xf numFmtId="8" fontId="19" fillId="0" borderId="0" xfId="3" applyNumberFormat="1" applyAlignment="1">
      <alignment horizontal="center"/>
    </xf>
    <xf numFmtId="168" fontId="19" fillId="0" borderId="0" xfId="3" applyNumberFormat="1" applyAlignment="1">
      <alignment horizontal="center"/>
    </xf>
    <xf numFmtId="9" fontId="19" fillId="0" borderId="0" xfId="4" applyFont="1" applyAlignment="1">
      <alignment horizontal="center"/>
    </xf>
    <xf numFmtId="169" fontId="19" fillId="0" borderId="0" xfId="4" applyNumberFormat="1" applyFont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4" xfId="0" applyFont="1" applyFill="1" applyBorder="1"/>
    <xf numFmtId="0" fontId="21" fillId="0" borderId="0" xfId="3" applyFont="1" applyAlignment="1">
      <alignment horizontal="center"/>
    </xf>
    <xf numFmtId="0" fontId="14" fillId="0" borderId="26" xfId="6" applyFill="1" applyBorder="1"/>
    <xf numFmtId="0" fontId="21" fillId="0" borderId="26" xfId="6" applyFont="1" applyFill="1" applyBorder="1"/>
    <xf numFmtId="171" fontId="15" fillId="0" borderId="0" xfId="14" applyNumberFormat="1" applyFont="1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7" xfId="0" applyFont="1" applyFill="1" applyBorder="1"/>
    <xf numFmtId="0" fontId="15" fillId="0" borderId="1" xfId="0" applyFont="1" applyFill="1" applyBorder="1"/>
    <xf numFmtId="0" fontId="17" fillId="0" borderId="1" xfId="0" applyFont="1" applyFill="1" applyBorder="1" applyAlignment="1"/>
    <xf numFmtId="1" fontId="15" fillId="0" borderId="0" xfId="0" applyNumberFormat="1" applyFont="1" applyFill="1" applyBorder="1"/>
    <xf numFmtId="0" fontId="17" fillId="0" borderId="0" xfId="0" applyFont="1" applyFill="1" applyBorder="1"/>
    <xf numFmtId="169" fontId="15" fillId="0" borderId="0" xfId="4" applyNumberFormat="1" applyFont="1" applyFill="1" applyBorder="1"/>
    <xf numFmtId="4" fontId="15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44" fontId="15" fillId="0" borderId="0" xfId="0" applyNumberFormat="1" applyFont="1" applyFill="1" applyBorder="1"/>
    <xf numFmtId="10" fontId="15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/>
    <xf numFmtId="37" fontId="15" fillId="0" borderId="0" xfId="0" applyNumberFormat="1" applyFont="1" applyFill="1" applyBorder="1" applyAlignment="1">
      <alignment horizontal="center"/>
    </xf>
    <xf numFmtId="43" fontId="15" fillId="0" borderId="0" xfId="1" applyFont="1" applyFill="1" applyBorder="1"/>
    <xf numFmtId="3" fontId="17" fillId="0" borderId="0" xfId="0" applyNumberFormat="1" applyFont="1" applyFill="1" applyBorder="1"/>
    <xf numFmtId="0" fontId="17" fillId="0" borderId="28" xfId="0" applyFont="1" applyFill="1" applyBorder="1"/>
    <xf numFmtId="0" fontId="17" fillId="0" borderId="27" xfId="0" applyFont="1" applyFill="1" applyBorder="1"/>
    <xf numFmtId="0" fontId="15" fillId="0" borderId="4" xfId="0" applyFont="1" applyFill="1" applyBorder="1" applyAlignment="1">
      <alignment vertical="center"/>
    </xf>
    <xf numFmtId="0" fontId="15" fillId="0" borderId="33" xfId="0" applyFont="1" applyFill="1" applyBorder="1" applyAlignment="1">
      <alignment horizontal="center" vertical="center"/>
    </xf>
    <xf numFmtId="3" fontId="15" fillId="0" borderId="36" xfId="1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3" fontId="15" fillId="0" borderId="33" xfId="1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" fontId="15" fillId="0" borderId="36" xfId="0" applyNumberFormat="1" applyFont="1" applyFill="1" applyBorder="1" applyAlignment="1">
      <alignment horizontal="center" vertical="center"/>
    </xf>
    <xf numFmtId="1" fontId="17" fillId="0" borderId="3" xfId="0" applyNumberFormat="1" applyFont="1" applyFill="1" applyBorder="1" applyAlignment="1">
      <alignment horizontal="center" vertical="center"/>
    </xf>
    <xf numFmtId="170" fontId="17" fillId="0" borderId="3" xfId="1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1" fontId="15" fillId="0" borderId="35" xfId="0" applyNumberFormat="1" applyFont="1" applyFill="1" applyBorder="1" applyAlignment="1">
      <alignment horizontal="center" vertical="center"/>
    </xf>
    <xf numFmtId="0" fontId="64" fillId="0" borderId="36" xfId="706" applyFont="1" applyFill="1" applyBorder="1" applyAlignment="1">
      <alignment horizontal="center" vertical="center" wrapText="1"/>
    </xf>
    <xf numFmtId="0" fontId="64" fillId="0" borderId="36" xfId="706" applyFont="1" applyFill="1" applyBorder="1" applyAlignment="1">
      <alignment horizontal="center" vertical="center"/>
    </xf>
    <xf numFmtId="0" fontId="64" fillId="0" borderId="36" xfId="802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 vertical="center" wrapText="1"/>
    </xf>
    <xf numFmtId="167" fontId="17" fillId="0" borderId="0" xfId="0" applyNumberFormat="1" applyFont="1" applyFill="1" applyBorder="1" applyAlignment="1">
      <alignment horizontal="center"/>
    </xf>
    <xf numFmtId="167" fontId="15" fillId="0" borderId="36" xfId="2" applyNumberFormat="1" applyFont="1" applyFill="1" applyBorder="1" applyAlignment="1">
      <alignment horizontal="center" vertical="center"/>
    </xf>
    <xf numFmtId="167" fontId="15" fillId="0" borderId="33" xfId="0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64" fillId="0" borderId="36" xfId="511" applyFont="1" applyFill="1" applyBorder="1" applyAlignment="1">
      <alignment horizontal="center" vertical="center" wrapText="1"/>
    </xf>
    <xf numFmtId="3" fontId="15" fillId="0" borderId="34" xfId="1" applyNumberFormat="1" applyFont="1" applyFill="1" applyBorder="1" applyAlignment="1">
      <alignment horizontal="center" vertical="center"/>
    </xf>
    <xf numFmtId="42" fontId="15" fillId="0" borderId="36" xfId="2" applyNumberFormat="1" applyFont="1" applyFill="1" applyBorder="1" applyAlignment="1">
      <alignment horizontal="center" vertical="center"/>
    </xf>
    <xf numFmtId="42" fontId="15" fillId="0" borderId="34" xfId="0" applyNumberFormat="1" applyFont="1" applyFill="1" applyBorder="1" applyAlignment="1">
      <alignment horizontal="center" vertical="center"/>
    </xf>
    <xf numFmtId="42" fontId="15" fillId="0" borderId="36" xfId="0" applyNumberFormat="1" applyFont="1" applyFill="1" applyBorder="1" applyAlignment="1">
      <alignment horizontal="center" vertical="center"/>
    </xf>
    <xf numFmtId="165" fontId="15" fillId="4" borderId="0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3" fontId="17" fillId="0" borderId="31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/>
    </xf>
    <xf numFmtId="42" fontId="17" fillId="0" borderId="3" xfId="0" applyNumberFormat="1" applyFont="1" applyFill="1" applyBorder="1" applyAlignment="1">
      <alignment horizontal="center" vertical="center"/>
    </xf>
    <xf numFmtId="42" fontId="17" fillId="0" borderId="3" xfId="2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2" fontId="17" fillId="0" borderId="31" xfId="0" applyNumberFormat="1" applyFont="1" applyFill="1" applyBorder="1" applyAlignment="1">
      <alignment horizontal="center" vertical="center"/>
    </xf>
    <xf numFmtId="42" fontId="17" fillId="58" borderId="3" xfId="0" applyNumberFormat="1" applyFont="1" applyFill="1" applyBorder="1" applyAlignment="1">
      <alignment horizontal="center" vertical="center"/>
    </xf>
    <xf numFmtId="165" fontId="17" fillId="4" borderId="3" xfId="0" applyNumberFormat="1" applyFont="1" applyFill="1" applyBorder="1" applyAlignment="1">
      <alignment horizontal="center" vertical="center"/>
    </xf>
    <xf numFmtId="42" fontId="15" fillId="4" borderId="0" xfId="0" applyNumberFormat="1" applyFont="1" applyFill="1" applyBorder="1" applyAlignment="1">
      <alignment horizontal="center" vertical="center"/>
    </xf>
    <xf numFmtId="167" fontId="17" fillId="4" borderId="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indent="2"/>
    </xf>
    <xf numFmtId="0" fontId="17" fillId="0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5" fillId="0" borderId="27" xfId="0" applyFont="1" applyFill="1" applyBorder="1"/>
    <xf numFmtId="0" fontId="64" fillId="0" borderId="36" xfId="511" applyFont="1" applyFill="1" applyBorder="1" applyAlignment="1">
      <alignment horizontal="center" vertical="center"/>
    </xf>
    <xf numFmtId="0" fontId="64" fillId="0" borderId="36" xfId="802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/>
    </xf>
    <xf numFmtId="0" fontId="15" fillId="59" borderId="28" xfId="0" applyFont="1" applyFill="1" applyBorder="1" applyAlignment="1">
      <alignment horizontal="center" vertical="center"/>
    </xf>
    <xf numFmtId="0" fontId="15" fillId="59" borderId="35" xfId="0" applyFont="1" applyFill="1" applyBorder="1" applyAlignment="1">
      <alignment horizontal="center" vertical="center"/>
    </xf>
    <xf numFmtId="165" fontId="15" fillId="59" borderId="29" xfId="0" applyNumberFormat="1" applyFont="1" applyFill="1" applyBorder="1" applyAlignment="1">
      <alignment horizontal="center" vertical="center"/>
    </xf>
    <xf numFmtId="165" fontId="15" fillId="59" borderId="36" xfId="0" applyNumberFormat="1" applyFont="1" applyFill="1" applyBorder="1" applyAlignment="1">
      <alignment horizontal="center" vertical="center"/>
    </xf>
    <xf numFmtId="166" fontId="15" fillId="59" borderId="36" xfId="0" applyNumberFormat="1" applyFont="1" applyFill="1" applyBorder="1" applyAlignment="1">
      <alignment horizontal="center" vertical="center"/>
    </xf>
    <xf numFmtId="165" fontId="15" fillId="59" borderId="30" xfId="0" applyNumberFormat="1" applyFont="1" applyFill="1" applyBorder="1" applyAlignment="1">
      <alignment horizontal="center" vertical="center"/>
    </xf>
    <xf numFmtId="165" fontId="15" fillId="59" borderId="37" xfId="0" applyNumberFormat="1" applyFont="1" applyFill="1" applyBorder="1" applyAlignment="1">
      <alignment horizontal="center" vertical="center"/>
    </xf>
    <xf numFmtId="165" fontId="17" fillId="60" borderId="31" xfId="0" applyNumberFormat="1" applyFont="1" applyFill="1" applyBorder="1" applyAlignment="1">
      <alignment horizontal="center" vertical="center"/>
    </xf>
    <xf numFmtId="165" fontId="17" fillId="60" borderId="3" xfId="0" applyNumberFormat="1" applyFont="1" applyFill="1" applyBorder="1" applyAlignment="1">
      <alignment horizontal="center" vertical="center"/>
    </xf>
    <xf numFmtId="166" fontId="17" fillId="60" borderId="3" xfId="0" applyNumberFormat="1" applyFont="1" applyFill="1" applyBorder="1" applyAlignment="1">
      <alignment horizontal="center" vertical="center"/>
    </xf>
    <xf numFmtId="0" fontId="15" fillId="61" borderId="28" xfId="0" applyFont="1" applyFill="1" applyBorder="1" applyAlignment="1">
      <alignment horizontal="center" vertical="center"/>
    </xf>
    <xf numFmtId="0" fontId="15" fillId="61" borderId="35" xfId="0" applyFont="1" applyFill="1" applyBorder="1" applyAlignment="1">
      <alignment horizontal="center" vertical="center"/>
    </xf>
    <xf numFmtId="165" fontId="15" fillId="61" borderId="29" xfId="0" applyNumberFormat="1" applyFont="1" applyFill="1" applyBorder="1" applyAlignment="1">
      <alignment horizontal="center" vertical="center"/>
    </xf>
    <xf numFmtId="165" fontId="15" fillId="61" borderId="36" xfId="0" applyNumberFormat="1" applyFont="1" applyFill="1" applyBorder="1" applyAlignment="1">
      <alignment horizontal="center" vertical="center"/>
    </xf>
    <xf numFmtId="166" fontId="15" fillId="61" borderId="36" xfId="0" applyNumberFormat="1" applyFont="1" applyFill="1" applyBorder="1" applyAlignment="1">
      <alignment horizontal="center" vertical="center"/>
    </xf>
    <xf numFmtId="165" fontId="15" fillId="61" borderId="30" xfId="0" applyNumberFormat="1" applyFont="1" applyFill="1" applyBorder="1" applyAlignment="1">
      <alignment horizontal="center" vertical="center"/>
    </xf>
    <xf numFmtId="165" fontId="15" fillId="61" borderId="37" xfId="0" applyNumberFormat="1" applyFont="1" applyFill="1" applyBorder="1" applyAlignment="1">
      <alignment horizontal="center" vertical="center"/>
    </xf>
    <xf numFmtId="165" fontId="17" fillId="62" borderId="31" xfId="0" applyNumberFormat="1" applyFont="1" applyFill="1" applyBorder="1" applyAlignment="1">
      <alignment horizontal="center" vertical="center"/>
    </xf>
    <xf numFmtId="165" fontId="17" fillId="62" borderId="3" xfId="0" applyNumberFormat="1" applyFont="1" applyFill="1" applyBorder="1" applyAlignment="1">
      <alignment horizontal="center" vertical="center"/>
    </xf>
    <xf numFmtId="166" fontId="17" fillId="62" borderId="3" xfId="0" applyNumberFormat="1" applyFont="1" applyFill="1" applyBorder="1" applyAlignment="1">
      <alignment horizontal="center" vertical="center"/>
    </xf>
    <xf numFmtId="167" fontId="15" fillId="63" borderId="36" xfId="0" applyNumberFormat="1" applyFont="1" applyFill="1" applyBorder="1" applyAlignment="1">
      <alignment horizontal="center" vertical="center"/>
    </xf>
    <xf numFmtId="42" fontId="15" fillId="63" borderId="36" xfId="0" applyNumberFormat="1" applyFont="1" applyFill="1" applyBorder="1" applyAlignment="1">
      <alignment horizontal="center" vertical="center"/>
    </xf>
    <xf numFmtId="0" fontId="15" fillId="63" borderId="3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10" fontId="15" fillId="0" borderId="0" xfId="0" applyNumberFormat="1" applyFont="1" applyFill="1" applyAlignment="1" applyProtection="1">
      <alignment horizontal="center"/>
    </xf>
    <xf numFmtId="164" fontId="19" fillId="0" borderId="0" xfId="15" applyNumberFormat="1" applyFont="1"/>
    <xf numFmtId="164" fontId="19" fillId="0" borderId="0" xfId="275" applyNumberFormat="1"/>
    <xf numFmtId="10" fontId="19" fillId="0" borderId="0" xfId="275" applyNumberFormat="1"/>
    <xf numFmtId="44" fontId="17" fillId="0" borderId="0" xfId="0" applyNumberFormat="1" applyFont="1" applyFill="1" applyBorder="1" applyAlignment="1">
      <alignment horizontal="center"/>
    </xf>
    <xf numFmtId="172" fontId="15" fillId="0" borderId="36" xfId="0" applyNumberFormat="1" applyFont="1" applyFill="1" applyBorder="1" applyAlignment="1">
      <alignment horizontal="center" vertical="center"/>
    </xf>
    <xf numFmtId="172" fontId="15" fillId="0" borderId="36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" fontId="17" fillId="0" borderId="3" xfId="0" applyNumberFormat="1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58" borderId="3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17" fillId="60" borderId="39" xfId="0" applyFont="1" applyFill="1" applyBorder="1" applyAlignment="1">
      <alignment horizontal="center" vertical="center" wrapText="1"/>
    </xf>
    <xf numFmtId="0" fontId="17" fillId="60" borderId="3" xfId="0" applyFont="1" applyFill="1" applyBorder="1" applyAlignment="1">
      <alignment horizontal="center" vertical="center"/>
    </xf>
    <xf numFmtId="0" fontId="17" fillId="60" borderId="3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/>
    </xf>
    <xf numFmtId="0" fontId="17" fillId="62" borderId="39" xfId="0" applyFont="1" applyFill="1" applyBorder="1" applyAlignment="1">
      <alignment horizontal="center" vertical="center"/>
    </xf>
    <xf numFmtId="0" fontId="17" fillId="62" borderId="3" xfId="0" applyFont="1" applyFill="1" applyBorder="1" applyAlignment="1">
      <alignment horizontal="center" vertical="center"/>
    </xf>
    <xf numFmtId="0" fontId="17" fillId="62" borderId="3" xfId="0" applyFont="1" applyFill="1" applyBorder="1" applyAlignment="1">
      <alignment horizontal="center" vertical="center" wrapText="1"/>
    </xf>
    <xf numFmtId="10" fontId="15" fillId="0" borderId="0" xfId="0" applyNumberFormat="1" applyFont="1" applyFill="1" applyAlignment="1" applyProtection="1">
      <alignment horizontal="left"/>
    </xf>
    <xf numFmtId="172" fontId="17" fillId="0" borderId="0" xfId="0" applyNumberFormat="1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indent="2"/>
    </xf>
    <xf numFmtId="0" fontId="17" fillId="0" borderId="0" xfId="0" applyFont="1" applyAlignment="1">
      <alignment horizontal="center"/>
    </xf>
    <xf numFmtId="0" fontId="0" fillId="0" borderId="0" xfId="0" applyAlignment="1"/>
    <xf numFmtId="0" fontId="21" fillId="0" borderId="0" xfId="3" applyFont="1" applyAlignment="1">
      <alignment horizontal="center"/>
    </xf>
  </cellXfs>
  <cellStyles count="816">
    <cellStyle name="20% - Accent1" xfId="50" builtinId="30" customBuiltin="1"/>
    <cellStyle name="20% - Accent1 2" xfId="225"/>
    <cellStyle name="20% - Accent1 3" xfId="300"/>
    <cellStyle name="20% - Accent1 3 2" xfId="427"/>
    <cellStyle name="20% - Accent1 3 2 2" xfId="718"/>
    <cellStyle name="20% - Accent1 3 3" xfId="592"/>
    <cellStyle name="20% - Accent1 4" xfId="364"/>
    <cellStyle name="20% - Accent1 4 2" xfId="655"/>
    <cellStyle name="20% - Accent1 5" xfId="513"/>
    <cellStyle name="20% - Accent1 6" xfId="804"/>
    <cellStyle name="20% - Accent2" xfId="54" builtinId="34" customBuiltin="1"/>
    <cellStyle name="20% - Accent2 2" xfId="226"/>
    <cellStyle name="20% - Accent2 3" xfId="302"/>
    <cellStyle name="20% - Accent2 3 2" xfId="429"/>
    <cellStyle name="20% - Accent2 3 2 2" xfId="720"/>
    <cellStyle name="20% - Accent2 3 3" xfId="594"/>
    <cellStyle name="20% - Accent2 4" xfId="366"/>
    <cellStyle name="20% - Accent2 4 2" xfId="657"/>
    <cellStyle name="20% - Accent2 5" xfId="515"/>
    <cellStyle name="20% - Accent2 6" xfId="806"/>
    <cellStyle name="20% - Accent3" xfId="58" builtinId="38" customBuiltin="1"/>
    <cellStyle name="20% - Accent3 2" xfId="227"/>
    <cellStyle name="20% - Accent3 3" xfId="304"/>
    <cellStyle name="20% - Accent3 3 2" xfId="431"/>
    <cellStyle name="20% - Accent3 3 2 2" xfId="722"/>
    <cellStyle name="20% - Accent3 3 3" xfId="596"/>
    <cellStyle name="20% - Accent3 4" xfId="368"/>
    <cellStyle name="20% - Accent3 4 2" xfId="659"/>
    <cellStyle name="20% - Accent3 5" xfId="517"/>
    <cellStyle name="20% - Accent3 6" xfId="808"/>
    <cellStyle name="20% - Accent4" xfId="62" builtinId="42" customBuiltin="1"/>
    <cellStyle name="20% - Accent4 2" xfId="228"/>
    <cellStyle name="20% - Accent4 3" xfId="306"/>
    <cellStyle name="20% - Accent4 3 2" xfId="433"/>
    <cellStyle name="20% - Accent4 3 2 2" xfId="724"/>
    <cellStyle name="20% - Accent4 3 3" xfId="598"/>
    <cellStyle name="20% - Accent4 4" xfId="370"/>
    <cellStyle name="20% - Accent4 4 2" xfId="661"/>
    <cellStyle name="20% - Accent4 5" xfId="519"/>
    <cellStyle name="20% - Accent4 6" xfId="810"/>
    <cellStyle name="20% - Accent5" xfId="66" builtinId="46" customBuiltin="1"/>
    <cellStyle name="20% - Accent5 2" xfId="229"/>
    <cellStyle name="20% - Accent5 3" xfId="308"/>
    <cellStyle name="20% - Accent5 3 2" xfId="435"/>
    <cellStyle name="20% - Accent5 3 2 2" xfId="726"/>
    <cellStyle name="20% - Accent5 3 3" xfId="600"/>
    <cellStyle name="20% - Accent5 4" xfId="372"/>
    <cellStyle name="20% - Accent5 4 2" xfId="663"/>
    <cellStyle name="20% - Accent5 5" xfId="521"/>
    <cellStyle name="20% - Accent5 6" xfId="812"/>
    <cellStyle name="20% - Accent6" xfId="70" builtinId="50" customBuiltin="1"/>
    <cellStyle name="20% - Accent6 2" xfId="230"/>
    <cellStyle name="20% - Accent6 3" xfId="310"/>
    <cellStyle name="20% - Accent6 3 2" xfId="437"/>
    <cellStyle name="20% - Accent6 3 2 2" xfId="728"/>
    <cellStyle name="20% - Accent6 3 3" xfId="602"/>
    <cellStyle name="20% - Accent6 4" xfId="374"/>
    <cellStyle name="20% - Accent6 4 2" xfId="665"/>
    <cellStyle name="20% - Accent6 5" xfId="523"/>
    <cellStyle name="20% - Accent6 6" xfId="814"/>
    <cellStyle name="40% - Accent1" xfId="51" builtinId="31" customBuiltin="1"/>
    <cellStyle name="40% - Accent1 2" xfId="231"/>
    <cellStyle name="40% - Accent1 3" xfId="301"/>
    <cellStyle name="40% - Accent1 3 2" xfId="428"/>
    <cellStyle name="40% - Accent1 3 2 2" xfId="719"/>
    <cellStyle name="40% - Accent1 3 3" xfId="593"/>
    <cellStyle name="40% - Accent1 4" xfId="365"/>
    <cellStyle name="40% - Accent1 4 2" xfId="656"/>
    <cellStyle name="40% - Accent1 5" xfId="514"/>
    <cellStyle name="40% - Accent1 6" xfId="805"/>
    <cellStyle name="40% - Accent2" xfId="55" builtinId="35" customBuiltin="1"/>
    <cellStyle name="40% - Accent2 2" xfId="232"/>
    <cellStyle name="40% - Accent2 3" xfId="303"/>
    <cellStyle name="40% - Accent2 3 2" xfId="430"/>
    <cellStyle name="40% - Accent2 3 2 2" xfId="721"/>
    <cellStyle name="40% - Accent2 3 3" xfId="595"/>
    <cellStyle name="40% - Accent2 4" xfId="367"/>
    <cellStyle name="40% - Accent2 4 2" xfId="658"/>
    <cellStyle name="40% - Accent2 5" xfId="516"/>
    <cellStyle name="40% - Accent2 6" xfId="807"/>
    <cellStyle name="40% - Accent3" xfId="59" builtinId="39" customBuiltin="1"/>
    <cellStyle name="40% - Accent3 2" xfId="233"/>
    <cellStyle name="40% - Accent3 3" xfId="305"/>
    <cellStyle name="40% - Accent3 3 2" xfId="432"/>
    <cellStyle name="40% - Accent3 3 2 2" xfId="723"/>
    <cellStyle name="40% - Accent3 3 3" xfId="597"/>
    <cellStyle name="40% - Accent3 4" xfId="369"/>
    <cellStyle name="40% - Accent3 4 2" xfId="660"/>
    <cellStyle name="40% - Accent3 5" xfId="518"/>
    <cellStyle name="40% - Accent3 6" xfId="809"/>
    <cellStyle name="40% - Accent4" xfId="63" builtinId="43" customBuiltin="1"/>
    <cellStyle name="40% - Accent4 2" xfId="234"/>
    <cellStyle name="40% - Accent4 3" xfId="307"/>
    <cellStyle name="40% - Accent4 3 2" xfId="434"/>
    <cellStyle name="40% - Accent4 3 2 2" xfId="725"/>
    <cellStyle name="40% - Accent4 3 3" xfId="599"/>
    <cellStyle name="40% - Accent4 4" xfId="371"/>
    <cellStyle name="40% - Accent4 4 2" xfId="662"/>
    <cellStyle name="40% - Accent4 5" xfId="520"/>
    <cellStyle name="40% - Accent4 6" xfId="811"/>
    <cellStyle name="40% - Accent5" xfId="67" builtinId="47" customBuiltin="1"/>
    <cellStyle name="40% - Accent5 2" xfId="235"/>
    <cellStyle name="40% - Accent5 3" xfId="309"/>
    <cellStyle name="40% - Accent5 3 2" xfId="436"/>
    <cellStyle name="40% - Accent5 3 2 2" xfId="727"/>
    <cellStyle name="40% - Accent5 3 3" xfId="601"/>
    <cellStyle name="40% - Accent5 4" xfId="373"/>
    <cellStyle name="40% - Accent5 4 2" xfId="664"/>
    <cellStyle name="40% - Accent5 5" xfId="522"/>
    <cellStyle name="40% - Accent5 6" xfId="813"/>
    <cellStyle name="40% - Accent6" xfId="71" builtinId="51" customBuiltin="1"/>
    <cellStyle name="40% - Accent6 2" xfId="236"/>
    <cellStyle name="40% - Accent6 3" xfId="311"/>
    <cellStyle name="40% - Accent6 3 2" xfId="438"/>
    <cellStyle name="40% - Accent6 3 2 2" xfId="729"/>
    <cellStyle name="40% - Accent6 3 3" xfId="603"/>
    <cellStyle name="40% - Accent6 4" xfId="375"/>
    <cellStyle name="40% - Accent6 4 2" xfId="666"/>
    <cellStyle name="40% - Accent6 5" xfId="524"/>
    <cellStyle name="40% - Accent6 6" xfId="815"/>
    <cellStyle name="60% - Accent1" xfId="52" builtinId="32" customBuiltin="1"/>
    <cellStyle name="60% - Accent1 2" xfId="237"/>
    <cellStyle name="60% - Accent2" xfId="56" builtinId="36" customBuiltin="1"/>
    <cellStyle name="60% - Accent2 2" xfId="238"/>
    <cellStyle name="60% - Accent3" xfId="60" builtinId="40" customBuiltin="1"/>
    <cellStyle name="60% - Accent3 2" xfId="239"/>
    <cellStyle name="60% - Accent4" xfId="64" builtinId="44" customBuiltin="1"/>
    <cellStyle name="60% - Accent4 2" xfId="240"/>
    <cellStyle name="60% - Accent5" xfId="68" builtinId="48" customBuiltin="1"/>
    <cellStyle name="60% - Accent5 2" xfId="241"/>
    <cellStyle name="60% - Accent6" xfId="72" builtinId="52" customBuiltin="1"/>
    <cellStyle name="60% - Accent6 2" xfId="242"/>
    <cellStyle name="Accent1" xfId="49" builtinId="29" customBuiltin="1"/>
    <cellStyle name="Accent1 2" xfId="243"/>
    <cellStyle name="Accent2" xfId="53" builtinId="33" customBuiltin="1"/>
    <cellStyle name="Accent2 2" xfId="244"/>
    <cellStyle name="Accent3" xfId="57" builtinId="37" customBuiltin="1"/>
    <cellStyle name="Accent3 2" xfId="245"/>
    <cellStyle name="Accent4" xfId="61" builtinId="41" customBuiltin="1"/>
    <cellStyle name="Accent4 2" xfId="246"/>
    <cellStyle name="Accent5" xfId="65" builtinId="45" customBuiltin="1"/>
    <cellStyle name="Accent5 2" xfId="247"/>
    <cellStyle name="Accent6" xfId="69" builtinId="49" customBuiltin="1"/>
    <cellStyle name="Accent6 2" xfId="248"/>
    <cellStyle name="Bad" xfId="39" builtinId="27" customBuiltin="1"/>
    <cellStyle name="Bad 2" xfId="249"/>
    <cellStyle name="Calculation" xfId="43" builtinId="22" customBuiltin="1"/>
    <cellStyle name="Calculation 2" xfId="250"/>
    <cellStyle name="Check Cell" xfId="45" builtinId="23" customBuiltin="1"/>
    <cellStyle name="Check Cell 2" xfId="251"/>
    <cellStyle name="Comma" xfId="1" builtinId="3"/>
    <cellStyle name="Comma 2" xfId="7"/>
    <cellStyle name="Comma 2 10" xfId="485"/>
    <cellStyle name="Comma 2 10 2" xfId="776"/>
    <cellStyle name="Comma 2 11" xfId="497"/>
    <cellStyle name="Comma 2 11 2" xfId="788"/>
    <cellStyle name="Comma 2 12" xfId="526"/>
    <cellStyle name="Comma 2 2" xfId="32"/>
    <cellStyle name="Comma 2 3" xfId="113"/>
    <cellStyle name="Comma 2 4" xfId="80"/>
    <cellStyle name="Comma 2 4 2" xfId="314"/>
    <cellStyle name="Comma 2 4 2 2" xfId="441"/>
    <cellStyle name="Comma 2 4 2 2 2" xfId="732"/>
    <cellStyle name="Comma 2 4 2 3" xfId="606"/>
    <cellStyle name="Comma 2 4 3" xfId="378"/>
    <cellStyle name="Comma 2 4 3 2" xfId="669"/>
    <cellStyle name="Comma 2 4 4" xfId="543"/>
    <cellStyle name="Comma 2 5" xfId="252"/>
    <cellStyle name="Comma 2 5 2" xfId="334"/>
    <cellStyle name="Comma 2 5 2 2" xfId="460"/>
    <cellStyle name="Comma 2 5 2 2 2" xfId="751"/>
    <cellStyle name="Comma 2 5 2 3" xfId="625"/>
    <cellStyle name="Comma 2 5 3" xfId="397"/>
    <cellStyle name="Comma 2 5 3 2" xfId="688"/>
    <cellStyle name="Comma 2 5 4" xfId="562"/>
    <cellStyle name="Comma 2 6" xfId="276"/>
    <cellStyle name="Comma 2 6 2" xfId="340"/>
    <cellStyle name="Comma 2 6 2 2" xfId="466"/>
    <cellStyle name="Comma 2 6 2 2 2" xfId="757"/>
    <cellStyle name="Comma 2 6 2 3" xfId="631"/>
    <cellStyle name="Comma 2 6 3" xfId="403"/>
    <cellStyle name="Comma 2 6 3 2" xfId="694"/>
    <cellStyle name="Comma 2 6 4" xfId="568"/>
    <cellStyle name="Comma 2 7" xfId="289"/>
    <cellStyle name="Comma 2 7 2" xfId="416"/>
    <cellStyle name="Comma 2 7 2 2" xfId="707"/>
    <cellStyle name="Comma 2 7 3" xfId="581"/>
    <cellStyle name="Comma 2 8" xfId="353"/>
    <cellStyle name="Comma 2 8 2" xfId="644"/>
    <cellStyle name="Comma 2 9" xfId="479"/>
    <cellStyle name="Comma 2 9 2" xfId="770"/>
    <cellStyle name="Comma 3" xfId="11"/>
    <cellStyle name="Comma 3 2" xfId="83"/>
    <cellStyle name="Comma 3 2 2" xfId="273"/>
    <cellStyle name="Comma 3 2 2 2" xfId="338"/>
    <cellStyle name="Comma 3 2 2 2 2" xfId="464"/>
    <cellStyle name="Comma 3 2 2 2 2 2" xfId="755"/>
    <cellStyle name="Comma 3 2 2 2 3" xfId="629"/>
    <cellStyle name="Comma 3 2 2 3" xfId="401"/>
    <cellStyle name="Comma 3 2 2 3 2" xfId="692"/>
    <cellStyle name="Comma 3 2 2 4" xfId="566"/>
    <cellStyle name="Comma 3 2 3" xfId="317"/>
    <cellStyle name="Comma 3 2 3 2" xfId="444"/>
    <cellStyle name="Comma 3 2 3 2 2" xfId="735"/>
    <cellStyle name="Comma 3 2 3 3" xfId="609"/>
    <cellStyle name="Comma 3 2 4" xfId="381"/>
    <cellStyle name="Comma 3 2 4 2" xfId="672"/>
    <cellStyle name="Comma 3 2 5" xfId="480"/>
    <cellStyle name="Comma 3 2 5 2" xfId="771"/>
    <cellStyle name="Comma 3 2 6" xfId="546"/>
    <cellStyle name="Comma 3 3" xfId="253"/>
    <cellStyle name="Comma 3 4" xfId="277"/>
    <cellStyle name="Comma 3 4 2" xfId="341"/>
    <cellStyle name="Comma 3 4 2 2" xfId="467"/>
    <cellStyle name="Comma 3 4 2 2 2" xfId="758"/>
    <cellStyle name="Comma 3 4 2 3" xfId="632"/>
    <cellStyle name="Comma 3 4 3" xfId="404"/>
    <cellStyle name="Comma 3 4 3 2" xfId="695"/>
    <cellStyle name="Comma 3 4 4" xfId="569"/>
    <cellStyle name="Comma 3 5" xfId="292"/>
    <cellStyle name="Comma 3 5 2" xfId="419"/>
    <cellStyle name="Comma 3 5 2 2" xfId="710"/>
    <cellStyle name="Comma 3 5 3" xfId="584"/>
    <cellStyle name="Comma 3 6" xfId="356"/>
    <cellStyle name="Comma 3 6 2" xfId="647"/>
    <cellStyle name="Comma 3 7" xfId="486"/>
    <cellStyle name="Comma 3 7 2" xfId="777"/>
    <cellStyle name="Comma 3 8" xfId="498"/>
    <cellStyle name="Comma 3 8 2" xfId="789"/>
    <cellStyle name="Comma 3 9" xfId="530"/>
    <cellStyle name="Comma 4" xfId="13"/>
    <cellStyle name="Comma 5" xfId="76"/>
    <cellStyle name="Comma 6" xfId="528"/>
    <cellStyle name="Currency" xfId="2" builtinId="4"/>
    <cellStyle name="Currency 2" xfId="8"/>
    <cellStyle name="Currency 2 10" xfId="487"/>
    <cellStyle name="Currency 2 10 2" xfId="778"/>
    <cellStyle name="Currency 2 11" xfId="499"/>
    <cellStyle name="Currency 2 11 2" xfId="790"/>
    <cellStyle name="Currency 2 12" xfId="527"/>
    <cellStyle name="Currency 2 2" xfId="29"/>
    <cellStyle name="Currency 2 2 2" xfId="90"/>
    <cellStyle name="Currency 2 2 2 2" xfId="324"/>
    <cellStyle name="Currency 2 2 2 2 2" xfId="451"/>
    <cellStyle name="Currency 2 2 2 2 2 2" xfId="742"/>
    <cellStyle name="Currency 2 2 2 2 3" xfId="616"/>
    <cellStyle name="Currency 2 2 2 3" xfId="388"/>
    <cellStyle name="Currency 2 2 2 3 2" xfId="679"/>
    <cellStyle name="Currency 2 2 2 4" xfId="553"/>
    <cellStyle name="Currency 2 2 3" xfId="279"/>
    <cellStyle name="Currency 2 2 3 2" xfId="343"/>
    <cellStyle name="Currency 2 2 3 2 2" xfId="469"/>
    <cellStyle name="Currency 2 2 3 2 2 2" xfId="760"/>
    <cellStyle name="Currency 2 2 3 2 3" xfId="634"/>
    <cellStyle name="Currency 2 2 3 3" xfId="406"/>
    <cellStyle name="Currency 2 2 3 3 2" xfId="697"/>
    <cellStyle name="Currency 2 2 3 4" xfId="571"/>
    <cellStyle name="Currency 2 2 4" xfId="299"/>
    <cellStyle name="Currency 2 2 4 2" xfId="426"/>
    <cellStyle name="Currency 2 2 4 2 2" xfId="717"/>
    <cellStyle name="Currency 2 2 4 3" xfId="591"/>
    <cellStyle name="Currency 2 2 5" xfId="363"/>
    <cellStyle name="Currency 2 2 5 2" xfId="654"/>
    <cellStyle name="Currency 2 2 6" xfId="488"/>
    <cellStyle name="Currency 2 2 6 2" xfId="779"/>
    <cellStyle name="Currency 2 2 7" xfId="500"/>
    <cellStyle name="Currency 2 2 7 2" xfId="791"/>
    <cellStyle name="Currency 2 2 8" xfId="536"/>
    <cellStyle name="Currency 2 3" xfId="95"/>
    <cellStyle name="Currency 2 3 2" xfId="329"/>
    <cellStyle name="Currency 2 3 2 2" xfId="456"/>
    <cellStyle name="Currency 2 3 2 2 2" xfId="747"/>
    <cellStyle name="Currency 2 3 2 3" xfId="621"/>
    <cellStyle name="Currency 2 3 3" xfId="393"/>
    <cellStyle name="Currency 2 3 3 2" xfId="684"/>
    <cellStyle name="Currency 2 3 4" xfId="558"/>
    <cellStyle name="Currency 2 4" xfId="81"/>
    <cellStyle name="Currency 2 4 2" xfId="315"/>
    <cellStyle name="Currency 2 4 2 2" xfId="442"/>
    <cellStyle name="Currency 2 4 2 2 2" xfId="733"/>
    <cellStyle name="Currency 2 4 2 3" xfId="607"/>
    <cellStyle name="Currency 2 4 3" xfId="379"/>
    <cellStyle name="Currency 2 4 3 2" xfId="670"/>
    <cellStyle name="Currency 2 4 4" xfId="544"/>
    <cellStyle name="Currency 2 5" xfId="254"/>
    <cellStyle name="Currency 2 5 2" xfId="335"/>
    <cellStyle name="Currency 2 5 2 2" xfId="461"/>
    <cellStyle name="Currency 2 5 2 2 2" xfId="752"/>
    <cellStyle name="Currency 2 5 2 3" xfId="626"/>
    <cellStyle name="Currency 2 5 3" xfId="398"/>
    <cellStyle name="Currency 2 5 3 2" xfId="689"/>
    <cellStyle name="Currency 2 5 4" xfId="563"/>
    <cellStyle name="Currency 2 6" xfId="278"/>
    <cellStyle name="Currency 2 6 2" xfId="342"/>
    <cellStyle name="Currency 2 6 2 2" xfId="468"/>
    <cellStyle name="Currency 2 6 2 2 2" xfId="759"/>
    <cellStyle name="Currency 2 6 2 3" xfId="633"/>
    <cellStyle name="Currency 2 6 3" xfId="405"/>
    <cellStyle name="Currency 2 6 3 2" xfId="696"/>
    <cellStyle name="Currency 2 6 4" xfId="570"/>
    <cellStyle name="Currency 2 7" xfId="290"/>
    <cellStyle name="Currency 2 7 2" xfId="417"/>
    <cellStyle name="Currency 2 7 2 2" xfId="708"/>
    <cellStyle name="Currency 2 7 3" xfId="582"/>
    <cellStyle name="Currency 2 8" xfId="354"/>
    <cellStyle name="Currency 2 8 2" xfId="645"/>
    <cellStyle name="Currency 2 9" xfId="481"/>
    <cellStyle name="Currency 2 9 2" xfId="772"/>
    <cellStyle name="Currency 3" xfId="12"/>
    <cellStyle name="Currency 3 10" xfId="525"/>
    <cellStyle name="Currency 3 2" xfId="30"/>
    <cellStyle name="Currency 3 2 2" xfId="274"/>
    <cellStyle name="Currency 3 2 2 2" xfId="339"/>
    <cellStyle name="Currency 3 2 2 2 2" xfId="465"/>
    <cellStyle name="Currency 3 2 2 2 2 2" xfId="756"/>
    <cellStyle name="Currency 3 2 2 2 3" xfId="630"/>
    <cellStyle name="Currency 3 2 2 3" xfId="402"/>
    <cellStyle name="Currency 3 2 2 3 2" xfId="693"/>
    <cellStyle name="Currency 3 2 2 4" xfId="567"/>
    <cellStyle name="Currency 3 2 3" xfId="482"/>
    <cellStyle name="Currency 3 2 3 2" xfId="773"/>
    <cellStyle name="Currency 3 3" xfId="84"/>
    <cellStyle name="Currency 3 3 2" xfId="318"/>
    <cellStyle name="Currency 3 3 2 2" xfId="445"/>
    <cellStyle name="Currency 3 3 2 2 2" xfId="736"/>
    <cellStyle name="Currency 3 3 2 3" xfId="610"/>
    <cellStyle name="Currency 3 3 3" xfId="382"/>
    <cellStyle name="Currency 3 3 3 2" xfId="673"/>
    <cellStyle name="Currency 3 3 4" xfId="547"/>
    <cellStyle name="Currency 3 4" xfId="255"/>
    <cellStyle name="Currency 3 5" xfId="280"/>
    <cellStyle name="Currency 3 5 2" xfId="344"/>
    <cellStyle name="Currency 3 5 2 2" xfId="470"/>
    <cellStyle name="Currency 3 5 2 2 2" xfId="761"/>
    <cellStyle name="Currency 3 5 2 3" xfId="635"/>
    <cellStyle name="Currency 3 5 3" xfId="407"/>
    <cellStyle name="Currency 3 5 3 2" xfId="698"/>
    <cellStyle name="Currency 3 5 4" xfId="572"/>
    <cellStyle name="Currency 3 6" xfId="293"/>
    <cellStyle name="Currency 3 6 2" xfId="420"/>
    <cellStyle name="Currency 3 6 2 2" xfId="711"/>
    <cellStyle name="Currency 3 6 3" xfId="585"/>
    <cellStyle name="Currency 3 7" xfId="357"/>
    <cellStyle name="Currency 3 7 2" xfId="648"/>
    <cellStyle name="Currency 3 8" xfId="489"/>
    <cellStyle name="Currency 3 8 2" xfId="780"/>
    <cellStyle name="Currency 3 9" xfId="501"/>
    <cellStyle name="Currency 3 9 2" xfId="792"/>
    <cellStyle name="Currency 4" xfId="14"/>
    <cellStyle name="Currency 4 2" xfId="23"/>
    <cellStyle name="Currency 4 2 2" xfId="88"/>
    <cellStyle name="Currency 4 2 2 2" xfId="322"/>
    <cellStyle name="Currency 4 2 2 2 2" xfId="449"/>
    <cellStyle name="Currency 4 2 2 2 2 2" xfId="740"/>
    <cellStyle name="Currency 4 2 2 2 3" xfId="614"/>
    <cellStyle name="Currency 4 2 2 3" xfId="386"/>
    <cellStyle name="Currency 4 2 2 3 2" xfId="677"/>
    <cellStyle name="Currency 4 2 2 4" xfId="551"/>
    <cellStyle name="Currency 4 2 3" xfId="281"/>
    <cellStyle name="Currency 4 2 3 2" xfId="345"/>
    <cellStyle name="Currency 4 2 3 2 2" xfId="471"/>
    <cellStyle name="Currency 4 2 3 2 2 2" xfId="762"/>
    <cellStyle name="Currency 4 2 3 2 3" xfId="636"/>
    <cellStyle name="Currency 4 2 3 3" xfId="408"/>
    <cellStyle name="Currency 4 2 3 3 2" xfId="699"/>
    <cellStyle name="Currency 4 2 3 4" xfId="573"/>
    <cellStyle name="Currency 4 2 4" xfId="297"/>
    <cellStyle name="Currency 4 2 4 2" xfId="424"/>
    <cellStyle name="Currency 4 2 4 2 2" xfId="715"/>
    <cellStyle name="Currency 4 2 4 3" xfId="589"/>
    <cellStyle name="Currency 4 2 5" xfId="361"/>
    <cellStyle name="Currency 4 2 5 2" xfId="652"/>
    <cellStyle name="Currency 4 2 6" xfId="490"/>
    <cellStyle name="Currency 4 2 6 2" xfId="781"/>
    <cellStyle name="Currency 4 2 7" xfId="502"/>
    <cellStyle name="Currency 4 2 7 2" xfId="793"/>
    <cellStyle name="Currency 4 2 8" xfId="540"/>
    <cellStyle name="Currency 4 3" xfId="222"/>
    <cellStyle name="Currency 5" xfId="92"/>
    <cellStyle name="Currency 5 2" xfId="326"/>
    <cellStyle name="Currency 5 2 2" xfId="453"/>
    <cellStyle name="Currency 5 2 2 2" xfId="744"/>
    <cellStyle name="Currency 5 2 3" xfId="618"/>
    <cellStyle name="Currency 5 3" xfId="390"/>
    <cellStyle name="Currency 5 3 2" xfId="681"/>
    <cellStyle name="Currency 5 4" xfId="555"/>
    <cellStyle name="Currency 6" xfId="77"/>
    <cellStyle name="Currency 7" xfId="510"/>
    <cellStyle name="Currency 7 2" xfId="801"/>
    <cellStyle name="Currency 8" xfId="534"/>
    <cellStyle name="Explanatory Text" xfId="47" builtinId="53" customBuiltin="1"/>
    <cellStyle name="Explanatory Text 2" xfId="256"/>
    <cellStyle name="Good" xfId="38" builtinId="26" customBuiltin="1"/>
    <cellStyle name="Good 2" xfId="257"/>
    <cellStyle name="Heading 1" xfId="34" builtinId="16" customBuiltin="1"/>
    <cellStyle name="Heading 1 2" xfId="258"/>
    <cellStyle name="Heading 2" xfId="35" builtinId="17" customBuiltin="1"/>
    <cellStyle name="Heading 2 2" xfId="259"/>
    <cellStyle name="Heading 3" xfId="36" builtinId="18" customBuiltin="1"/>
    <cellStyle name="Heading 3 2" xfId="260"/>
    <cellStyle name="Heading 4" xfId="37" builtinId="19" customBuiltin="1"/>
    <cellStyle name="Heading 4 2" xfId="261"/>
    <cellStyle name="Input" xfId="41" builtinId="20" customBuiltin="1"/>
    <cellStyle name="Input 2" xfId="262"/>
    <cellStyle name="Linked Cell" xfId="44" builtinId="24" customBuiltin="1"/>
    <cellStyle name="Linked Cell 2" xfId="263"/>
    <cellStyle name="Neutral" xfId="40" builtinId="28" customBuiltin="1"/>
    <cellStyle name="Neutral 2" xfId="264"/>
    <cellStyle name="Normal" xfId="0" builtinId="0"/>
    <cellStyle name="Normal 10" xfId="97"/>
    <cellStyle name="Normal 10 2" xfId="114"/>
    <cellStyle name="Normal 10 3" xfId="218"/>
    <cellStyle name="Normal 11" xfId="104"/>
    <cellStyle name="Normal 11 2" xfId="115"/>
    <cellStyle name="Normal 11 3" xfId="217"/>
    <cellStyle name="Normal 12" xfId="17"/>
    <cellStyle name="Normal 12 2" xfId="116"/>
    <cellStyle name="Normal 12 3" xfId="135"/>
    <cellStyle name="Normal 13" xfId="105"/>
    <cellStyle name="Normal 13 2" xfId="117"/>
    <cellStyle name="Normal 13 3" xfId="136"/>
    <cellStyle name="Normal 14" xfId="106"/>
    <cellStyle name="Normal 14 2" xfId="118"/>
    <cellStyle name="Normal 15" xfId="107"/>
    <cellStyle name="Normal 15 2" xfId="119"/>
    <cellStyle name="Normal 15 3" xfId="137"/>
    <cellStyle name="Normal 16" xfId="108"/>
    <cellStyle name="Normal 16 2" xfId="138"/>
    <cellStyle name="Normal 17" xfId="109"/>
    <cellStyle name="Normal 17 2" xfId="120"/>
    <cellStyle name="Normal 17 3" xfId="139"/>
    <cellStyle name="Normal 18" xfId="110"/>
    <cellStyle name="Normal 18 2" xfId="121"/>
    <cellStyle name="Normal 19" xfId="111"/>
    <cellStyle name="Normal 19 2" xfId="122"/>
    <cellStyle name="Normal 19 3" xfId="140"/>
    <cellStyle name="Normal 2" xfId="9"/>
    <cellStyle name="Normal 2 2" xfId="16"/>
    <cellStyle name="Normal 2 2 2" xfId="24"/>
    <cellStyle name="Normal 2 3" xfId="112"/>
    <cellStyle name="Normal 2 3 2" xfId="181"/>
    <cellStyle name="Normal 2 3 3" xfId="180"/>
    <cellStyle name="Normal 2 3 4" xfId="220"/>
    <cellStyle name="Normal 2 4" xfId="182"/>
    <cellStyle name="Normal 2 4 2" xfId="183"/>
    <cellStyle name="Normal 2 5" xfId="221"/>
    <cellStyle name="Normal 20" xfId="126"/>
    <cellStyle name="Normal 20 2" xfId="142"/>
    <cellStyle name="Normal 20 3" xfId="141"/>
    <cellStyle name="Normal 21" xfId="127"/>
    <cellStyle name="Normal 21 2" xfId="144"/>
    <cellStyle name="Normal 21 3" xfId="143"/>
    <cellStyle name="Normal 22" xfId="128"/>
    <cellStyle name="Normal 22 2" xfId="146"/>
    <cellStyle name="Normal 22 3" xfId="145"/>
    <cellStyle name="Normal 23" xfId="129"/>
    <cellStyle name="Normal 23 2" xfId="148"/>
    <cellStyle name="Normal 23 3" xfId="147"/>
    <cellStyle name="Normal 24" xfId="130"/>
    <cellStyle name="Normal 24 2" xfId="150"/>
    <cellStyle name="Normal 24 3" xfId="149"/>
    <cellStyle name="Normal 25" xfId="131"/>
    <cellStyle name="Normal 25 2" xfId="152"/>
    <cellStyle name="Normal 25 3" xfId="151"/>
    <cellStyle name="Normal 26" xfId="132"/>
    <cellStyle name="Normal 26 2" xfId="154"/>
    <cellStyle name="Normal 26 3" xfId="153"/>
    <cellStyle name="Normal 27" xfId="133"/>
    <cellStyle name="Normal 27 2" xfId="156"/>
    <cellStyle name="Normal 27 3" xfId="157"/>
    <cellStyle name="Normal 27 3 2" xfId="158"/>
    <cellStyle name="Normal 27 3 3" xfId="184"/>
    <cellStyle name="Normal 27 3 4" xfId="185"/>
    <cellStyle name="Normal 27 3 4 2" xfId="186"/>
    <cellStyle name="Normal 27 3 5" xfId="187"/>
    <cellStyle name="Normal 27 3 6" xfId="188"/>
    <cellStyle name="Normal 27 3 6 2" xfId="189"/>
    <cellStyle name="Normal 27 3 7" xfId="190"/>
    <cellStyle name="Normal 27 4" xfId="155"/>
    <cellStyle name="Normal 28" xfId="134"/>
    <cellStyle name="Normal 28 2" xfId="160"/>
    <cellStyle name="Normal 28 3" xfId="159"/>
    <cellStyle name="Normal 29" xfId="161"/>
    <cellStyle name="Normal 29 2" xfId="162"/>
    <cellStyle name="Normal 3" xfId="6"/>
    <cellStyle name="Normal 3 10" xfId="288"/>
    <cellStyle name="Normal 3 10 2" xfId="415"/>
    <cellStyle name="Normal 3 10 2 2" xfId="706"/>
    <cellStyle name="Normal 3 10 3" xfId="580"/>
    <cellStyle name="Normal 3 11" xfId="352"/>
    <cellStyle name="Normal 3 11 2" xfId="643"/>
    <cellStyle name="Normal 3 12" xfId="483"/>
    <cellStyle name="Normal 3 12 2" xfId="774"/>
    <cellStyle name="Normal 3 13" xfId="491"/>
    <cellStyle name="Normal 3 13 2" xfId="782"/>
    <cellStyle name="Normal 3 14" xfId="503"/>
    <cellStyle name="Normal 3 14 2" xfId="794"/>
    <cellStyle name="Normal 3 15" xfId="529"/>
    <cellStyle name="Normal 3 2" xfId="25"/>
    <cellStyle name="Normal 3 2 2" xfId="164"/>
    <cellStyle name="Normal 3 3" xfId="165"/>
    <cellStyle name="Normal 3 4" xfId="166"/>
    <cellStyle name="Normal 3 5" xfId="167"/>
    <cellStyle name="Normal 3 5 2" xfId="331"/>
    <cellStyle name="Normal 3 5 2 2" xfId="458"/>
    <cellStyle name="Normal 3 5 2 2 2" xfId="749"/>
    <cellStyle name="Normal 3 5 2 3" xfId="623"/>
    <cellStyle name="Normal 3 5 3" xfId="395"/>
    <cellStyle name="Normal 3 5 3 2" xfId="686"/>
    <cellStyle name="Normal 3 5 4" xfId="560"/>
    <cellStyle name="Normal 3 6" xfId="163"/>
    <cellStyle name="Normal 3 7" xfId="79"/>
    <cellStyle name="Normal 3 7 2" xfId="313"/>
    <cellStyle name="Normal 3 7 2 2" xfId="440"/>
    <cellStyle name="Normal 3 7 2 2 2" xfId="731"/>
    <cellStyle name="Normal 3 7 2 3" xfId="605"/>
    <cellStyle name="Normal 3 7 3" xfId="377"/>
    <cellStyle name="Normal 3 7 3 2" xfId="668"/>
    <cellStyle name="Normal 3 7 4" xfId="542"/>
    <cellStyle name="Normal 3 8" xfId="265"/>
    <cellStyle name="Normal 3 8 2" xfId="336"/>
    <cellStyle name="Normal 3 8 2 2" xfId="462"/>
    <cellStyle name="Normal 3 8 2 2 2" xfId="753"/>
    <cellStyle name="Normal 3 8 2 3" xfId="627"/>
    <cellStyle name="Normal 3 8 3" xfId="399"/>
    <cellStyle name="Normal 3 8 3 2" xfId="690"/>
    <cellStyle name="Normal 3 8 4" xfId="564"/>
    <cellStyle name="Normal 3 9" xfId="282"/>
    <cellStyle name="Normal 3 9 2" xfId="346"/>
    <cellStyle name="Normal 3 9 2 2" xfId="472"/>
    <cellStyle name="Normal 3 9 2 2 2" xfId="763"/>
    <cellStyle name="Normal 3 9 2 3" xfId="637"/>
    <cellStyle name="Normal 3 9 3" xfId="409"/>
    <cellStyle name="Normal 3 9 3 2" xfId="700"/>
    <cellStyle name="Normal 3 9 4" xfId="574"/>
    <cellStyle name="Normal 30" xfId="168"/>
    <cellStyle name="Normal 30 10" xfId="191"/>
    <cellStyle name="Normal 30 10 2" xfId="192"/>
    <cellStyle name="Normal 30 11" xfId="193"/>
    <cellStyle name="Normal 30 12" xfId="194"/>
    <cellStyle name="Normal 30 2" xfId="169"/>
    <cellStyle name="Normal 30 3" xfId="195"/>
    <cellStyle name="Normal 30 4" xfId="196"/>
    <cellStyle name="Normal 30 4 2" xfId="197"/>
    <cellStyle name="Normal 30 5" xfId="198"/>
    <cellStyle name="Normal 30 6" xfId="199"/>
    <cellStyle name="Normal 30 7" xfId="200"/>
    <cellStyle name="Normal 30 8" xfId="201"/>
    <cellStyle name="Normal 30 9" xfId="202"/>
    <cellStyle name="Normal 31" xfId="176"/>
    <cellStyle name="Normal 31 2" xfId="178"/>
    <cellStyle name="Normal 31 2 2" xfId="203"/>
    <cellStyle name="Normal 32" xfId="177"/>
    <cellStyle name="Normal 32 2" xfId="179"/>
    <cellStyle name="Normal 32 2 2" xfId="205"/>
    <cellStyle name="Normal 32 2 3" xfId="214"/>
    <cellStyle name="Normal 32 3" xfId="206"/>
    <cellStyle name="Normal 32 3 2" xfId="207"/>
    <cellStyle name="Normal 32 4" xfId="204"/>
    <cellStyle name="Normal 32 5" xfId="223"/>
    <cellStyle name="Normal 33" xfId="208"/>
    <cellStyle name="Normal 33 2" xfId="209"/>
    <cellStyle name="Normal 34" xfId="215"/>
    <cellStyle name="Normal 34 2" xfId="216"/>
    <cellStyle name="Normal 34 2 2" xfId="332"/>
    <cellStyle name="Normal 34 2 2 2" xfId="459"/>
    <cellStyle name="Normal 34 2 2 2 2" xfId="750"/>
    <cellStyle name="Normal 34 2 2 3" xfId="624"/>
    <cellStyle name="Normal 34 2 3" xfId="396"/>
    <cellStyle name="Normal 34 2 3 2" xfId="687"/>
    <cellStyle name="Normal 34 2 4" xfId="561"/>
    <cellStyle name="Normal 35" xfId="91"/>
    <cellStyle name="Normal 35 2" xfId="74"/>
    <cellStyle name="Normal 35 3" xfId="325"/>
    <cellStyle name="Normal 35 3 2" xfId="452"/>
    <cellStyle name="Normal 35 3 2 2" xfId="743"/>
    <cellStyle name="Normal 35 3 3" xfId="617"/>
    <cellStyle name="Normal 35 4" xfId="389"/>
    <cellStyle name="Normal 35 4 2" xfId="680"/>
    <cellStyle name="Normal 35 5" xfId="554"/>
    <cellStyle name="Normal 36" xfId="75"/>
    <cellStyle name="Normal 37" xfId="73"/>
    <cellStyle name="Normal 37 2" xfId="312"/>
    <cellStyle name="Normal 37 2 2" xfId="439"/>
    <cellStyle name="Normal 37 2 2 2" xfId="730"/>
    <cellStyle name="Normal 37 2 3" xfId="604"/>
    <cellStyle name="Normal 37 3" xfId="376"/>
    <cellStyle name="Normal 37 3 2" xfId="667"/>
    <cellStyle name="Normal 37 4" xfId="541"/>
    <cellStyle name="Normal 38" xfId="224"/>
    <cellStyle name="Normal 38 2" xfId="333"/>
    <cellStyle name="Normal 39" xfId="478"/>
    <cellStyle name="Normal 39 2" xfId="769"/>
    <cellStyle name="Normal 4" xfId="10"/>
    <cellStyle name="Normal 4 10" xfId="283"/>
    <cellStyle name="Normal 4 10 2" xfId="347"/>
    <cellStyle name="Normal 4 10 2 2" xfId="473"/>
    <cellStyle name="Normal 4 10 2 2 2" xfId="764"/>
    <cellStyle name="Normal 4 10 2 3" xfId="638"/>
    <cellStyle name="Normal 4 10 3" xfId="410"/>
    <cellStyle name="Normal 4 10 3 2" xfId="701"/>
    <cellStyle name="Normal 4 10 4" xfId="575"/>
    <cellStyle name="Normal 4 11" xfId="291"/>
    <cellStyle name="Normal 4 11 2" xfId="418"/>
    <cellStyle name="Normal 4 11 2 2" xfId="709"/>
    <cellStyle name="Normal 4 11 3" xfId="583"/>
    <cellStyle name="Normal 4 12" xfId="355"/>
    <cellStyle name="Normal 4 12 2" xfId="646"/>
    <cellStyle name="Normal 4 13" xfId="492"/>
    <cellStyle name="Normal 4 13 2" xfId="783"/>
    <cellStyle name="Normal 4 14" xfId="504"/>
    <cellStyle name="Normal 4 14 2" xfId="795"/>
    <cellStyle name="Normal 4 15" xfId="532"/>
    <cellStyle name="Normal 4 2" xfId="26"/>
    <cellStyle name="Normal 4 2 2" xfId="272"/>
    <cellStyle name="Normal 4 2 2 2" xfId="337"/>
    <cellStyle name="Normal 4 2 2 2 2" xfId="463"/>
    <cellStyle name="Normal 4 2 2 2 2 2" xfId="754"/>
    <cellStyle name="Normal 4 2 2 2 3" xfId="628"/>
    <cellStyle name="Normal 4 2 2 3" xfId="400"/>
    <cellStyle name="Normal 4 2 2 3 2" xfId="691"/>
    <cellStyle name="Normal 4 2 2 4" xfId="565"/>
    <cellStyle name="Normal 4 2 3" xfId="484"/>
    <cellStyle name="Normal 4 2 3 2" xfId="775"/>
    <cellStyle name="Normal 4 3" xfId="98"/>
    <cellStyle name="Normal 4 4" xfId="171"/>
    <cellStyle name="Normal 4 5" xfId="170"/>
    <cellStyle name="Normal 4 6" xfId="210"/>
    <cellStyle name="Normal 4 6 2" xfId="211"/>
    <cellStyle name="Normal 4 7" xfId="212"/>
    <cellStyle name="Normal 4 7 2" xfId="213"/>
    <cellStyle name="Normal 4 8" xfId="82"/>
    <cellStyle name="Normal 4 8 2" xfId="316"/>
    <cellStyle name="Normal 4 8 2 2" xfId="443"/>
    <cellStyle name="Normal 4 8 2 2 2" xfId="734"/>
    <cellStyle name="Normal 4 8 2 3" xfId="608"/>
    <cellStyle name="Normal 4 8 3" xfId="380"/>
    <cellStyle name="Normal 4 8 3 2" xfId="671"/>
    <cellStyle name="Normal 4 8 4" xfId="545"/>
    <cellStyle name="Normal 4 9" xfId="266"/>
    <cellStyle name="Normal 40" xfId="509"/>
    <cellStyle name="Normal 40 2" xfId="800"/>
    <cellStyle name="Normal 41" xfId="533"/>
    <cellStyle name="Normal 42" xfId="511"/>
    <cellStyle name="Normal 43" xfId="802"/>
    <cellStyle name="Normal 5" xfId="5"/>
    <cellStyle name="Normal 5 2" xfId="27"/>
    <cellStyle name="Normal 5 3" xfId="99"/>
    <cellStyle name="Normal 6" xfId="18"/>
    <cellStyle name="Normal 6 10" xfId="493"/>
    <cellStyle name="Normal 6 10 2" xfId="784"/>
    <cellStyle name="Normal 6 11" xfId="505"/>
    <cellStyle name="Normal 6 11 2" xfId="796"/>
    <cellStyle name="Normal 6 12" xfId="537"/>
    <cellStyle name="Normal 6 2" xfId="28"/>
    <cellStyle name="Normal 6 2 2" xfId="173"/>
    <cellStyle name="Normal 6 2 3" xfId="89"/>
    <cellStyle name="Normal 6 2 3 2" xfId="323"/>
    <cellStyle name="Normal 6 2 3 2 2" xfId="450"/>
    <cellStyle name="Normal 6 2 3 2 2 2" xfId="741"/>
    <cellStyle name="Normal 6 2 3 2 3" xfId="615"/>
    <cellStyle name="Normal 6 2 3 3" xfId="387"/>
    <cellStyle name="Normal 6 2 3 3 2" xfId="678"/>
    <cellStyle name="Normal 6 2 3 4" xfId="552"/>
    <cellStyle name="Normal 6 2 4" xfId="285"/>
    <cellStyle name="Normal 6 2 4 2" xfId="349"/>
    <cellStyle name="Normal 6 2 4 2 2" xfId="475"/>
    <cellStyle name="Normal 6 2 4 2 2 2" xfId="766"/>
    <cellStyle name="Normal 6 2 4 2 3" xfId="640"/>
    <cellStyle name="Normal 6 2 4 3" xfId="412"/>
    <cellStyle name="Normal 6 2 4 3 2" xfId="703"/>
    <cellStyle name="Normal 6 2 4 4" xfId="577"/>
    <cellStyle name="Normal 6 2 5" xfId="298"/>
    <cellStyle name="Normal 6 2 5 2" xfId="425"/>
    <cellStyle name="Normal 6 2 5 2 2" xfId="716"/>
    <cellStyle name="Normal 6 2 5 3" xfId="590"/>
    <cellStyle name="Normal 6 2 6" xfId="362"/>
    <cellStyle name="Normal 6 2 6 2" xfId="653"/>
    <cellStyle name="Normal 6 2 7" xfId="494"/>
    <cellStyle name="Normal 6 2 7 2" xfId="785"/>
    <cellStyle name="Normal 6 2 8" xfId="506"/>
    <cellStyle name="Normal 6 2 8 2" xfId="797"/>
    <cellStyle name="Normal 6 2 9" xfId="539"/>
    <cellStyle name="Normal 6 3" xfId="172"/>
    <cellStyle name="Normal 6 4" xfId="124"/>
    <cellStyle name="Normal 6 5" xfId="94"/>
    <cellStyle name="Normal 6 5 2" xfId="328"/>
    <cellStyle name="Normal 6 5 2 2" xfId="455"/>
    <cellStyle name="Normal 6 5 2 2 2" xfId="746"/>
    <cellStyle name="Normal 6 5 2 3" xfId="620"/>
    <cellStyle name="Normal 6 5 3" xfId="392"/>
    <cellStyle name="Normal 6 5 3 2" xfId="683"/>
    <cellStyle name="Normal 6 5 4" xfId="557"/>
    <cellStyle name="Normal 6 6" xfId="85"/>
    <cellStyle name="Normal 6 6 2" xfId="319"/>
    <cellStyle name="Normal 6 6 2 2" xfId="446"/>
    <cellStyle name="Normal 6 6 2 2 2" xfId="737"/>
    <cellStyle name="Normal 6 6 2 3" xfId="611"/>
    <cellStyle name="Normal 6 6 3" xfId="383"/>
    <cellStyle name="Normal 6 6 3 2" xfId="674"/>
    <cellStyle name="Normal 6 6 4" xfId="548"/>
    <cellStyle name="Normal 6 7" xfId="284"/>
    <cellStyle name="Normal 6 7 2" xfId="348"/>
    <cellStyle name="Normal 6 7 2 2" xfId="474"/>
    <cellStyle name="Normal 6 7 2 2 2" xfId="765"/>
    <cellStyle name="Normal 6 7 2 3" xfId="639"/>
    <cellStyle name="Normal 6 7 3" xfId="411"/>
    <cellStyle name="Normal 6 7 3 2" xfId="702"/>
    <cellStyle name="Normal 6 7 4" xfId="576"/>
    <cellStyle name="Normal 6 8" xfId="294"/>
    <cellStyle name="Normal 6 8 2" xfId="421"/>
    <cellStyle name="Normal 6 8 2 2" xfId="712"/>
    <cellStyle name="Normal 6 8 3" xfId="586"/>
    <cellStyle name="Normal 6 9" xfId="358"/>
    <cellStyle name="Normal 6 9 2" xfId="649"/>
    <cellStyle name="Normal 7" xfId="19"/>
    <cellStyle name="Normal 7 2" xfId="102"/>
    <cellStyle name="Normal 7 3" xfId="100"/>
    <cellStyle name="Normal 8" xfId="20"/>
    <cellStyle name="Normal 8 2" xfId="175"/>
    <cellStyle name="Normal 8 3" xfId="174"/>
    <cellStyle name="Normal 8 4" xfId="125"/>
    <cellStyle name="Normal 8 5" xfId="219"/>
    <cellStyle name="Normal 9" xfId="21"/>
    <cellStyle name="Normal 9 10" xfId="507"/>
    <cellStyle name="Normal 9 10 2" xfId="798"/>
    <cellStyle name="Normal 9 11" xfId="538"/>
    <cellStyle name="Normal 9 2" xfId="22"/>
    <cellStyle name="Normal 9 2 2" xfId="103"/>
    <cellStyle name="Normal 9 2 3" xfId="87"/>
    <cellStyle name="Normal 9 2 3 2" xfId="321"/>
    <cellStyle name="Normal 9 2 3 2 2" xfId="448"/>
    <cellStyle name="Normal 9 2 3 2 2 2" xfId="739"/>
    <cellStyle name="Normal 9 2 3 2 3" xfId="613"/>
    <cellStyle name="Normal 9 2 3 3" xfId="385"/>
    <cellStyle name="Normal 9 2 3 3 2" xfId="676"/>
    <cellStyle name="Normal 9 2 3 4" xfId="550"/>
    <cellStyle name="Normal 9 2 4" xfId="287"/>
    <cellStyle name="Normal 9 2 4 2" xfId="351"/>
    <cellStyle name="Normal 9 2 4 2 2" xfId="477"/>
    <cellStyle name="Normal 9 2 4 2 2 2" xfId="768"/>
    <cellStyle name="Normal 9 2 4 2 3" xfId="642"/>
    <cellStyle name="Normal 9 2 4 3" xfId="414"/>
    <cellStyle name="Normal 9 2 4 3 2" xfId="705"/>
    <cellStyle name="Normal 9 2 4 4" xfId="579"/>
    <cellStyle name="Normal 9 2 5" xfId="296"/>
    <cellStyle name="Normal 9 2 5 2" xfId="423"/>
    <cellStyle name="Normal 9 2 5 2 2" xfId="714"/>
    <cellStyle name="Normal 9 2 5 3" xfId="588"/>
    <cellStyle name="Normal 9 2 6" xfId="360"/>
    <cellStyle name="Normal 9 2 6 2" xfId="651"/>
    <cellStyle name="Normal 9 2 7" xfId="496"/>
    <cellStyle name="Normal 9 2 7 2" xfId="787"/>
    <cellStyle name="Normal 9 2 8" xfId="508"/>
    <cellStyle name="Normal 9 2 8 2" xfId="799"/>
    <cellStyle name="Normal 9 2 9" xfId="535"/>
    <cellStyle name="Normal 9 3" xfId="101"/>
    <cellStyle name="Normal 9 4" xfId="96"/>
    <cellStyle name="Normal 9 5" xfId="86"/>
    <cellStyle name="Normal 9 5 2" xfId="320"/>
    <cellStyle name="Normal 9 5 2 2" xfId="447"/>
    <cellStyle name="Normal 9 5 2 2 2" xfId="738"/>
    <cellStyle name="Normal 9 5 2 3" xfId="612"/>
    <cellStyle name="Normal 9 5 3" xfId="384"/>
    <cellStyle name="Normal 9 5 3 2" xfId="675"/>
    <cellStyle name="Normal 9 5 4" xfId="549"/>
    <cellStyle name="Normal 9 6" xfId="286"/>
    <cellStyle name="Normal 9 6 2" xfId="350"/>
    <cellStyle name="Normal 9 6 2 2" xfId="476"/>
    <cellStyle name="Normal 9 6 2 2 2" xfId="767"/>
    <cellStyle name="Normal 9 6 2 3" xfId="641"/>
    <cellStyle name="Normal 9 6 3" xfId="413"/>
    <cellStyle name="Normal 9 6 3 2" xfId="704"/>
    <cellStyle name="Normal 9 6 4" xfId="578"/>
    <cellStyle name="Normal 9 7" xfId="295"/>
    <cellStyle name="Normal 9 7 2" xfId="422"/>
    <cellStyle name="Normal 9 7 2 2" xfId="713"/>
    <cellStyle name="Normal 9 7 3" xfId="587"/>
    <cellStyle name="Normal 9 8" xfId="359"/>
    <cellStyle name="Normal 9 8 2" xfId="650"/>
    <cellStyle name="Normal 9 9" xfId="495"/>
    <cellStyle name="Normal 9 9 2" xfId="786"/>
    <cellStyle name="Normal_Copy of Avoided Cost adjusted Final" xfId="3"/>
    <cellStyle name="Normal_Copy of Avoided Cost adjusted Final 2" xfId="275"/>
    <cellStyle name="Note 2" xfId="123"/>
    <cellStyle name="Note 2 2" xfId="267"/>
    <cellStyle name="Note 2 3" xfId="330"/>
    <cellStyle name="Note 2 3 2" xfId="457"/>
    <cellStyle name="Note 2 3 2 2" xfId="748"/>
    <cellStyle name="Note 2 3 3" xfId="622"/>
    <cellStyle name="Note 2 4" xfId="394"/>
    <cellStyle name="Note 2 4 2" xfId="685"/>
    <cellStyle name="Note 2 5" xfId="559"/>
    <cellStyle name="Note 3" xfId="512"/>
    <cellStyle name="Note 4" xfId="803"/>
    <cellStyle name="Output" xfId="42" builtinId="21" customBuiltin="1"/>
    <cellStyle name="Output 2" xfId="268"/>
    <cellStyle name="Percent" xfId="4" builtinId="5"/>
    <cellStyle name="Percent 2" xfId="15"/>
    <cellStyle name="Percent 2 2" xfId="31"/>
    <cellStyle name="Percent 3" xfId="93"/>
    <cellStyle name="Percent 3 2" xfId="327"/>
    <cellStyle name="Percent 3 2 2" xfId="454"/>
    <cellStyle name="Percent 3 2 2 2" xfId="745"/>
    <cellStyle name="Percent 3 2 3" xfId="619"/>
    <cellStyle name="Percent 3 3" xfId="391"/>
    <cellStyle name="Percent 3 3 2" xfId="682"/>
    <cellStyle name="Percent 3 4" xfId="556"/>
    <cellStyle name="Percent 4" xfId="78"/>
    <cellStyle name="Percent 5" xfId="531"/>
    <cellStyle name="Title" xfId="33" builtinId="15" customBuiltin="1"/>
    <cellStyle name="Title 2" xfId="269"/>
    <cellStyle name="Total" xfId="48" builtinId="25" customBuiltin="1"/>
    <cellStyle name="Total 2" xfId="270"/>
    <cellStyle name="Warning Text" xfId="46" builtinId="11" customBuiltin="1"/>
    <cellStyle name="Warning Text 2" xfId="271"/>
  </cellStyles>
  <dxfs count="0"/>
  <tableStyles count="0" defaultTableStyle="TableStyleMedium9" defaultPivotStyle="PivotStyleLight16"/>
  <colors>
    <mruColors>
      <color rgb="FFABFFAB"/>
      <color rgb="FF00FF00"/>
      <color rgb="FF8DB4E2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externalLink" Target="externalLinks/externalLink1.xml"/><Relationship Id="rId9" Type="http://schemas.openxmlformats.org/officeDocument/2006/relationships/revisionHeaders" Target="revisions/revisionHeader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ocuments%20and%20Settings\laron.tamaye\Local%20Settings\Temporary%20Internet%20Files\OLK187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1">
          <cell r="A1" t="str">
            <v>v80</v>
          </cell>
        </row>
        <row r="2">
          <cell r="D2" t="str">
            <v>MEASURE</v>
          </cell>
        </row>
        <row r="3">
          <cell r="C3" t="str">
            <v>ANNUAL THERM</v>
          </cell>
          <cell r="D3" t="str">
            <v>INSTALLED</v>
          </cell>
          <cell r="E3" t="str">
            <v>MEASURE</v>
          </cell>
        </row>
        <row r="4">
          <cell r="A4" t="str">
            <v>SS CODE</v>
          </cell>
          <cell r="B4" t="str">
            <v>SS MEASURE DESCRIPTION</v>
          </cell>
          <cell r="C4" t="str">
            <v>SAVINGS</v>
          </cell>
          <cell r="D4" t="str">
            <v>COST</v>
          </cell>
          <cell r="E4" t="str">
            <v>LIFE</v>
          </cell>
          <cell r="F4" t="str">
            <v>MEASURE</v>
          </cell>
          <cell r="G4" t="str">
            <v>EFFICIENCY RATING</v>
          </cell>
        </row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</sheetData>
      <sheetData sheetId="1" refreshError="1"/>
      <sheetData sheetId="2" refreshError="1"/>
      <sheetData sheetId="3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04" Type="http://schemas.openxmlformats.org/officeDocument/2006/relationships/revisionLog" Target="revisionLog4.xml"/><Relationship Id="rId103" Type="http://schemas.openxmlformats.org/officeDocument/2006/relationships/revisionLog" Target="revisionLog3.xml"/><Relationship Id="rId102" Type="http://schemas.openxmlformats.org/officeDocument/2006/relationships/revisionLog" Target="revisionLog2.xml"/><Relationship Id="rId101" Type="http://schemas.openxmlformats.org/officeDocument/2006/relationships/revisionLog" Target="revisionLog1.xml"/><Relationship Id="rId100" Type="http://schemas.openxmlformats.org/officeDocument/2006/relationships/revisionLog" Target="revisionLog25.xml"/><Relationship Id="rId105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4160296-D705-419D-BD97-A175ACF1A915}" diskRevisions="1" revisionId="1514" version="3">
  <header guid="{028C5495-E464-4BEF-BE7F-C24E9BF3CBB3}" dateTime="2017-05-30T16:43:16" maxSheetId="4" userName="Cascade Natural Gas" r:id="rId100" minRId="1485" maxRId="1486">
    <sheetIdMap count="3">
      <sheetId val="1"/>
      <sheetId val="2"/>
      <sheetId val="3"/>
    </sheetIdMap>
  </header>
  <header guid="{0FCF6422-6ECB-40CF-906B-90E3990739FC}" dateTime="2017-05-30T16:45:36" maxSheetId="4" userName="Cascade Natural Gas" r:id="rId101">
    <sheetIdMap count="3">
      <sheetId val="1"/>
      <sheetId val="2"/>
      <sheetId val="3"/>
    </sheetIdMap>
  </header>
  <header guid="{1E4DB21C-3332-456D-97E4-F4BFAEF8C686}" dateTime="2017-05-31T09:01:12" maxSheetId="4" userName="Cascade Natural Gas" r:id="rId102" minRId="1495" maxRId="1497">
    <sheetIdMap count="3">
      <sheetId val="1"/>
      <sheetId val="2"/>
      <sheetId val="3"/>
    </sheetIdMap>
  </header>
  <header guid="{8E05C77B-595A-4497-B545-9A67D5C6854B}" dateTime="2017-05-31T09:04:09" maxSheetId="4" userName="Cascade Natural Gas" r:id="rId103">
    <sheetIdMap count="3">
      <sheetId val="1"/>
      <sheetId val="2"/>
      <sheetId val="3"/>
    </sheetIdMap>
  </header>
  <header guid="{76451C76-65E1-490E-86C9-971F876E28FB}" dateTime="2017-05-31T09:13:02" maxSheetId="4" userName="Cascade Natural Gas" r:id="rId104" minRId="1506">
    <sheetIdMap count="3">
      <sheetId val="1"/>
      <sheetId val="2"/>
      <sheetId val="3"/>
    </sheetIdMap>
  </header>
  <header guid="{34160296-D705-419D-BD97-A175ACF1A915}" dateTime="2017-05-31T09:13:25" maxSheetId="4" userName="Cascade Natural Gas" r:id="rId105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923932C-96B5-464D-9E0A-3FBBD9F9862F}" action="delete"/>
  <rdn rId="0" localSheetId="1" customView="1" name="Z_C923932C_96B5_464D_9E0A_3FBBD9F9862F_.wvu.PrintArea" hidden="1" oldHidden="1">
    <formula>'TOTAL FIRST YEAR'!$B$1:$AB$76</formula>
    <oldFormula>'TOTAL FIRST YEAR'!$B$1:$AB$76</oldFormula>
  </rdn>
  <rdn rId="0" localSheetId="1" customView="1" name="Z_C923932C_96B5_464D_9E0A_3FBBD9F9862F_.wvu.Rows" hidden="1" oldHidden="1">
    <formula>'TOTAL FIRST YEAR'!$1:$2,'TOTAL FIRST YEAR'!$5:$5,'TOTAL FIRST YEAR'!$7:$7,'TOTAL FIRST YEAR'!$9:$11,'TOTAL FIRST YEAR'!$13:$15,'TOTAL FIRST YEAR'!$17:$19,'TOTAL FIRST YEAR'!$21:$23,'TOTAL FIRST YEAR'!$25:$27,'TOTAL FIRST YEAR'!$29:$31,'TOTAL FIRST YEAR'!$33:$35,'TOTAL FIRST YEAR'!$37:$37,'TOTAL FIRST YEAR'!$39:$41,'TOTAL FIRST YEAR'!$43:$45,'TOTAL FIRST YEAR'!$47:$49,'TOTAL FIRST YEAR'!$51:$53,'TOTAL FIRST YEAR'!$55:$57,'TOTAL FIRST YEAR'!$59:$59,'TOTAL FIRST YEAR'!$61:$63,'TOTAL FIRST YEAR'!$65:$67,'TOTAL FIRST YEAR'!$69:$69</formula>
    <oldFormula>'TOTAL FIRST YEAR'!$1:$2,'TOTAL FIRST YEAR'!$5:$5,'TOTAL FIRST YEAR'!$7:$7,'TOTAL FIRST YEAR'!$9:$11,'TOTAL FIRST YEAR'!$13:$15,'TOTAL FIRST YEAR'!$17:$19,'TOTAL FIRST YEAR'!$21:$23,'TOTAL FIRST YEAR'!$25:$27,'TOTAL FIRST YEAR'!$29:$31,'TOTAL FIRST YEAR'!$33:$35,'TOTAL FIRST YEAR'!$37:$37,'TOTAL FIRST YEAR'!$39:$41,'TOTAL FIRST YEAR'!$43:$45,'TOTAL FIRST YEAR'!$47:$49,'TOTAL FIRST YEAR'!$51:$53,'TOTAL FIRST YEAR'!$55:$57,'TOTAL FIRST YEAR'!$59:$59,'TOTAL FIRST YEAR'!$61:$63,'TOTAL FIRST YEAR'!$65:$67,'TOTAL FIRST YEAR'!$69:$69</oldFormula>
  </rdn>
  <rdn rId="0" localSheetId="1" customView="1" name="Z_C923932C_96B5_464D_9E0A_3FBBD9F9862F_.wvu.Cols" hidden="1" oldHidden="1">
    <formula>'TOTAL FIRST YEAR'!$C:$C,'TOTAL FIRST YEAR'!$F:$R,'TOTAL FIRST YEAR'!$T:$W,'TOTAL FIRST YEAR'!$Y:$AB</formula>
    <oldFormula>'TOTAL FIRST YEAR'!$C:$C,'TOTAL FIRST YEAR'!$F:$R,'TOTAL FIRST YEAR'!$T:$W,'TOTAL FIRST YEAR'!$Y:$AB</oldFormula>
  </rdn>
  <rdn rId="0" localSheetId="1" customView="1" name="Z_C923932C_96B5_464D_9E0A_3FBBD9F9862F_.wvu.FilterData" hidden="1" oldHidden="1">
    <formula>'TOTAL FIRST YEAR'!$B$4:$T$70</formula>
    <oldFormula>'TOTAL FIRST YEAR'!$B$4:$T$70</oldFormula>
  </rdn>
  <rcv guid="{C923932C-96B5-464D-9E0A-3FBBD9F9862F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5" sId="1">
    <oc r="H60">
      <v>113</v>
    </oc>
    <nc r="H60">
      <v>106</v>
    </nc>
  </rcc>
  <rcc rId="1496" sId="1">
    <oc r="H61">
      <v>109</v>
    </oc>
    <nc r="H61">
      <v>102</v>
    </nc>
  </rcc>
  <rcc rId="1497" sId="1">
    <oc r="H62">
      <v>113</v>
    </oc>
    <nc r="H62">
      <v>106</v>
    </nc>
  </rcc>
  <rcv guid="{C923932C-96B5-464D-9E0A-3FBBD9F9862F}" action="delete"/>
  <rdn rId="0" localSheetId="1" customView="1" name="Z_C923932C_96B5_464D_9E0A_3FBBD9F9862F_.wvu.PrintArea" hidden="1" oldHidden="1">
    <formula>'TOTAL FIRST YEAR'!$B$1:$AB$76</formula>
    <oldFormula>'TOTAL FIRST YEAR'!$B$1:$AB$76</oldFormula>
  </rdn>
  <rdn rId="0" localSheetId="1" customView="1" name="Z_C923932C_96B5_464D_9E0A_3FBBD9F9862F_.wvu.Rows" hidden="1" oldHidden="1">
    <formula>'TOTAL FIRST YEAR'!$1:$2,'TOTAL FIRST YEAR'!$5:$5,'TOTAL FIRST YEAR'!$7:$7,'TOTAL FIRST YEAR'!$9:$11,'TOTAL FIRST YEAR'!$13:$15,'TOTAL FIRST YEAR'!$17:$19,'TOTAL FIRST YEAR'!$21:$23,'TOTAL FIRST YEAR'!$25:$27,'TOTAL FIRST YEAR'!$29:$31,'TOTAL FIRST YEAR'!$33:$35,'TOTAL FIRST YEAR'!$37:$37,'TOTAL FIRST YEAR'!$39:$41,'TOTAL FIRST YEAR'!$43:$45,'TOTAL FIRST YEAR'!$47:$49,'TOTAL FIRST YEAR'!$51:$53,'TOTAL FIRST YEAR'!$55:$57,'TOTAL FIRST YEAR'!$59:$59,'TOTAL FIRST YEAR'!$61:$63,'TOTAL FIRST YEAR'!$65:$67,'TOTAL FIRST YEAR'!$69:$69</formula>
    <oldFormula>'TOTAL FIRST YEAR'!$1:$2,'TOTAL FIRST YEAR'!$5:$5,'TOTAL FIRST YEAR'!$7:$7,'TOTAL FIRST YEAR'!$9:$11,'TOTAL FIRST YEAR'!$13:$15,'TOTAL FIRST YEAR'!$17:$19,'TOTAL FIRST YEAR'!$21:$23,'TOTAL FIRST YEAR'!$25:$27,'TOTAL FIRST YEAR'!$29:$31,'TOTAL FIRST YEAR'!$33:$35,'TOTAL FIRST YEAR'!$37:$37,'TOTAL FIRST YEAR'!$39:$41,'TOTAL FIRST YEAR'!$43:$45,'TOTAL FIRST YEAR'!$47:$49,'TOTAL FIRST YEAR'!$51:$53,'TOTAL FIRST YEAR'!$55:$57,'TOTAL FIRST YEAR'!$59:$59,'TOTAL FIRST YEAR'!$61:$63,'TOTAL FIRST YEAR'!$65:$67,'TOTAL FIRST YEAR'!$69:$69</oldFormula>
  </rdn>
  <rdn rId="0" localSheetId="1" customView="1" name="Z_C923932C_96B5_464D_9E0A_3FBBD9F9862F_.wvu.Cols" hidden="1" oldHidden="1">
    <formula>'TOTAL FIRST YEAR'!$C:$C,'TOTAL FIRST YEAR'!$F:$R,'TOTAL FIRST YEAR'!$T:$W,'TOTAL FIRST YEAR'!$Y:$AB</formula>
    <oldFormula>'TOTAL FIRST YEAR'!$C:$C,'TOTAL FIRST YEAR'!$F:$R,'TOTAL FIRST YEAR'!$T:$W,'TOTAL FIRST YEAR'!$Y:$AB</oldFormula>
  </rdn>
  <rdn rId="0" localSheetId="1" customView="1" name="Z_C923932C_96B5_464D_9E0A_3FBBD9F9862F_.wvu.FilterData" hidden="1" oldHidden="1">
    <formula>'TOTAL FIRST YEAR'!$B$4:$T$70</formula>
    <oldFormula>'TOTAL FIRST YEAR'!$B$4:$T$70</oldFormula>
  </rdn>
  <rcv guid="{C923932C-96B5-464D-9E0A-3FBBD9F9862F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S6:S68">
    <dxf>
      <numFmt numFmtId="172" formatCode="&quot;$&quot;#,##0.00"/>
    </dxf>
  </rfmt>
  <rcc rId="1485" sId="1">
    <oc r="D60" t="inlineStr">
      <is>
        <t>96% AFUE Rating</t>
      </is>
    </oc>
    <nc r="D60" t="inlineStr">
      <is>
        <t>95% AFUE Rating</t>
      </is>
    </nc>
  </rcc>
  <rcc rId="1486" sId="1">
    <nc r="B77" t="inlineStr">
      <is>
        <t>Based on Conservation Plan's 2017 targets</t>
      </is>
    </nc>
  </rcc>
  <rfmt sheetId="1" sqref="B77">
    <dxf>
      <alignment horizontal="left" readingOrder="0"/>
    </dxf>
  </rfmt>
  <rfmt sheetId="1" sqref="B77" start="0" length="2147483647">
    <dxf>
      <font>
        <b val="0"/>
      </font>
    </dxf>
  </rfmt>
  <rcv guid="{C923932C-96B5-464D-9E0A-3FBBD9F9862F}" action="delete"/>
  <rdn rId="0" localSheetId="1" customView="1" name="Z_C923932C_96B5_464D_9E0A_3FBBD9F9862F_.wvu.PrintArea" hidden="1" oldHidden="1">
    <formula>'TOTAL FIRST YEAR'!$B$1:$AB$76</formula>
    <oldFormula>'TOTAL FIRST YEAR'!$B$1:$AB$76</oldFormula>
  </rdn>
  <rdn rId="0" localSheetId="1" customView="1" name="Z_C923932C_96B5_464D_9E0A_3FBBD9F9862F_.wvu.Rows" hidden="1" oldHidden="1">
    <formula>'TOTAL FIRST YEAR'!$1:$2,'TOTAL FIRST YEAR'!$5:$5,'TOTAL FIRST YEAR'!$7:$7,'TOTAL FIRST YEAR'!$9:$11,'TOTAL FIRST YEAR'!$13:$15,'TOTAL FIRST YEAR'!$17:$19,'TOTAL FIRST YEAR'!$21:$23,'TOTAL FIRST YEAR'!$25:$27,'TOTAL FIRST YEAR'!$29:$31,'TOTAL FIRST YEAR'!$33:$35,'TOTAL FIRST YEAR'!$37:$37,'TOTAL FIRST YEAR'!$39:$41,'TOTAL FIRST YEAR'!$43:$45,'TOTAL FIRST YEAR'!$47:$49,'TOTAL FIRST YEAR'!$51:$53,'TOTAL FIRST YEAR'!$55:$57,'TOTAL FIRST YEAR'!$59:$59,'TOTAL FIRST YEAR'!$61:$63,'TOTAL FIRST YEAR'!$65:$67,'TOTAL FIRST YEAR'!$69:$69</formula>
    <oldFormula>'TOTAL FIRST YEAR'!$1:$2,'TOTAL FIRST YEAR'!$5:$5,'TOTAL FIRST YEAR'!$7:$7,'TOTAL FIRST YEAR'!$9:$11,'TOTAL FIRST YEAR'!$13:$15,'TOTAL FIRST YEAR'!$17:$19,'TOTAL FIRST YEAR'!$21:$23,'TOTAL FIRST YEAR'!$25:$27,'TOTAL FIRST YEAR'!$29:$31,'TOTAL FIRST YEAR'!$33:$35,'TOTAL FIRST YEAR'!$37:$37,'TOTAL FIRST YEAR'!$39:$41,'TOTAL FIRST YEAR'!$43:$45,'TOTAL FIRST YEAR'!$47:$49,'TOTAL FIRST YEAR'!$51:$53,'TOTAL FIRST YEAR'!$55:$57,'TOTAL FIRST YEAR'!$59:$59,'TOTAL FIRST YEAR'!$61:$63,'TOTAL FIRST YEAR'!$65:$67,'TOTAL FIRST YEAR'!$69:$69</oldFormula>
  </rdn>
  <rdn rId="0" localSheetId="1" customView="1" name="Z_C923932C_96B5_464D_9E0A_3FBBD9F9862F_.wvu.Cols" hidden="1" oldHidden="1">
    <formula>'TOTAL FIRST YEAR'!$C:$C,'TOTAL FIRST YEAR'!$F:$R,'TOTAL FIRST YEAR'!$T:$W,'TOTAL FIRST YEAR'!$Y:$AB</formula>
    <oldFormula>'TOTAL FIRST YEAR'!$A:$A,'TOTAL FIRST YEAR'!$C:$C,'TOTAL FIRST YEAR'!$F:$R,'TOTAL FIRST YEAR'!$T:$W,'TOTAL FIRST YEAR'!$Y:$AB</oldFormula>
  </rdn>
  <rdn rId="0" localSheetId="1" customView="1" name="Z_C923932C_96B5_464D_9E0A_3FBBD9F9862F_.wvu.FilterData" hidden="1" oldHidden="1">
    <formula>'TOTAL FIRST YEAR'!$B$4:$T$70</formula>
    <oldFormula>'TOTAL FIRST YEAR'!$B$4:$T$70</oldFormula>
  </rdn>
  <rcv guid="{C923932C-96B5-464D-9E0A-3FBBD9F9862F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923932C-96B5-464D-9E0A-3FBBD9F9862F}" action="delete"/>
  <rdn rId="0" localSheetId="1" customView="1" name="Z_C923932C_96B5_464D_9E0A_3FBBD9F9862F_.wvu.PrintArea" hidden="1" oldHidden="1">
    <formula>'TOTAL FIRST YEAR'!$B$1:$AB$76</formula>
    <oldFormula>'TOTAL FIRST YEAR'!$B$1:$AB$76</oldFormula>
  </rdn>
  <rdn rId="0" localSheetId="1" customView="1" name="Z_C923932C_96B5_464D_9E0A_3FBBD9F9862F_.wvu.Rows" hidden="1" oldHidden="1">
    <formula>'TOTAL FIRST YEAR'!$1:$2,'TOTAL FIRST YEAR'!$5:$5,'TOTAL FIRST YEAR'!$7:$7,'TOTAL FIRST YEAR'!$9:$11,'TOTAL FIRST YEAR'!$13:$15,'TOTAL FIRST YEAR'!$17:$19,'TOTAL FIRST YEAR'!$21:$23,'TOTAL FIRST YEAR'!$25:$27,'TOTAL FIRST YEAR'!$29:$31,'TOTAL FIRST YEAR'!$33:$35,'TOTAL FIRST YEAR'!$37:$37,'TOTAL FIRST YEAR'!$39:$41,'TOTAL FIRST YEAR'!$43:$45,'TOTAL FIRST YEAR'!$47:$49,'TOTAL FIRST YEAR'!$51:$53,'TOTAL FIRST YEAR'!$55:$57,'TOTAL FIRST YEAR'!$59:$59,'TOTAL FIRST YEAR'!$61:$63,'TOTAL FIRST YEAR'!$65:$67,'TOTAL FIRST YEAR'!$69:$69</formula>
    <oldFormula>'TOTAL FIRST YEAR'!$1:$2,'TOTAL FIRST YEAR'!$5:$5,'TOTAL FIRST YEAR'!$7:$7,'TOTAL FIRST YEAR'!$9:$11,'TOTAL FIRST YEAR'!$13:$15,'TOTAL FIRST YEAR'!$17:$19,'TOTAL FIRST YEAR'!$21:$23,'TOTAL FIRST YEAR'!$25:$27,'TOTAL FIRST YEAR'!$29:$31,'TOTAL FIRST YEAR'!$33:$35,'TOTAL FIRST YEAR'!$37:$37,'TOTAL FIRST YEAR'!$39:$41,'TOTAL FIRST YEAR'!$43:$45,'TOTAL FIRST YEAR'!$47:$49,'TOTAL FIRST YEAR'!$51:$53,'TOTAL FIRST YEAR'!$55:$57,'TOTAL FIRST YEAR'!$59:$59,'TOTAL FIRST YEAR'!$61:$63,'TOTAL FIRST YEAR'!$65:$67,'TOTAL FIRST YEAR'!$69:$69</oldFormula>
  </rdn>
  <rdn rId="0" localSheetId="1" customView="1" name="Z_C923932C_96B5_464D_9E0A_3FBBD9F9862F_.wvu.Cols" hidden="1" oldHidden="1">
    <formula>'TOTAL FIRST YEAR'!$C:$C,'TOTAL FIRST YEAR'!$F:$R,'TOTAL FIRST YEAR'!$T:$W,'TOTAL FIRST YEAR'!$Y:$AB</formula>
    <oldFormula>'TOTAL FIRST YEAR'!$C:$C,'TOTAL FIRST YEAR'!$F:$R,'TOTAL FIRST YEAR'!$T:$W,'TOTAL FIRST YEAR'!$Y:$AB</oldFormula>
  </rdn>
  <rdn rId="0" localSheetId="1" customView="1" name="Z_C923932C_96B5_464D_9E0A_3FBBD9F9862F_.wvu.FilterData" hidden="1" oldHidden="1">
    <formula>'TOTAL FIRST YEAR'!$B$4:$T$70</formula>
    <oldFormula>'TOTAL FIRST YEAR'!$B$4:$T$70</oldFormula>
  </rdn>
  <rcv guid="{C923932C-96B5-464D-9E0A-3FBBD9F9862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6" sId="3">
    <oc r="A2" t="inlineStr">
      <is>
        <t>INTEGRATED RESOURCE PLAN</t>
      </is>
    </oc>
    <nc r="A2" t="inlineStr">
      <is>
        <t>2016 INTEGRATED RESOURCE PLAN</t>
      </is>
    </nc>
  </rcc>
  <rcv guid="{C923932C-96B5-464D-9E0A-3FBBD9F9862F}" action="delete"/>
  <rdn rId="0" localSheetId="1" customView="1" name="Z_C923932C_96B5_464D_9E0A_3FBBD9F9862F_.wvu.PrintArea" hidden="1" oldHidden="1">
    <formula>'TOTAL FIRST YEAR'!$B$1:$AB$76</formula>
    <oldFormula>'TOTAL FIRST YEAR'!$B$1:$AB$76</oldFormula>
  </rdn>
  <rdn rId="0" localSheetId="1" customView="1" name="Z_C923932C_96B5_464D_9E0A_3FBBD9F9862F_.wvu.Rows" hidden="1" oldHidden="1">
    <formula>'TOTAL FIRST YEAR'!$1:$2,'TOTAL FIRST YEAR'!$5:$5,'TOTAL FIRST YEAR'!$7:$7,'TOTAL FIRST YEAR'!$9:$11,'TOTAL FIRST YEAR'!$13:$15,'TOTAL FIRST YEAR'!$17:$19,'TOTAL FIRST YEAR'!$21:$23,'TOTAL FIRST YEAR'!$25:$27,'TOTAL FIRST YEAR'!$29:$31,'TOTAL FIRST YEAR'!$33:$35,'TOTAL FIRST YEAR'!$37:$37,'TOTAL FIRST YEAR'!$39:$41,'TOTAL FIRST YEAR'!$43:$45,'TOTAL FIRST YEAR'!$47:$49,'TOTAL FIRST YEAR'!$51:$53,'TOTAL FIRST YEAR'!$55:$57,'TOTAL FIRST YEAR'!$59:$59,'TOTAL FIRST YEAR'!$61:$63,'TOTAL FIRST YEAR'!$65:$67,'TOTAL FIRST YEAR'!$69:$69</formula>
    <oldFormula>'TOTAL FIRST YEAR'!$1:$2,'TOTAL FIRST YEAR'!$5:$5,'TOTAL FIRST YEAR'!$7:$7,'TOTAL FIRST YEAR'!$9:$11,'TOTAL FIRST YEAR'!$13:$15,'TOTAL FIRST YEAR'!$17:$19,'TOTAL FIRST YEAR'!$21:$23,'TOTAL FIRST YEAR'!$25:$27,'TOTAL FIRST YEAR'!$29:$31,'TOTAL FIRST YEAR'!$33:$35,'TOTAL FIRST YEAR'!$37:$37,'TOTAL FIRST YEAR'!$39:$41,'TOTAL FIRST YEAR'!$43:$45,'TOTAL FIRST YEAR'!$47:$49,'TOTAL FIRST YEAR'!$51:$53,'TOTAL FIRST YEAR'!$55:$57,'TOTAL FIRST YEAR'!$59:$59,'TOTAL FIRST YEAR'!$61:$63,'TOTAL FIRST YEAR'!$65:$67,'TOTAL FIRST YEAR'!$69:$69</oldFormula>
  </rdn>
  <rdn rId="0" localSheetId="1" customView="1" name="Z_C923932C_96B5_464D_9E0A_3FBBD9F9862F_.wvu.Cols" hidden="1" oldHidden="1">
    <formula>'TOTAL FIRST YEAR'!$C:$C,'TOTAL FIRST YEAR'!$F:$R,'TOTAL FIRST YEAR'!$T:$W,'TOTAL FIRST YEAR'!$Y:$AB</formula>
    <oldFormula>'TOTAL FIRST YEAR'!$C:$C,'TOTAL FIRST YEAR'!$F:$R,'TOTAL FIRST YEAR'!$T:$W,'TOTAL FIRST YEAR'!$Y:$AB</oldFormula>
  </rdn>
  <rdn rId="0" localSheetId="1" customView="1" name="Z_C923932C_96B5_464D_9E0A_3FBBD9F9862F_.wvu.FilterData" hidden="1" oldHidden="1">
    <formula>'TOTAL FIRST YEAR'!$B$4:$T$70</formula>
    <oldFormula>'TOTAL FIRST YEAR'!$B$4:$T$70</oldFormula>
  </rdn>
  <rcv guid="{C923932C-96B5-464D-9E0A-3FBBD9F9862F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923932C-96B5-464D-9E0A-3FBBD9F9862F}" action="delete"/>
  <rdn rId="0" localSheetId="1" customView="1" name="Z_C923932C_96B5_464D_9E0A_3FBBD9F9862F_.wvu.PrintArea" hidden="1" oldHidden="1">
    <formula>'TOTAL FIRST YEAR'!$B$1:$AB$76</formula>
    <oldFormula>'TOTAL FIRST YEAR'!$B$1:$AB$76</oldFormula>
  </rdn>
  <rdn rId="0" localSheetId="1" customView="1" name="Z_C923932C_96B5_464D_9E0A_3FBBD9F9862F_.wvu.Rows" hidden="1" oldHidden="1">
    <formula>'TOTAL FIRST YEAR'!$1:$2,'TOTAL FIRST YEAR'!$5:$5,'TOTAL FIRST YEAR'!$7:$7,'TOTAL FIRST YEAR'!$9:$11,'TOTAL FIRST YEAR'!$13:$15,'TOTAL FIRST YEAR'!$17:$19,'TOTAL FIRST YEAR'!$21:$23,'TOTAL FIRST YEAR'!$25:$27,'TOTAL FIRST YEAR'!$29:$31,'TOTAL FIRST YEAR'!$33:$35,'TOTAL FIRST YEAR'!$37:$37,'TOTAL FIRST YEAR'!$39:$41,'TOTAL FIRST YEAR'!$43:$45,'TOTAL FIRST YEAR'!$47:$49,'TOTAL FIRST YEAR'!$51:$53,'TOTAL FIRST YEAR'!$55:$57,'TOTAL FIRST YEAR'!$59:$59,'TOTAL FIRST YEAR'!$61:$63,'TOTAL FIRST YEAR'!$65:$67,'TOTAL FIRST YEAR'!$69:$69</formula>
    <oldFormula>'TOTAL FIRST YEAR'!$1:$2,'TOTAL FIRST YEAR'!$5:$5,'TOTAL FIRST YEAR'!$7:$7,'TOTAL FIRST YEAR'!$9:$11,'TOTAL FIRST YEAR'!$13:$15,'TOTAL FIRST YEAR'!$17:$19,'TOTAL FIRST YEAR'!$21:$23,'TOTAL FIRST YEAR'!$25:$27,'TOTAL FIRST YEAR'!$29:$31,'TOTAL FIRST YEAR'!$33:$35,'TOTAL FIRST YEAR'!$37:$37,'TOTAL FIRST YEAR'!$39:$41,'TOTAL FIRST YEAR'!$43:$45,'TOTAL FIRST YEAR'!$47:$49,'TOTAL FIRST YEAR'!$51:$53,'TOTAL FIRST YEAR'!$55:$57,'TOTAL FIRST YEAR'!$59:$59,'TOTAL FIRST YEAR'!$61:$63,'TOTAL FIRST YEAR'!$65:$67,'TOTAL FIRST YEAR'!$69:$69</oldFormula>
  </rdn>
  <rdn rId="0" localSheetId="1" customView="1" name="Z_C923932C_96B5_464D_9E0A_3FBBD9F9862F_.wvu.Cols" hidden="1" oldHidden="1">
    <formula>'TOTAL FIRST YEAR'!$C:$C,'TOTAL FIRST YEAR'!$F:$R,'TOTAL FIRST YEAR'!$T:$W,'TOTAL FIRST YEAR'!$Y:$AB</formula>
    <oldFormula>'TOTAL FIRST YEAR'!$C:$C,'TOTAL FIRST YEAR'!$F:$R,'TOTAL FIRST YEAR'!$T:$W,'TOTAL FIRST YEAR'!$Y:$AB</oldFormula>
  </rdn>
  <rdn rId="0" localSheetId="1" customView="1" name="Z_C923932C_96B5_464D_9E0A_3FBBD9F9862F_.wvu.FilterData" hidden="1" oldHidden="1">
    <formula>'TOTAL FIRST YEAR'!$B$4:$T$70</formula>
    <oldFormula>'TOTAL FIRST YEAR'!$B$4:$T$70</oldFormula>
  </rdn>
  <rcv guid="{C923932C-96B5-464D-9E0A-3FBBD9F9862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41"/>
    <pageSetUpPr fitToPage="1"/>
  </sheetPr>
  <dimension ref="A1:AF90"/>
  <sheetViews>
    <sheetView tabSelected="1" topLeftCell="A3" zoomScale="85" zoomScaleNormal="85" zoomScaleSheetLayoutView="80" workbookViewId="0">
      <pane ySplit="3" topLeftCell="A6" activePane="bottomLeft" state="frozen"/>
      <selection activeCell="A3" sqref="A3"/>
      <selection pane="bottomLeft" activeCell="AD50" sqref="AD50"/>
    </sheetView>
  </sheetViews>
  <sheetFormatPr defaultColWidth="9.296875" defaultRowHeight="13" outlineLevelCol="1" x14ac:dyDescent="0.3"/>
  <cols>
    <col min="1" max="1" width="4" style="32" customWidth="1" outlineLevel="1"/>
    <col min="2" max="2" width="29.19921875" style="37" customWidth="1"/>
    <col min="3" max="3" width="12.8984375" style="37" hidden="1" customWidth="1"/>
    <col min="4" max="4" width="39" style="37" customWidth="1"/>
    <col min="5" max="5" width="25" style="37" customWidth="1"/>
    <col min="6" max="6" width="17.5" style="66" hidden="1" customWidth="1"/>
    <col min="7" max="7" width="16" style="66" hidden="1" customWidth="1"/>
    <col min="8" max="8" width="17.796875" style="37" hidden="1" customWidth="1"/>
    <col min="9" max="9" width="16.296875" style="37" hidden="1" customWidth="1"/>
    <col min="10" max="10" width="17" style="38" hidden="1" customWidth="1"/>
    <col min="11" max="11" width="12.296875" style="38" hidden="1" customWidth="1"/>
    <col min="12" max="12" width="16" style="38" hidden="1" customWidth="1"/>
    <col min="13" max="13" width="19" style="38" hidden="1" customWidth="1"/>
    <col min="14" max="14" width="16.69921875" style="38" hidden="1" customWidth="1"/>
    <col min="15" max="15" width="10.796875" style="37" hidden="1" customWidth="1"/>
    <col min="16" max="16" width="15.796875" style="37" hidden="1" customWidth="1"/>
    <col min="17" max="17" width="15.19921875" style="37" hidden="1" customWidth="1"/>
    <col min="18" max="18" width="26" style="38" hidden="1" customWidth="1"/>
    <col min="19" max="19" width="12.796875" style="37" customWidth="1"/>
    <col min="20" max="20" width="21.69921875" style="38" hidden="1" customWidth="1"/>
    <col min="21" max="21" width="5.796875" style="38" hidden="1" customWidth="1"/>
    <col min="22" max="22" width="12.296875" style="38" hidden="1" customWidth="1"/>
    <col min="23" max="23" width="16" style="38" hidden="1" customWidth="1"/>
    <col min="24" max="24" width="14.296875" style="38" customWidth="1"/>
    <col min="25" max="25" width="5.796875" style="38" hidden="1" customWidth="1"/>
    <col min="26" max="26" width="14.296875" style="38" hidden="1" customWidth="1"/>
    <col min="27" max="27" width="16" style="38" hidden="1" customWidth="1"/>
    <col min="28" max="28" width="14.296875" style="38" hidden="1" customWidth="1"/>
    <col min="29" max="29" width="9.296875" style="38"/>
    <col min="30" max="30" width="16" style="38" bestFit="1" customWidth="1"/>
    <col min="31" max="16384" width="9.296875" style="38"/>
  </cols>
  <sheetData>
    <row r="1" spans="1:32" s="40" customFormat="1" hidden="1" x14ac:dyDescent="0.3">
      <c r="A1" s="39"/>
      <c r="B1" s="99"/>
      <c r="C1" s="150" t="s">
        <v>0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41"/>
      <c r="Z1" s="41"/>
      <c r="AA1" s="41"/>
      <c r="AB1" s="41"/>
      <c r="AE1" s="41"/>
      <c r="AF1" s="41"/>
    </row>
    <row r="2" spans="1:32" hidden="1" x14ac:dyDescent="0.3">
      <c r="B2" s="72"/>
      <c r="C2" s="151" t="s">
        <v>51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1"/>
      <c r="Z2" s="11"/>
      <c r="AA2" s="11"/>
      <c r="AB2" s="11"/>
      <c r="AE2" s="11"/>
      <c r="AF2" s="11"/>
    </row>
    <row r="3" spans="1:32" ht="13.5" thickBot="1" x14ac:dyDescent="0.35">
      <c r="B3" s="73"/>
      <c r="J3" s="37"/>
      <c r="K3" s="37"/>
      <c r="L3" s="37"/>
      <c r="M3" s="37"/>
      <c r="O3" s="38"/>
      <c r="S3" s="38"/>
      <c r="T3" s="37"/>
      <c r="U3" s="37"/>
      <c r="V3" s="37"/>
      <c r="W3" s="37"/>
      <c r="X3" s="37"/>
      <c r="Z3" s="37"/>
      <c r="AA3" s="37"/>
      <c r="AB3" s="37"/>
      <c r="AE3" s="37"/>
    </row>
    <row r="4" spans="1:32" s="55" customFormat="1" ht="55.5" customHeight="1" thickBot="1" x14ac:dyDescent="0.35">
      <c r="A4" s="54"/>
      <c r="B4" s="136" t="s">
        <v>4</v>
      </c>
      <c r="C4" s="136" t="s">
        <v>5</v>
      </c>
      <c r="D4" s="136" t="s">
        <v>6</v>
      </c>
      <c r="E4" s="136" t="s">
        <v>109</v>
      </c>
      <c r="F4" s="137" t="s">
        <v>10</v>
      </c>
      <c r="G4" s="137" t="s">
        <v>50</v>
      </c>
      <c r="H4" s="138" t="s">
        <v>20</v>
      </c>
      <c r="I4" s="136" t="s">
        <v>45</v>
      </c>
      <c r="J4" s="136" t="s">
        <v>55</v>
      </c>
      <c r="K4" s="136" t="s">
        <v>94</v>
      </c>
      <c r="L4" s="136" t="s">
        <v>95</v>
      </c>
      <c r="M4" s="136" t="s">
        <v>59</v>
      </c>
      <c r="N4" s="136" t="s">
        <v>60</v>
      </c>
      <c r="O4" s="136" t="s">
        <v>46</v>
      </c>
      <c r="P4" s="138" t="s">
        <v>54</v>
      </c>
      <c r="Q4" s="136" t="s">
        <v>61</v>
      </c>
      <c r="R4" s="138" t="s">
        <v>47</v>
      </c>
      <c r="S4" s="136" t="s">
        <v>108</v>
      </c>
      <c r="T4" s="139" t="s">
        <v>48</v>
      </c>
      <c r="U4" s="140"/>
      <c r="V4" s="141" t="s">
        <v>49</v>
      </c>
      <c r="W4" s="142" t="s">
        <v>22</v>
      </c>
      <c r="X4" s="143" t="s">
        <v>62</v>
      </c>
      <c r="Y4" s="144"/>
      <c r="Z4" s="145" t="s">
        <v>8</v>
      </c>
      <c r="AA4" s="146" t="s">
        <v>21</v>
      </c>
      <c r="AB4" s="147" t="s">
        <v>63</v>
      </c>
      <c r="AC4" s="101"/>
      <c r="AD4" s="101"/>
    </row>
    <row r="5" spans="1:32" hidden="1" x14ac:dyDescent="0.3">
      <c r="B5" s="78"/>
      <c r="C5" s="78"/>
      <c r="D5" s="78"/>
      <c r="E5" s="78"/>
      <c r="F5" s="67"/>
      <c r="G5" s="67"/>
      <c r="H5" s="79"/>
      <c r="I5" s="78"/>
      <c r="J5" s="78"/>
      <c r="K5" s="78"/>
      <c r="L5" s="78"/>
      <c r="M5" s="78"/>
      <c r="N5" s="78"/>
      <c r="O5" s="78"/>
      <c r="P5" s="79"/>
      <c r="Q5" s="78"/>
      <c r="R5" s="79"/>
      <c r="S5" s="78"/>
      <c r="T5" s="127"/>
      <c r="U5" s="80"/>
      <c r="V5" s="105"/>
      <c r="W5" s="106"/>
      <c r="X5" s="106"/>
      <c r="Y5" s="80"/>
      <c r="Z5" s="115"/>
      <c r="AA5" s="116"/>
      <c r="AB5" s="116"/>
    </row>
    <row r="6" spans="1:32" x14ac:dyDescent="0.3">
      <c r="B6" s="81" t="s">
        <v>67</v>
      </c>
      <c r="C6" s="81"/>
      <c r="D6" s="59" t="s">
        <v>68</v>
      </c>
      <c r="E6" s="134">
        <v>600</v>
      </c>
      <c r="F6" s="68">
        <v>1</v>
      </c>
      <c r="G6" s="68">
        <v>1</v>
      </c>
      <c r="H6" s="57">
        <v>210</v>
      </c>
      <c r="I6" s="58">
        <f t="shared" ref="I6:I52" si="0">IF(ISNUMBER(G6),H6*G6,"")</f>
        <v>210</v>
      </c>
      <c r="J6" s="76">
        <v>1142</v>
      </c>
      <c r="K6" s="76">
        <f>0.5*0.95*$H6+PV($C$74,$O6,-(0.117*$H6))</f>
        <v>550.51233545715968</v>
      </c>
      <c r="L6" s="76">
        <f>0.1*$J6+PV($C$74,$O6,(-0.05*0.95*$H6))+PV($C$74,$O6,-15)</f>
        <v>572.39248384381608</v>
      </c>
      <c r="M6" s="76">
        <f t="shared" ref="M6:M52" si="1">IF(ISNUMBER(J6),J6*G6,"")</f>
        <v>1142</v>
      </c>
      <c r="N6" s="76">
        <f t="shared" ref="N6:N52" si="2">M6-G6*(K6+L6)</f>
        <v>19.09518069902424</v>
      </c>
      <c r="O6" s="59">
        <v>30</v>
      </c>
      <c r="P6" s="60">
        <f>PV($C$74,$O6,-$I6)</f>
        <v>3852.6695338218765</v>
      </c>
      <c r="Q6" s="58">
        <f>PV($C$74,$O6,-$I6)</f>
        <v>3852.6695338218765</v>
      </c>
      <c r="R6" s="77">
        <f>H6*$C$76</f>
        <v>356.61576272547069</v>
      </c>
      <c r="S6" s="134">
        <v>2000</v>
      </c>
      <c r="T6" s="125">
        <f>IF(ISNUMBER(S6),S6*G6,"")</f>
        <v>2000</v>
      </c>
      <c r="U6" s="61"/>
      <c r="V6" s="107">
        <f t="shared" ref="V6:V52" si="3">IF(ISERROR(T6/Q6),0,T6/Q6)</f>
        <v>0.519120568852939</v>
      </c>
      <c r="W6" s="108">
        <f t="shared" ref="W6:W52" si="4">IF(ISERROR((R6+T6)/Q6),0,(R6+T6)/Q6)</f>
        <v>0.61168385765692457</v>
      </c>
      <c r="X6" s="109">
        <f>IF($T6=0,"-",(VLOOKUP($O6,AC,6)*$I6)/($T6+$R6))</f>
        <v>1.9657382061970927</v>
      </c>
      <c r="Y6" s="61"/>
      <c r="Z6" s="117">
        <f t="shared" ref="Z6:Z52" si="5">IF(ISERROR(N6/P6),0,N6/P6)</f>
        <v>4.9563505334135633E-3</v>
      </c>
      <c r="AA6" s="118">
        <f t="shared" ref="AA6:AA52" si="6">IF(ISERROR(N6/P6),0,(N6+R6)/P6)</f>
        <v>9.75196393373991E-2</v>
      </c>
      <c r="AB6" s="119">
        <f>IF($T6=0,"-",(VLOOKUP($O6,AC,4)*$I6)/($N6+$R6))</f>
        <v>10.493557468232353</v>
      </c>
    </row>
    <row r="7" spans="1:32" hidden="1" x14ac:dyDescent="0.3">
      <c r="B7" s="102"/>
      <c r="C7" s="102"/>
      <c r="D7" s="59"/>
      <c r="E7" s="134"/>
      <c r="F7" s="69"/>
      <c r="G7" s="69"/>
      <c r="H7" s="57"/>
      <c r="I7" s="58"/>
      <c r="J7" s="76"/>
      <c r="K7" s="76"/>
      <c r="L7" s="76"/>
      <c r="M7" s="76"/>
      <c r="N7" s="76"/>
      <c r="O7" s="59"/>
      <c r="P7" s="60"/>
      <c r="Q7" s="58"/>
      <c r="R7" s="77"/>
      <c r="S7" s="134"/>
      <c r="T7" s="125"/>
      <c r="U7" s="61"/>
      <c r="V7" s="107"/>
      <c r="W7" s="108"/>
      <c r="X7" s="109"/>
      <c r="Y7" s="61"/>
      <c r="Z7" s="117"/>
      <c r="AA7" s="118"/>
      <c r="AB7" s="119"/>
    </row>
    <row r="8" spans="1:32" x14ac:dyDescent="0.3">
      <c r="B8" s="81" t="s">
        <v>70</v>
      </c>
      <c r="C8" s="81" t="s">
        <v>75</v>
      </c>
      <c r="D8" s="59" t="s">
        <v>13</v>
      </c>
      <c r="E8" s="134">
        <v>0.3</v>
      </c>
      <c r="F8" s="70">
        <v>1</v>
      </c>
      <c r="G8" s="70">
        <v>1</v>
      </c>
      <c r="H8" s="57">
        <v>6.2E-2</v>
      </c>
      <c r="I8" s="58">
        <f t="shared" si="0"/>
        <v>6.2E-2</v>
      </c>
      <c r="J8" s="76">
        <v>0.67</v>
      </c>
      <c r="K8" s="76">
        <f>0.5*0.95*$H8+PV($C$74,$O8,-(0.117*$H8))</f>
        <v>0.19208422167751385</v>
      </c>
      <c r="L8" s="76">
        <f>0.1*$J8+PV($C$74,$O8,(-0.05*0.95*$H8))</f>
        <v>0.13302671392890519</v>
      </c>
      <c r="M8" s="76">
        <f t="shared" si="1"/>
        <v>0.67</v>
      </c>
      <c r="N8" s="76">
        <f>M8-F8*(K8+L8)</f>
        <v>0.34488906439358102</v>
      </c>
      <c r="O8" s="59">
        <v>45</v>
      </c>
      <c r="P8" s="60">
        <f t="shared" ref="P8:Q10" si="7">PV($C$74,$O8,-$I8)</f>
        <v>1.3900360827137934</v>
      </c>
      <c r="Q8" s="58">
        <f t="shared" si="7"/>
        <v>1.3900360827137934</v>
      </c>
      <c r="R8" s="77">
        <f>H8*$C$76</f>
        <v>0.1052865585189485</v>
      </c>
      <c r="S8" s="134">
        <v>0.75</v>
      </c>
      <c r="T8" s="125">
        <f t="shared" ref="T8:T52" si="8">IF(ISNUMBER(S8),S8*G8,"")</f>
        <v>0.75</v>
      </c>
      <c r="U8" s="61"/>
      <c r="V8" s="107">
        <f t="shared" si="3"/>
        <v>0.53955433914762918</v>
      </c>
      <c r="W8" s="108">
        <f t="shared" si="4"/>
        <v>0.61529809848472172</v>
      </c>
      <c r="X8" s="109">
        <f>IF($T8=0,"-",(VLOOKUP($O8,AC,6)*$I8)/($T8+$R8))</f>
        <v>2.6947975774118227</v>
      </c>
      <c r="Y8" s="61"/>
      <c r="Z8" s="117">
        <f t="shared" si="5"/>
        <v>0.24811518829083032</v>
      </c>
      <c r="AA8" s="118">
        <f t="shared" si="6"/>
        <v>0.32385894762792289</v>
      </c>
      <c r="AB8" s="119">
        <f>IF($T8=0,"-",(VLOOKUP($O8,AC,4)*$I8)/($N8+$R8))</f>
        <v>4.2665277515807638</v>
      </c>
    </row>
    <row r="9" spans="1:32" hidden="1" x14ac:dyDescent="0.3">
      <c r="B9" s="81" t="s">
        <v>70</v>
      </c>
      <c r="C9" s="81" t="s">
        <v>76</v>
      </c>
      <c r="D9" s="59" t="s">
        <v>13</v>
      </c>
      <c r="E9" s="134">
        <v>0.3</v>
      </c>
      <c r="F9" s="70">
        <v>1</v>
      </c>
      <c r="G9" s="70">
        <v>1</v>
      </c>
      <c r="H9" s="57">
        <v>5.7000000000000002E-2</v>
      </c>
      <c r="I9" s="58">
        <f t="shared" si="0"/>
        <v>5.7000000000000002E-2</v>
      </c>
      <c r="J9" s="76">
        <v>0.67</v>
      </c>
      <c r="K9" s="76">
        <f>0.5*0.95*$H9+PV($C$74,$O9,-(0.117*$H9))</f>
        <v>0.17659355863900464</v>
      </c>
      <c r="L9" s="76">
        <f>0.1*$J9+PV($C$74,$O9,(-0.05*0.95*$H9))</f>
        <v>0.12770197893463867</v>
      </c>
      <c r="M9" s="76">
        <f t="shared" si="1"/>
        <v>0.67</v>
      </c>
      <c r="N9" s="76">
        <f t="shared" ref="N9:N10" si="9">M9-F9*(K9+L9)</f>
        <v>0.36570446242635674</v>
      </c>
      <c r="O9" s="59">
        <v>45</v>
      </c>
      <c r="P9" s="60">
        <f t="shared" si="7"/>
        <v>1.2779363986239716</v>
      </c>
      <c r="Q9" s="58">
        <f t="shared" si="7"/>
        <v>1.2779363986239716</v>
      </c>
      <c r="R9" s="77">
        <f>H9*$C$76</f>
        <v>9.6795707025484914E-2</v>
      </c>
      <c r="S9" s="134">
        <v>0.75</v>
      </c>
      <c r="T9" s="125">
        <f t="shared" si="8"/>
        <v>0.75</v>
      </c>
      <c r="U9" s="61"/>
      <c r="V9" s="107">
        <f t="shared" si="3"/>
        <v>0.58688366714303519</v>
      </c>
      <c r="W9" s="108">
        <f t="shared" si="4"/>
        <v>0.66262742648012773</v>
      </c>
      <c r="X9" s="109">
        <f>IF($T9=0,"-",(VLOOKUP($O9,AC,6)*$I9)/($T9+$R9))</f>
        <v>2.5023169264069933</v>
      </c>
      <c r="Y9" s="61"/>
      <c r="Z9" s="117">
        <f t="shared" si="5"/>
        <v>0.28616796799913674</v>
      </c>
      <c r="AA9" s="118">
        <f t="shared" si="6"/>
        <v>0.36191172733622928</v>
      </c>
      <c r="AB9" s="119">
        <f>IF($T9=0,"-",(VLOOKUP($O9,AC,4)*$I9)/($N9+$R9))</f>
        <v>3.8179287469415839</v>
      </c>
    </row>
    <row r="10" spans="1:32" hidden="1" x14ac:dyDescent="0.3">
      <c r="B10" s="81" t="s">
        <v>70</v>
      </c>
      <c r="C10" s="81" t="s">
        <v>74</v>
      </c>
      <c r="D10" s="59" t="s">
        <v>13</v>
      </c>
      <c r="E10" s="134">
        <v>0.3</v>
      </c>
      <c r="F10" s="70">
        <v>1</v>
      </c>
      <c r="G10" s="70">
        <v>1</v>
      </c>
      <c r="H10" s="57">
        <v>6.7000000000000004E-2</v>
      </c>
      <c r="I10" s="58">
        <f t="shared" si="0"/>
        <v>6.7000000000000004E-2</v>
      </c>
      <c r="J10" s="76">
        <v>0.67</v>
      </c>
      <c r="K10" s="76">
        <f>0.5*0.95*$H10+PV($C$74,$O10,-(0.117*$H10))</f>
        <v>0.20757488471602301</v>
      </c>
      <c r="L10" s="76">
        <f>0.1*$J10+PV($C$74,$O10,(-0.05*0.95*$H10))</f>
        <v>0.13835144892317175</v>
      </c>
      <c r="M10" s="76">
        <f t="shared" si="1"/>
        <v>0.67</v>
      </c>
      <c r="N10" s="76">
        <f t="shared" si="9"/>
        <v>0.32407366636080526</v>
      </c>
      <c r="O10" s="59">
        <v>45</v>
      </c>
      <c r="P10" s="60">
        <f t="shared" si="7"/>
        <v>1.5021357668036157</v>
      </c>
      <c r="Q10" s="58">
        <f t="shared" si="7"/>
        <v>1.5021357668036157</v>
      </c>
      <c r="R10" s="77">
        <f>H10*$C$76</f>
        <v>0.11377741001241209</v>
      </c>
      <c r="S10" s="134">
        <v>0.75</v>
      </c>
      <c r="T10" s="125">
        <f t="shared" si="8"/>
        <v>0.75</v>
      </c>
      <c r="U10" s="61"/>
      <c r="V10" s="107">
        <f t="shared" si="3"/>
        <v>0.49928908995750748</v>
      </c>
      <c r="W10" s="108">
        <f t="shared" si="4"/>
        <v>0.57503284929460008</v>
      </c>
      <c r="X10" s="109">
        <f>IF($T10=0,"-",(VLOOKUP($O10,AC,6)*$I10)/($T10+$R10))</f>
        <v>2.8834940946708447</v>
      </c>
      <c r="Y10" s="61"/>
      <c r="Z10" s="117">
        <f t="shared" si="5"/>
        <v>0.2157419279419725</v>
      </c>
      <c r="AA10" s="118">
        <f t="shared" si="6"/>
        <v>0.2914856872790651</v>
      </c>
      <c r="AB10" s="119">
        <f>IF($T10=0,"-",(VLOOKUP($O10,AC,4)*$I10)/($N10+$R10))</f>
        <v>4.7403809104678247</v>
      </c>
    </row>
    <row r="11" spans="1:32" hidden="1" x14ac:dyDescent="0.3">
      <c r="B11" s="102"/>
      <c r="C11" s="102"/>
      <c r="D11" s="59"/>
      <c r="E11" s="134"/>
      <c r="F11" s="69"/>
      <c r="G11" s="69"/>
      <c r="H11" s="57"/>
      <c r="I11" s="58"/>
      <c r="J11" s="76"/>
      <c r="K11" s="76"/>
      <c r="L11" s="76"/>
      <c r="M11" s="76"/>
      <c r="N11" s="76"/>
      <c r="O11" s="59"/>
      <c r="P11" s="60"/>
      <c r="Q11" s="58"/>
      <c r="R11" s="77"/>
      <c r="S11" s="134"/>
      <c r="T11" s="125"/>
      <c r="U11" s="61"/>
      <c r="V11" s="107"/>
      <c r="W11" s="108"/>
      <c r="X11" s="109"/>
      <c r="Y11" s="61"/>
      <c r="Z11" s="117"/>
      <c r="AA11" s="118"/>
      <c r="AB11" s="119"/>
    </row>
    <row r="12" spans="1:32" x14ac:dyDescent="0.3">
      <c r="B12" s="81" t="s">
        <v>70</v>
      </c>
      <c r="C12" s="81" t="s">
        <v>75</v>
      </c>
      <c r="D12" s="59" t="s">
        <v>107</v>
      </c>
      <c r="E12" s="134" t="s">
        <v>110</v>
      </c>
      <c r="F12" s="70">
        <v>1</v>
      </c>
      <c r="G12" s="70">
        <v>1</v>
      </c>
      <c r="H12" s="57">
        <f>0.062*1.2</f>
        <v>7.4399999999999994E-2</v>
      </c>
      <c r="I12" s="58">
        <f t="shared" ref="I12:I14" si="10">IF(ISNUMBER(G12),H12*G12,"")</f>
        <v>7.4399999999999994E-2</v>
      </c>
      <c r="J12" s="76">
        <v>0.67</v>
      </c>
      <c r="K12" s="76">
        <f>0.5*0.95*$H12+PV($C$74,$O12,-(0.117*$H12))</f>
        <v>0.23050106601301662</v>
      </c>
      <c r="L12" s="76">
        <f>0.1*$J12+PV($C$74,$O12,(-0.05*0.95*$H12))</f>
        <v>0.14623205671468623</v>
      </c>
      <c r="M12" s="76">
        <f t="shared" ref="M12:M14" si="11">IF(ISNUMBER(J12),J12*G12,"")</f>
        <v>0.67</v>
      </c>
      <c r="N12" s="76">
        <f>M12-F12*(K12+L12)</f>
        <v>0.29326687727229717</v>
      </c>
      <c r="O12" s="59">
        <v>45</v>
      </c>
      <c r="P12" s="60">
        <f t="shared" ref="P12:Q14" si="12">PV($C$74,$O12,-$I12)</f>
        <v>1.6680432992565519</v>
      </c>
      <c r="Q12" s="58">
        <f t="shared" si="12"/>
        <v>1.6680432992565519</v>
      </c>
      <c r="R12" s="77">
        <f>H12*$C$76</f>
        <v>0.12634387022273819</v>
      </c>
      <c r="S12" s="134">
        <v>1</v>
      </c>
      <c r="T12" s="125">
        <f t="shared" ref="T12:T14" si="13">IF(ISNUMBER(S12),S12*G12,"")</f>
        <v>1</v>
      </c>
      <c r="U12" s="61"/>
      <c r="V12" s="107">
        <f t="shared" ref="V12:V14" si="14">IF(ISERROR(T12/Q12),0,T12/Q12)</f>
        <v>0.5995048212751436</v>
      </c>
      <c r="W12" s="108">
        <f t="shared" ref="W12:W14" si="15">IF(ISERROR((R12+T12)/Q12),0,(R12+T12)/Q12)</f>
        <v>0.67524858061223614</v>
      </c>
      <c r="X12" s="109">
        <f>IF($T12=0,"-",(VLOOKUP($O12,AC,6)*$I12)/($T12+$R12))</f>
        <v>2.4555458134830217</v>
      </c>
      <c r="Y12" s="61"/>
      <c r="Z12" s="117">
        <f t="shared" ref="Z12:Z14" si="16">IF(ISERROR(N12/P12),0,N12/P12)</f>
        <v>0.17581490684504797</v>
      </c>
      <c r="AA12" s="118">
        <f t="shared" ref="AA12:AA14" si="17">IF(ISERROR(N12/P12),0,(N12+R12)/P12)</f>
        <v>0.25155866618214057</v>
      </c>
      <c r="AB12" s="119">
        <f>IF($T12=0,"-",(VLOOKUP($O12,AC,4)*$I12)/($N12+$R12))</f>
        <v>5.4927671887551615</v>
      </c>
    </row>
    <row r="13" spans="1:32" hidden="1" x14ac:dyDescent="0.3">
      <c r="B13" s="81" t="s">
        <v>70</v>
      </c>
      <c r="C13" s="81" t="s">
        <v>76</v>
      </c>
      <c r="D13" s="59" t="s">
        <v>107</v>
      </c>
      <c r="E13" s="134" t="s">
        <v>110</v>
      </c>
      <c r="F13" s="70">
        <v>1</v>
      </c>
      <c r="G13" s="70">
        <v>1</v>
      </c>
      <c r="H13" s="57">
        <f>0.057*1.2</f>
        <v>6.8400000000000002E-2</v>
      </c>
      <c r="I13" s="58">
        <f t="shared" si="10"/>
        <v>6.8400000000000002E-2</v>
      </c>
      <c r="J13" s="76">
        <v>0.67</v>
      </c>
      <c r="K13" s="76">
        <f>0.5*0.95*$H13+PV($C$74,$O13,-(0.117*$H13))</f>
        <v>0.2119122703668056</v>
      </c>
      <c r="L13" s="76">
        <f>0.1*$J13+PV($C$74,$O13,(-0.05*0.95*$H13))</f>
        <v>0.13984237472156635</v>
      </c>
      <c r="M13" s="76">
        <f t="shared" si="11"/>
        <v>0.67</v>
      </c>
      <c r="N13" s="76">
        <f t="shared" ref="N13:N14" si="18">M13-F13*(K13+L13)</f>
        <v>0.31824535491162809</v>
      </c>
      <c r="O13" s="59">
        <v>45</v>
      </c>
      <c r="P13" s="60">
        <f t="shared" si="12"/>
        <v>1.5335236783487658</v>
      </c>
      <c r="Q13" s="58">
        <f t="shared" si="12"/>
        <v>1.5335236783487658</v>
      </c>
      <c r="R13" s="77">
        <f>H13*$C$76</f>
        <v>0.11615484843058189</v>
      </c>
      <c r="S13" s="134">
        <v>1</v>
      </c>
      <c r="T13" s="125">
        <f t="shared" si="13"/>
        <v>1</v>
      </c>
      <c r="U13" s="61"/>
      <c r="V13" s="107">
        <f t="shared" si="14"/>
        <v>0.65209296349226131</v>
      </c>
      <c r="W13" s="108">
        <f t="shared" si="15"/>
        <v>0.72783672282935385</v>
      </c>
      <c r="X13" s="109">
        <f>IF($T13=0,"-",(VLOOKUP($O13,AC,6)*$I13)/($T13+$R13))</f>
        <v>2.2781260867644932</v>
      </c>
      <c r="Y13" s="61"/>
      <c r="Z13" s="117">
        <f t="shared" si="16"/>
        <v>0.20752555660197003</v>
      </c>
      <c r="AA13" s="118">
        <f t="shared" si="17"/>
        <v>0.28326931593906263</v>
      </c>
      <c r="AB13" s="119">
        <f>IF($T13=0,"-",(VLOOKUP($O13,AC,4)*$I13)/($N13+$R13))</f>
        <v>4.8778780824588832</v>
      </c>
    </row>
    <row r="14" spans="1:32" hidden="1" x14ac:dyDescent="0.3">
      <c r="B14" s="81" t="s">
        <v>70</v>
      </c>
      <c r="C14" s="81" t="s">
        <v>74</v>
      </c>
      <c r="D14" s="59" t="s">
        <v>107</v>
      </c>
      <c r="E14" s="134" t="s">
        <v>110</v>
      </c>
      <c r="F14" s="70">
        <v>1</v>
      </c>
      <c r="G14" s="70">
        <v>1</v>
      </c>
      <c r="H14" s="57">
        <f>0.067*1.2</f>
        <v>8.0399999999999999E-2</v>
      </c>
      <c r="I14" s="58">
        <f t="shared" si="10"/>
        <v>8.0399999999999999E-2</v>
      </c>
      <c r="J14" s="76">
        <v>0.67</v>
      </c>
      <c r="K14" s="76">
        <f>0.5*0.95*$H14+PV($C$74,$O14,-(0.117*$H14))</f>
        <v>0.24908986165922758</v>
      </c>
      <c r="L14" s="76">
        <f>0.1*$J14+PV($C$74,$O14,(-0.05*0.95*$H14))</f>
        <v>0.1526217387078061</v>
      </c>
      <c r="M14" s="76">
        <f t="shared" si="11"/>
        <v>0.67</v>
      </c>
      <c r="N14" s="76">
        <f t="shared" si="18"/>
        <v>0.26828839963296636</v>
      </c>
      <c r="O14" s="59">
        <v>45</v>
      </c>
      <c r="P14" s="60">
        <f t="shared" si="12"/>
        <v>1.8025629201643387</v>
      </c>
      <c r="Q14" s="58">
        <f t="shared" si="12"/>
        <v>1.8025629201643387</v>
      </c>
      <c r="R14" s="77">
        <f>H14*$C$76</f>
        <v>0.13653289201489449</v>
      </c>
      <c r="S14" s="134">
        <v>1</v>
      </c>
      <c r="T14" s="125">
        <f t="shared" si="13"/>
        <v>1</v>
      </c>
      <c r="U14" s="61"/>
      <c r="V14" s="107">
        <f t="shared" si="14"/>
        <v>0.55476565550834167</v>
      </c>
      <c r="W14" s="108">
        <f t="shared" si="15"/>
        <v>0.63050941484543432</v>
      </c>
      <c r="X14" s="109">
        <f>IF($T14=0,"-",(VLOOKUP($O14,AC,6)*$I14)/($T14+$R14))</f>
        <v>2.6297844031229944</v>
      </c>
      <c r="Y14" s="61"/>
      <c r="Z14" s="117">
        <f t="shared" si="16"/>
        <v>0.14883718988766653</v>
      </c>
      <c r="AA14" s="118">
        <f t="shared" si="17"/>
        <v>0.2245809492247591</v>
      </c>
      <c r="AB14" s="119">
        <f>IF($T14=0,"-",(VLOOKUP($O14,AC,4)*$I14)/($N14+$R14))</f>
        <v>6.152584145814723</v>
      </c>
    </row>
    <row r="15" spans="1:32" hidden="1" x14ac:dyDescent="0.3">
      <c r="B15" s="102"/>
      <c r="C15" s="102"/>
      <c r="D15" s="59"/>
      <c r="E15" s="134"/>
      <c r="F15" s="69"/>
      <c r="G15" s="69"/>
      <c r="H15" s="57"/>
      <c r="I15" s="58"/>
      <c r="J15" s="76"/>
      <c r="K15" s="76"/>
      <c r="L15" s="76"/>
      <c r="M15" s="76"/>
      <c r="N15" s="76"/>
      <c r="O15" s="59"/>
      <c r="P15" s="60"/>
      <c r="Q15" s="58"/>
      <c r="R15" s="77"/>
      <c r="S15" s="134"/>
      <c r="T15" s="125"/>
      <c r="U15" s="61"/>
      <c r="V15" s="107"/>
      <c r="W15" s="108"/>
      <c r="X15" s="109"/>
      <c r="Y15" s="61"/>
      <c r="Z15" s="117"/>
      <c r="AA15" s="118"/>
      <c r="AB15" s="119"/>
    </row>
    <row r="16" spans="1:32" x14ac:dyDescent="0.3">
      <c r="B16" s="81" t="s">
        <v>84</v>
      </c>
      <c r="C16" s="81" t="s">
        <v>75</v>
      </c>
      <c r="D16" s="59" t="s">
        <v>53</v>
      </c>
      <c r="E16" s="134">
        <v>150</v>
      </c>
      <c r="F16" s="68">
        <v>1</v>
      </c>
      <c r="G16" s="68">
        <v>1</v>
      </c>
      <c r="H16" s="57">
        <v>54</v>
      </c>
      <c r="I16" s="58">
        <f t="shared" si="0"/>
        <v>54</v>
      </c>
      <c r="J16" s="76">
        <v>1171</v>
      </c>
      <c r="K16" s="76">
        <f>0.5*0.95*$H16+PV($C$74,$O16,-(0.117*$H16))</f>
        <v>108.84441667537266</v>
      </c>
      <c r="L16" s="76">
        <f>0.1*$J16+PV($C$74,$O16,(-0.05*0.95*$H16))+PV($C$74,$O16,-15)</f>
        <v>348.39311948447619</v>
      </c>
      <c r="M16" s="76">
        <f t="shared" si="1"/>
        <v>1171</v>
      </c>
      <c r="N16" s="76">
        <f t="shared" si="2"/>
        <v>713.76246384015121</v>
      </c>
      <c r="O16" s="59">
        <v>18</v>
      </c>
      <c r="P16" s="60">
        <f t="shared" ref="P16:Q18" si="19">PV($C$74,$O16,-$I16)</f>
        <v>711.06339038780038</v>
      </c>
      <c r="Q16" s="58">
        <f t="shared" si="19"/>
        <v>711.06339038780038</v>
      </c>
      <c r="R16" s="77">
        <f>H16*$C$76</f>
        <v>91.701196129406753</v>
      </c>
      <c r="S16" s="134">
        <v>250</v>
      </c>
      <c r="T16" s="125">
        <f t="shared" si="8"/>
        <v>250</v>
      </c>
      <c r="U16" s="61"/>
      <c r="V16" s="107">
        <f t="shared" si="3"/>
        <v>0.35158609398193708</v>
      </c>
      <c r="W16" s="108">
        <f t="shared" si="4"/>
        <v>0.48054955542437566</v>
      </c>
      <c r="X16" s="109">
        <f>IF($T16=0,"-",(VLOOKUP($O16,AC,6)*$I16)/($T16+$R16))</f>
        <v>1.8210002102666045</v>
      </c>
      <c r="Y16" s="61"/>
      <c r="Z16" s="117">
        <f t="shared" si="5"/>
        <v>1.0037958267699294</v>
      </c>
      <c r="AA16" s="118">
        <f t="shared" si="6"/>
        <v>1.132759288212368</v>
      </c>
      <c r="AB16" s="119">
        <f>IF($T16=0,"-",(VLOOKUP($O16,AC,4)*$I16)/($N16+$R16))</f>
        <v>0.68668572834298203</v>
      </c>
    </row>
    <row r="17" spans="2:28" hidden="1" x14ac:dyDescent="0.3">
      <c r="B17" s="81" t="s">
        <v>84</v>
      </c>
      <c r="C17" s="81" t="s">
        <v>76</v>
      </c>
      <c r="D17" s="59" t="s">
        <v>53</v>
      </c>
      <c r="E17" s="134">
        <v>150</v>
      </c>
      <c r="F17" s="68">
        <v>1</v>
      </c>
      <c r="G17" s="68">
        <v>1</v>
      </c>
      <c r="H17" s="57">
        <v>54</v>
      </c>
      <c r="I17" s="58">
        <f t="shared" si="0"/>
        <v>54</v>
      </c>
      <c r="J17" s="76">
        <v>1171</v>
      </c>
      <c r="K17" s="76">
        <f>0.5*0.95*$H17+PV($C$74,$O17,-(0.117*$H17))</f>
        <v>108.84441667537266</v>
      </c>
      <c r="L17" s="76">
        <f>0.1*$J17+PV($C$74,$O17,(-0.05*0.95*$H17))+PV($C$74,$O17,-15)</f>
        <v>348.39311948447619</v>
      </c>
      <c r="M17" s="76">
        <f t="shared" si="1"/>
        <v>1171</v>
      </c>
      <c r="N17" s="76">
        <f t="shared" si="2"/>
        <v>713.76246384015121</v>
      </c>
      <c r="O17" s="59">
        <v>18</v>
      </c>
      <c r="P17" s="60">
        <f t="shared" si="19"/>
        <v>711.06339038780038</v>
      </c>
      <c r="Q17" s="58">
        <f t="shared" si="19"/>
        <v>711.06339038780038</v>
      </c>
      <c r="R17" s="77">
        <f>H17*$C$76</f>
        <v>91.701196129406753</v>
      </c>
      <c r="S17" s="134">
        <v>250</v>
      </c>
      <c r="T17" s="125">
        <f t="shared" si="8"/>
        <v>250</v>
      </c>
      <c r="U17" s="61"/>
      <c r="V17" s="107">
        <f t="shared" si="3"/>
        <v>0.35158609398193708</v>
      </c>
      <c r="W17" s="108">
        <f t="shared" si="4"/>
        <v>0.48054955542437566</v>
      </c>
      <c r="X17" s="109">
        <f>IF($T17=0,"-",(VLOOKUP($O17,AC,6)*$I17)/($T17+$R17))</f>
        <v>1.8210002102666045</v>
      </c>
      <c r="Y17" s="61"/>
      <c r="Z17" s="117">
        <f t="shared" si="5"/>
        <v>1.0037958267699294</v>
      </c>
      <c r="AA17" s="118">
        <f t="shared" si="6"/>
        <v>1.132759288212368</v>
      </c>
      <c r="AB17" s="119">
        <f>IF($T17=0,"-",(VLOOKUP($O17,AC,4)*$I17)/($N17+$R17))</f>
        <v>0.68668572834298203</v>
      </c>
    </row>
    <row r="18" spans="2:28" hidden="1" x14ac:dyDescent="0.3">
      <c r="B18" s="81" t="s">
        <v>84</v>
      </c>
      <c r="C18" s="81" t="s">
        <v>74</v>
      </c>
      <c r="D18" s="59" t="s">
        <v>53</v>
      </c>
      <c r="E18" s="134">
        <v>150</v>
      </c>
      <c r="F18" s="68">
        <v>1</v>
      </c>
      <c r="G18" s="68">
        <v>1</v>
      </c>
      <c r="H18" s="57">
        <v>54</v>
      </c>
      <c r="I18" s="58">
        <f t="shared" si="0"/>
        <v>54</v>
      </c>
      <c r="J18" s="76">
        <v>1171</v>
      </c>
      <c r="K18" s="76">
        <f>0.5*0.95*$H18+PV($C$74,$O18,-(0.117*$H18))</f>
        <v>108.84441667537266</v>
      </c>
      <c r="L18" s="76">
        <f>0.1*$J18+PV($C$74,$O18,(-0.05*0.95*$H18))+PV($C$74,$O18,-15)</f>
        <v>348.39311948447619</v>
      </c>
      <c r="M18" s="76">
        <f t="shared" si="1"/>
        <v>1171</v>
      </c>
      <c r="N18" s="76">
        <f t="shared" si="2"/>
        <v>713.76246384015121</v>
      </c>
      <c r="O18" s="59">
        <v>18</v>
      </c>
      <c r="P18" s="60">
        <f t="shared" si="19"/>
        <v>711.06339038780038</v>
      </c>
      <c r="Q18" s="58">
        <f t="shared" si="19"/>
        <v>711.06339038780038</v>
      </c>
      <c r="R18" s="77">
        <f>H18*$C$76</f>
        <v>91.701196129406753</v>
      </c>
      <c r="S18" s="134">
        <v>250</v>
      </c>
      <c r="T18" s="125">
        <f t="shared" si="8"/>
        <v>250</v>
      </c>
      <c r="U18" s="61"/>
      <c r="V18" s="107">
        <f t="shared" si="3"/>
        <v>0.35158609398193708</v>
      </c>
      <c r="W18" s="108">
        <f t="shared" si="4"/>
        <v>0.48054955542437566</v>
      </c>
      <c r="X18" s="109">
        <f>IF($T18=0,"-",(VLOOKUP($O18,AC,6)*$I18)/($T18+$R18))</f>
        <v>1.8210002102666045</v>
      </c>
      <c r="Y18" s="61"/>
      <c r="Z18" s="117">
        <f t="shared" si="5"/>
        <v>1.0037958267699294</v>
      </c>
      <c r="AA18" s="118">
        <f t="shared" si="6"/>
        <v>1.132759288212368</v>
      </c>
      <c r="AB18" s="119">
        <f>IF($T18=0,"-",(VLOOKUP($O18,AC,4)*$I18)/($N18+$R18))</f>
        <v>0.68668572834298203</v>
      </c>
    </row>
    <row r="19" spans="2:28" hidden="1" x14ac:dyDescent="0.3">
      <c r="B19" s="102"/>
      <c r="C19" s="102"/>
      <c r="D19" s="59"/>
      <c r="E19" s="134"/>
      <c r="F19" s="69"/>
      <c r="G19" s="69"/>
      <c r="H19" s="57"/>
      <c r="I19" s="58"/>
      <c r="J19" s="76"/>
      <c r="K19" s="76"/>
      <c r="L19" s="76"/>
      <c r="M19" s="76"/>
      <c r="N19" s="76"/>
      <c r="O19" s="59"/>
      <c r="P19" s="60"/>
      <c r="Q19" s="58"/>
      <c r="R19" s="77"/>
      <c r="S19" s="134"/>
      <c r="T19" s="125"/>
      <c r="U19" s="61"/>
      <c r="V19" s="107"/>
      <c r="W19" s="108"/>
      <c r="X19" s="109"/>
      <c r="Y19" s="61"/>
      <c r="Z19" s="117"/>
      <c r="AA19" s="118"/>
      <c r="AB19" s="119"/>
    </row>
    <row r="20" spans="2:28" x14ac:dyDescent="0.3">
      <c r="B20" s="81" t="s">
        <v>85</v>
      </c>
      <c r="C20" s="81" t="s">
        <v>75</v>
      </c>
      <c r="D20" s="59" t="s">
        <v>71</v>
      </c>
      <c r="E20" s="134">
        <v>45</v>
      </c>
      <c r="F20" s="68">
        <v>1</v>
      </c>
      <c r="G20" s="68">
        <v>1</v>
      </c>
      <c r="H20" s="57">
        <v>33</v>
      </c>
      <c r="I20" s="58">
        <f t="shared" si="0"/>
        <v>33</v>
      </c>
      <c r="J20" s="76">
        <v>139</v>
      </c>
      <c r="K20" s="76">
        <f>0.5*0.95*$H20+PV($C$74,$O20,-(0.117*$H20))</f>
        <v>62.300327967384433</v>
      </c>
      <c r="L20" s="76">
        <f>0.1*$J20+PV($C$74,$O20,(-0.05*0.95*$H20))</f>
        <v>32.829086140604794</v>
      </c>
      <c r="M20" s="76">
        <f t="shared" si="1"/>
        <v>139</v>
      </c>
      <c r="N20" s="76">
        <f t="shared" si="2"/>
        <v>43.87058589201078</v>
      </c>
      <c r="O20" s="59">
        <v>16</v>
      </c>
      <c r="P20" s="60">
        <f t="shared" ref="P20:Q22" si="20">PV($C$74,$O20,-$I20)</f>
        <v>398.50707664431144</v>
      </c>
      <c r="Q20" s="58">
        <f t="shared" si="20"/>
        <v>398.50707664431144</v>
      </c>
      <c r="R20" s="77">
        <f>H20*$C$76</f>
        <v>56.03961985685968</v>
      </c>
      <c r="S20" s="134">
        <v>45</v>
      </c>
      <c r="T20" s="125">
        <f t="shared" si="8"/>
        <v>45</v>
      </c>
      <c r="U20" s="61"/>
      <c r="V20" s="107">
        <f t="shared" si="3"/>
        <v>0.11292145770391142</v>
      </c>
      <c r="W20" s="108">
        <f t="shared" si="4"/>
        <v>0.25354535911301485</v>
      </c>
      <c r="X20" s="109">
        <f>IF($T20=0,"-",(VLOOKUP($O20,AC,6)*$I20)/($T20+$R20))</f>
        <v>3.2775869304452541</v>
      </c>
      <c r="Y20" s="61"/>
      <c r="Z20" s="117">
        <f t="shared" si="5"/>
        <v>0.1100873446500113</v>
      </c>
      <c r="AA20" s="118">
        <f t="shared" si="6"/>
        <v>0.25071124605911471</v>
      </c>
      <c r="AB20" s="119">
        <f>IF($T20=0,"-",(VLOOKUP($O20,AC,4)*$I20)/($N20+$R20))</f>
        <v>2.9463446481124684</v>
      </c>
    </row>
    <row r="21" spans="2:28" hidden="1" x14ac:dyDescent="0.3">
      <c r="B21" s="81" t="s">
        <v>85</v>
      </c>
      <c r="C21" s="81" t="s">
        <v>76</v>
      </c>
      <c r="D21" s="59" t="s">
        <v>71</v>
      </c>
      <c r="E21" s="134">
        <v>45</v>
      </c>
      <c r="F21" s="68">
        <v>1</v>
      </c>
      <c r="G21" s="68">
        <v>1</v>
      </c>
      <c r="H21" s="57">
        <v>33</v>
      </c>
      <c r="I21" s="58">
        <f t="shared" si="0"/>
        <v>33</v>
      </c>
      <c r="J21" s="76">
        <v>139</v>
      </c>
      <c r="K21" s="76">
        <f>0.5*0.95*$H21+PV($C$74,$O21,-(0.117*$H21))</f>
        <v>62.300327967384433</v>
      </c>
      <c r="L21" s="76">
        <f>0.1*$J21+PV($C$74,$O21,(-0.05*0.95*$H21))</f>
        <v>32.829086140604794</v>
      </c>
      <c r="M21" s="76">
        <f t="shared" si="1"/>
        <v>139</v>
      </c>
      <c r="N21" s="76">
        <f t="shared" si="2"/>
        <v>43.87058589201078</v>
      </c>
      <c r="O21" s="59">
        <v>16</v>
      </c>
      <c r="P21" s="60">
        <f t="shared" si="20"/>
        <v>398.50707664431144</v>
      </c>
      <c r="Q21" s="58">
        <f t="shared" si="20"/>
        <v>398.50707664431144</v>
      </c>
      <c r="R21" s="77">
        <f>H21*$C$76</f>
        <v>56.03961985685968</v>
      </c>
      <c r="S21" s="134">
        <v>45</v>
      </c>
      <c r="T21" s="125">
        <f t="shared" si="8"/>
        <v>45</v>
      </c>
      <c r="U21" s="61"/>
      <c r="V21" s="107">
        <f t="shared" si="3"/>
        <v>0.11292145770391142</v>
      </c>
      <c r="W21" s="108">
        <f t="shared" si="4"/>
        <v>0.25354535911301485</v>
      </c>
      <c r="X21" s="109">
        <f>IF($T21=0,"-",(VLOOKUP($O21,AC,6)*$I21)/($T21+$R21))</f>
        <v>3.2775869304452541</v>
      </c>
      <c r="Y21" s="61"/>
      <c r="Z21" s="117">
        <f t="shared" si="5"/>
        <v>0.1100873446500113</v>
      </c>
      <c r="AA21" s="118">
        <f t="shared" si="6"/>
        <v>0.25071124605911471</v>
      </c>
      <c r="AB21" s="119">
        <f>IF($T21=0,"-",(VLOOKUP($O21,AC,4)*$I21)/($N21+$R21))</f>
        <v>2.9463446481124684</v>
      </c>
    </row>
    <row r="22" spans="2:28" hidden="1" x14ac:dyDescent="0.3">
      <c r="B22" s="81" t="s">
        <v>85</v>
      </c>
      <c r="C22" s="81" t="s">
        <v>74</v>
      </c>
      <c r="D22" s="59" t="s">
        <v>71</v>
      </c>
      <c r="E22" s="134">
        <v>45</v>
      </c>
      <c r="F22" s="68">
        <v>1</v>
      </c>
      <c r="G22" s="68">
        <v>1</v>
      </c>
      <c r="H22" s="57">
        <v>33</v>
      </c>
      <c r="I22" s="58">
        <f t="shared" si="0"/>
        <v>33</v>
      </c>
      <c r="J22" s="76">
        <v>139</v>
      </c>
      <c r="K22" s="76">
        <f>0.5*0.95*$H22+PV($C$74,$O22,-(0.117*$H22))</f>
        <v>62.300327967384433</v>
      </c>
      <c r="L22" s="76">
        <f>0.1*$J22+PV($C$74,$O22,(-0.05*0.95*$H22))</f>
        <v>32.829086140604794</v>
      </c>
      <c r="M22" s="76">
        <f t="shared" si="1"/>
        <v>139</v>
      </c>
      <c r="N22" s="76">
        <f t="shared" si="2"/>
        <v>43.87058589201078</v>
      </c>
      <c r="O22" s="59">
        <v>16</v>
      </c>
      <c r="P22" s="60">
        <f t="shared" si="20"/>
        <v>398.50707664431144</v>
      </c>
      <c r="Q22" s="58">
        <f t="shared" si="20"/>
        <v>398.50707664431144</v>
      </c>
      <c r="R22" s="77">
        <f>H22*$C$76</f>
        <v>56.03961985685968</v>
      </c>
      <c r="S22" s="134">
        <v>45</v>
      </c>
      <c r="T22" s="125">
        <f t="shared" si="8"/>
        <v>45</v>
      </c>
      <c r="U22" s="61"/>
      <c r="V22" s="107">
        <f t="shared" si="3"/>
        <v>0.11292145770391142</v>
      </c>
      <c r="W22" s="108">
        <f t="shared" si="4"/>
        <v>0.25354535911301485</v>
      </c>
      <c r="X22" s="109">
        <f>IF($T22=0,"-",(VLOOKUP($O22,AC,6)*$I22)/($T22+$R22))</f>
        <v>3.2775869304452541</v>
      </c>
      <c r="Y22" s="61"/>
      <c r="Z22" s="117">
        <f t="shared" si="5"/>
        <v>0.1100873446500113</v>
      </c>
      <c r="AA22" s="118">
        <f t="shared" si="6"/>
        <v>0.25071124605911471</v>
      </c>
      <c r="AB22" s="119">
        <f>IF($T22=0,"-",(VLOOKUP($O22,AC,4)*$I22)/($N22+$R22))</f>
        <v>2.9463446481124684</v>
      </c>
    </row>
    <row r="23" spans="2:28" hidden="1" x14ac:dyDescent="0.3">
      <c r="B23" s="102"/>
      <c r="C23" s="102"/>
      <c r="D23" s="59"/>
      <c r="E23" s="134"/>
      <c r="F23" s="69"/>
      <c r="G23" s="69"/>
      <c r="H23" s="57"/>
      <c r="I23" s="58"/>
      <c r="J23" s="76"/>
      <c r="K23" s="76"/>
      <c r="L23" s="76"/>
      <c r="M23" s="76"/>
      <c r="N23" s="76"/>
      <c r="O23" s="59"/>
      <c r="P23" s="60"/>
      <c r="Q23" s="58"/>
      <c r="R23" s="77"/>
      <c r="S23" s="134"/>
      <c r="T23" s="125"/>
      <c r="U23" s="61"/>
      <c r="V23" s="107"/>
      <c r="W23" s="108"/>
      <c r="X23" s="109"/>
      <c r="Y23" s="61"/>
      <c r="Z23" s="117"/>
      <c r="AA23" s="118"/>
      <c r="AB23" s="119"/>
    </row>
    <row r="24" spans="2:28" x14ac:dyDescent="0.3">
      <c r="B24" s="81" t="s">
        <v>77</v>
      </c>
      <c r="C24" s="81" t="s">
        <v>75</v>
      </c>
      <c r="D24" s="59" t="s">
        <v>15</v>
      </c>
      <c r="E24" s="134">
        <v>10</v>
      </c>
      <c r="F24" s="68">
        <v>1</v>
      </c>
      <c r="G24" s="68">
        <v>1</v>
      </c>
      <c r="H24" s="57">
        <v>17</v>
      </c>
      <c r="I24" s="58">
        <f t="shared" si="0"/>
        <v>17</v>
      </c>
      <c r="J24" s="76">
        <v>10</v>
      </c>
      <c r="K24" s="76">
        <f>0.5*0.95*$H24+PV($C$74,$O24,-(0.117*$H24))</f>
        <v>24.600065340512487</v>
      </c>
      <c r="L24" s="76">
        <f>PV($C$74, $O24,-8.6)</f>
        <v>71.450760145001198</v>
      </c>
      <c r="M24" s="76">
        <f t="shared" si="1"/>
        <v>10</v>
      </c>
      <c r="N24" s="76">
        <v>0</v>
      </c>
      <c r="O24" s="59">
        <v>10</v>
      </c>
      <c r="P24" s="60">
        <f t="shared" ref="P24:Q26" si="21">PV($C$74,$O24,-$I24)</f>
        <v>141.23987470523491</v>
      </c>
      <c r="Q24" s="58">
        <f t="shared" si="21"/>
        <v>141.23987470523491</v>
      </c>
      <c r="R24" s="77">
        <f>H24*$C$76</f>
        <v>28.868895077776198</v>
      </c>
      <c r="S24" s="134">
        <v>10</v>
      </c>
      <c r="T24" s="125">
        <f t="shared" si="8"/>
        <v>10</v>
      </c>
      <c r="U24" s="61"/>
      <c r="V24" s="107">
        <f t="shared" si="3"/>
        <v>7.0801535479055197E-2</v>
      </c>
      <c r="W24" s="108">
        <f t="shared" si="4"/>
        <v>0.27519774538808456</v>
      </c>
      <c r="X24" s="109">
        <f>IF($T24=0,"-",(VLOOKUP($O24,AC,6)*$I24)/($T24+$R24))</f>
        <v>2.5497575838389421</v>
      </c>
      <c r="Y24" s="61"/>
      <c r="Z24" s="117">
        <f t="shared" si="5"/>
        <v>0</v>
      </c>
      <c r="AA24" s="118">
        <f t="shared" si="6"/>
        <v>0.20439620990902935</v>
      </c>
      <c r="AB24" s="119">
        <f>IF($T24=0,"-",(VLOOKUP($O24,AC,4)*$I24)/($N24+$R24))</f>
        <v>3.1208884079999999</v>
      </c>
    </row>
    <row r="25" spans="2:28" hidden="1" x14ac:dyDescent="0.3">
      <c r="B25" s="81" t="s">
        <v>77</v>
      </c>
      <c r="C25" s="81" t="s">
        <v>76</v>
      </c>
      <c r="D25" s="59" t="s">
        <v>15</v>
      </c>
      <c r="E25" s="134">
        <v>10</v>
      </c>
      <c r="F25" s="68">
        <v>1</v>
      </c>
      <c r="G25" s="68">
        <v>1</v>
      </c>
      <c r="H25" s="57">
        <v>17</v>
      </c>
      <c r="I25" s="58">
        <f t="shared" si="0"/>
        <v>17</v>
      </c>
      <c r="J25" s="76">
        <v>10</v>
      </c>
      <c r="K25" s="76">
        <f>0.5*0.95*$H25+PV($C$74,$O25,-(0.117*$H25))</f>
        <v>24.600065340512487</v>
      </c>
      <c r="L25" s="76">
        <f>PV($C$74, $O25,-8.6)</f>
        <v>71.450760145001198</v>
      </c>
      <c r="M25" s="76">
        <f t="shared" si="1"/>
        <v>10</v>
      </c>
      <c r="N25" s="76">
        <v>0</v>
      </c>
      <c r="O25" s="59">
        <v>10</v>
      </c>
      <c r="P25" s="60">
        <f t="shared" si="21"/>
        <v>141.23987470523491</v>
      </c>
      <c r="Q25" s="58">
        <f t="shared" si="21"/>
        <v>141.23987470523491</v>
      </c>
      <c r="R25" s="77">
        <f>H25*$C$76</f>
        <v>28.868895077776198</v>
      </c>
      <c r="S25" s="134">
        <v>10</v>
      </c>
      <c r="T25" s="125">
        <f t="shared" si="8"/>
        <v>10</v>
      </c>
      <c r="U25" s="61"/>
      <c r="V25" s="107">
        <f t="shared" si="3"/>
        <v>7.0801535479055197E-2</v>
      </c>
      <c r="W25" s="108">
        <f t="shared" si="4"/>
        <v>0.27519774538808456</v>
      </c>
      <c r="X25" s="109">
        <f>IF($T25=0,"-",(VLOOKUP($O25,AC,6)*$I25)/($T25+$R25))</f>
        <v>2.5497575838389421</v>
      </c>
      <c r="Y25" s="61"/>
      <c r="Z25" s="117">
        <f t="shared" si="5"/>
        <v>0</v>
      </c>
      <c r="AA25" s="118">
        <f t="shared" si="6"/>
        <v>0.20439620990902935</v>
      </c>
      <c r="AB25" s="119">
        <f>IF($T25=0,"-",(VLOOKUP($O25,AC,4)*$I25)/($N25+$R25))</f>
        <v>3.1208884079999999</v>
      </c>
    </row>
    <row r="26" spans="2:28" hidden="1" x14ac:dyDescent="0.3">
      <c r="B26" s="81" t="s">
        <v>77</v>
      </c>
      <c r="C26" s="81" t="s">
        <v>74</v>
      </c>
      <c r="D26" s="59" t="s">
        <v>15</v>
      </c>
      <c r="E26" s="134">
        <v>10</v>
      </c>
      <c r="F26" s="68">
        <v>1</v>
      </c>
      <c r="G26" s="68">
        <v>1</v>
      </c>
      <c r="H26" s="57">
        <v>17</v>
      </c>
      <c r="I26" s="58">
        <f t="shared" si="0"/>
        <v>17</v>
      </c>
      <c r="J26" s="76">
        <v>10</v>
      </c>
      <c r="K26" s="76">
        <f>0.5*0.95*$H26+PV($C$74,$O26,-(0.117*$H26))</f>
        <v>24.600065340512487</v>
      </c>
      <c r="L26" s="76">
        <f>PV($C$74, $O26,-8.6)</f>
        <v>71.450760145001198</v>
      </c>
      <c r="M26" s="76">
        <f t="shared" si="1"/>
        <v>10</v>
      </c>
      <c r="N26" s="76">
        <v>0</v>
      </c>
      <c r="O26" s="59">
        <v>10</v>
      </c>
      <c r="P26" s="60">
        <f t="shared" si="21"/>
        <v>141.23987470523491</v>
      </c>
      <c r="Q26" s="58">
        <f t="shared" si="21"/>
        <v>141.23987470523491</v>
      </c>
      <c r="R26" s="77">
        <f>H26*$C$76</f>
        <v>28.868895077776198</v>
      </c>
      <c r="S26" s="134">
        <v>10</v>
      </c>
      <c r="T26" s="125">
        <f t="shared" si="8"/>
        <v>10</v>
      </c>
      <c r="U26" s="61"/>
      <c r="V26" s="107">
        <f t="shared" si="3"/>
        <v>7.0801535479055197E-2</v>
      </c>
      <c r="W26" s="108">
        <f t="shared" si="4"/>
        <v>0.27519774538808456</v>
      </c>
      <c r="X26" s="109">
        <f>IF($T26=0,"-",(VLOOKUP($O26,AC,6)*$I26)/($T26+$R26))</f>
        <v>2.5497575838389421</v>
      </c>
      <c r="Y26" s="61"/>
      <c r="Z26" s="117">
        <f t="shared" si="5"/>
        <v>0</v>
      </c>
      <c r="AA26" s="118">
        <f t="shared" si="6"/>
        <v>0.20439620990902935</v>
      </c>
      <c r="AB26" s="119">
        <f>IF($T26=0,"-",(VLOOKUP($O26,AC,4)*$I26)/($N26+$R26))</f>
        <v>3.1208884079999999</v>
      </c>
    </row>
    <row r="27" spans="2:28" hidden="1" x14ac:dyDescent="0.3">
      <c r="B27" s="81"/>
      <c r="C27" s="81"/>
      <c r="D27" s="59"/>
      <c r="E27" s="134"/>
      <c r="F27" s="68"/>
      <c r="G27" s="68"/>
      <c r="H27" s="57"/>
      <c r="I27" s="58"/>
      <c r="J27" s="76"/>
      <c r="K27" s="76"/>
      <c r="L27" s="76"/>
      <c r="M27" s="76"/>
      <c r="N27" s="76"/>
      <c r="O27" s="59"/>
      <c r="P27" s="60"/>
      <c r="Q27" s="58"/>
      <c r="R27" s="77"/>
      <c r="S27" s="134"/>
      <c r="T27" s="125"/>
      <c r="U27" s="61"/>
      <c r="V27" s="107"/>
      <c r="W27" s="108"/>
      <c r="X27" s="109"/>
      <c r="Y27" s="61"/>
      <c r="Z27" s="117"/>
      <c r="AA27" s="118"/>
      <c r="AB27" s="119"/>
    </row>
    <row r="28" spans="2:28" x14ac:dyDescent="0.3">
      <c r="B28" s="81" t="s">
        <v>78</v>
      </c>
      <c r="C28" s="81" t="s">
        <v>75</v>
      </c>
      <c r="D28" s="59" t="s">
        <v>15</v>
      </c>
      <c r="E28" s="134">
        <v>16</v>
      </c>
      <c r="F28" s="68">
        <v>1</v>
      </c>
      <c r="G28" s="68">
        <v>1</v>
      </c>
      <c r="H28" s="57">
        <v>31</v>
      </c>
      <c r="I28" s="58">
        <f t="shared" si="0"/>
        <v>31</v>
      </c>
      <c r="J28" s="76">
        <v>16</v>
      </c>
      <c r="K28" s="76">
        <f>0.5*0.95*$H28+PV($C$74,$O28,-(0.117*$H28))</f>
        <v>44.858942679758066</v>
      </c>
      <c r="L28" s="76">
        <f>PV($C$74, $O28,-8.6)</f>
        <v>71.450760145001198</v>
      </c>
      <c r="M28" s="76">
        <f t="shared" si="1"/>
        <v>16</v>
      </c>
      <c r="N28" s="76">
        <v>0</v>
      </c>
      <c r="O28" s="59">
        <v>10</v>
      </c>
      <c r="P28" s="60">
        <f t="shared" ref="P28:Q30" si="22">PV($C$74,$O28,-$I28)</f>
        <v>257.55506563895779</v>
      </c>
      <c r="Q28" s="58">
        <f t="shared" si="22"/>
        <v>257.55506563895779</v>
      </c>
      <c r="R28" s="77">
        <f>H28*$C$76</f>
        <v>52.643279259474248</v>
      </c>
      <c r="S28" s="134">
        <v>16</v>
      </c>
      <c r="T28" s="125">
        <f t="shared" si="8"/>
        <v>16</v>
      </c>
      <c r="U28" s="61"/>
      <c r="V28" s="107">
        <f t="shared" si="3"/>
        <v>6.212263758162262E-2</v>
      </c>
      <c r="W28" s="108">
        <f t="shared" si="4"/>
        <v>0.26651884749065197</v>
      </c>
      <c r="X28" s="109">
        <f>IF($T28=0,"-",(VLOOKUP($O28,AC,6)*$I28)/($T28+$R28))</f>
        <v>2.6327876807408837</v>
      </c>
      <c r="Y28" s="61"/>
      <c r="Z28" s="117">
        <f t="shared" si="5"/>
        <v>0</v>
      </c>
      <c r="AA28" s="118">
        <f t="shared" si="6"/>
        <v>0.20439620990902935</v>
      </c>
      <c r="AB28" s="119">
        <f>IF($T28=0,"-",(VLOOKUP($O28,AC,4)*$I28)/($N28+$R28))</f>
        <v>3.1208884079999994</v>
      </c>
    </row>
    <row r="29" spans="2:28" hidden="1" x14ac:dyDescent="0.3">
      <c r="B29" s="81" t="s">
        <v>78</v>
      </c>
      <c r="C29" s="81" t="s">
        <v>76</v>
      </c>
      <c r="D29" s="59" t="s">
        <v>15</v>
      </c>
      <c r="E29" s="134">
        <v>16</v>
      </c>
      <c r="F29" s="68">
        <v>1</v>
      </c>
      <c r="G29" s="68">
        <v>1</v>
      </c>
      <c r="H29" s="57">
        <v>31</v>
      </c>
      <c r="I29" s="58">
        <f t="shared" si="0"/>
        <v>31</v>
      </c>
      <c r="J29" s="76">
        <v>16</v>
      </c>
      <c r="K29" s="76">
        <f>0.5*0.95*$H29+PV($C$74,$O29,-(0.117*$H29))</f>
        <v>44.858942679758066</v>
      </c>
      <c r="L29" s="76">
        <f>PV($C$74, $O29,-8.6)</f>
        <v>71.450760145001198</v>
      </c>
      <c r="M29" s="76">
        <f t="shared" si="1"/>
        <v>16</v>
      </c>
      <c r="N29" s="76">
        <v>0</v>
      </c>
      <c r="O29" s="59">
        <v>10</v>
      </c>
      <c r="P29" s="60">
        <f t="shared" si="22"/>
        <v>257.55506563895779</v>
      </c>
      <c r="Q29" s="58">
        <f t="shared" si="22"/>
        <v>257.55506563895779</v>
      </c>
      <c r="R29" s="77">
        <f>H29*$C$76</f>
        <v>52.643279259474248</v>
      </c>
      <c r="S29" s="134">
        <v>16</v>
      </c>
      <c r="T29" s="125">
        <f t="shared" si="8"/>
        <v>16</v>
      </c>
      <c r="U29" s="61"/>
      <c r="V29" s="107">
        <f t="shared" si="3"/>
        <v>6.212263758162262E-2</v>
      </c>
      <c r="W29" s="108">
        <f t="shared" si="4"/>
        <v>0.26651884749065197</v>
      </c>
      <c r="X29" s="109">
        <f>IF($T29=0,"-",(VLOOKUP($O29,AC,6)*$I29)/($T29+$R29))</f>
        <v>2.6327876807408837</v>
      </c>
      <c r="Y29" s="61"/>
      <c r="Z29" s="117">
        <f t="shared" si="5"/>
        <v>0</v>
      </c>
      <c r="AA29" s="118">
        <f t="shared" si="6"/>
        <v>0.20439620990902935</v>
      </c>
      <c r="AB29" s="119">
        <f>IF($T29=0,"-",(VLOOKUP($O29,AC,4)*$I29)/($N29+$R29))</f>
        <v>3.1208884079999994</v>
      </c>
    </row>
    <row r="30" spans="2:28" hidden="1" x14ac:dyDescent="0.3">
      <c r="B30" s="81" t="s">
        <v>78</v>
      </c>
      <c r="C30" s="81" t="s">
        <v>74</v>
      </c>
      <c r="D30" s="59" t="s">
        <v>15</v>
      </c>
      <c r="E30" s="134">
        <v>16</v>
      </c>
      <c r="F30" s="68">
        <v>1</v>
      </c>
      <c r="G30" s="68">
        <v>1</v>
      </c>
      <c r="H30" s="57">
        <v>31</v>
      </c>
      <c r="I30" s="58">
        <f t="shared" si="0"/>
        <v>31</v>
      </c>
      <c r="J30" s="76">
        <v>16</v>
      </c>
      <c r="K30" s="76">
        <f>0.5*0.95*$H30+PV($C$74,$O30,-(0.117*$H30))</f>
        <v>44.858942679758066</v>
      </c>
      <c r="L30" s="76">
        <f>PV($C$74, $O30,-8.6)</f>
        <v>71.450760145001198</v>
      </c>
      <c r="M30" s="76">
        <f t="shared" si="1"/>
        <v>16</v>
      </c>
      <c r="N30" s="76">
        <v>0</v>
      </c>
      <c r="O30" s="59">
        <v>10</v>
      </c>
      <c r="P30" s="60">
        <f t="shared" si="22"/>
        <v>257.55506563895779</v>
      </c>
      <c r="Q30" s="58">
        <f t="shared" si="22"/>
        <v>257.55506563895779</v>
      </c>
      <c r="R30" s="77">
        <f>H30*$C$76</f>
        <v>52.643279259474248</v>
      </c>
      <c r="S30" s="134">
        <v>16</v>
      </c>
      <c r="T30" s="125">
        <f t="shared" si="8"/>
        <v>16</v>
      </c>
      <c r="U30" s="61"/>
      <c r="V30" s="107">
        <f t="shared" si="3"/>
        <v>6.212263758162262E-2</v>
      </c>
      <c r="W30" s="108">
        <f t="shared" si="4"/>
        <v>0.26651884749065197</v>
      </c>
      <c r="X30" s="109">
        <f>IF($T30=0,"-",(VLOOKUP($O30,AC,6)*$I30)/($T30+$R30))</f>
        <v>2.6327876807408837</v>
      </c>
      <c r="Y30" s="61"/>
      <c r="Z30" s="117">
        <f t="shared" si="5"/>
        <v>0</v>
      </c>
      <c r="AA30" s="118">
        <f t="shared" si="6"/>
        <v>0.20439620990902935</v>
      </c>
      <c r="AB30" s="119">
        <f>IF($T30=0,"-",(VLOOKUP($O30,AC,4)*$I30)/($N30+$R30))</f>
        <v>3.1208884079999994</v>
      </c>
    </row>
    <row r="31" spans="2:28" hidden="1" x14ac:dyDescent="0.3">
      <c r="B31" s="81"/>
      <c r="C31" s="81"/>
      <c r="D31" s="59"/>
      <c r="E31" s="134"/>
      <c r="F31" s="68"/>
      <c r="G31" s="68"/>
      <c r="H31" s="57"/>
      <c r="I31" s="58"/>
      <c r="J31" s="76"/>
      <c r="K31" s="76"/>
      <c r="L31" s="76"/>
      <c r="M31" s="76"/>
      <c r="N31" s="76"/>
      <c r="O31" s="59"/>
      <c r="P31" s="60"/>
      <c r="Q31" s="58"/>
      <c r="R31" s="77"/>
      <c r="S31" s="134"/>
      <c r="T31" s="125"/>
      <c r="U31" s="61"/>
      <c r="V31" s="107"/>
      <c r="W31" s="108"/>
      <c r="X31" s="109"/>
      <c r="Y31" s="61"/>
      <c r="Z31" s="117"/>
      <c r="AA31" s="118"/>
      <c r="AB31" s="119"/>
    </row>
    <row r="32" spans="2:28" x14ac:dyDescent="0.3">
      <c r="B32" s="81" t="s">
        <v>114</v>
      </c>
      <c r="C32" s="81" t="s">
        <v>75</v>
      </c>
      <c r="D32" s="81" t="s">
        <v>114</v>
      </c>
      <c r="E32" s="134" t="s">
        <v>110</v>
      </c>
      <c r="F32" s="68">
        <v>1</v>
      </c>
      <c r="G32" s="68">
        <v>1</v>
      </c>
      <c r="H32" s="57">
        <v>18</v>
      </c>
      <c r="I32" s="58">
        <f t="shared" ref="I32:I34" si="23">IF(ISNUMBER(G32),H32*G32,"")</f>
        <v>18</v>
      </c>
      <c r="J32" s="76">
        <v>16</v>
      </c>
      <c r="K32" s="76">
        <f t="shared" ref="K32:K34" si="24">0.5*0.95*$H32+PV($C$74,$O32,-(0.117*$H32))</f>
        <v>27.486561058347618</v>
      </c>
      <c r="L32" s="76">
        <f>PV($C$74, $O32,-8.6)</f>
        <v>77.328786847953225</v>
      </c>
      <c r="M32" s="76">
        <f t="shared" ref="M32:M34" si="25">IF(ISNUMBER(J32),J32*G32,"")</f>
        <v>16</v>
      </c>
      <c r="N32" s="76">
        <v>0</v>
      </c>
      <c r="O32" s="59">
        <v>11</v>
      </c>
      <c r="P32" s="60">
        <f t="shared" ref="P32:Q34" si="26">PV($C$74,$O32,-$I32)</f>
        <v>161.85094921664626</v>
      </c>
      <c r="Q32" s="58">
        <f t="shared" si="26"/>
        <v>161.85094921664626</v>
      </c>
      <c r="R32" s="77">
        <f t="shared" ref="R32:R34" si="27">H32*$C$76</f>
        <v>30.567065376468918</v>
      </c>
      <c r="S32" s="134">
        <v>10</v>
      </c>
      <c r="T32" s="125">
        <f t="shared" ref="T32:T34" si="28">IF(ISNUMBER(S32),S32*G32,"")</f>
        <v>10</v>
      </c>
      <c r="U32" s="61"/>
      <c r="V32" s="107">
        <f t="shared" ref="V32:V34" si="29">IF(ISERROR(T32/Q32),0,T32/Q32)</f>
        <v>6.1785241596664708E-2</v>
      </c>
      <c r="W32" s="108">
        <f t="shared" ref="W32:W34" si="30">IF(ISERROR((R32+T32)/Q32),0,(R32+T32)/Q32)</f>
        <v>0.2506445935152824</v>
      </c>
      <c r="X32" s="109">
        <f>IF($T32=0,"-",(VLOOKUP($O32,AC,6)*$I32)/($T32+$R32))</f>
        <v>2.8627394888505631</v>
      </c>
      <c r="Y32" s="61"/>
      <c r="Z32" s="117">
        <f t="shared" ref="Z32:Z34" si="31">IF(ISERROR(N32/P32),0,N32/P32)</f>
        <v>0</v>
      </c>
      <c r="AA32" s="118">
        <f t="shared" ref="AA32:AA34" si="32">IF(ISERROR(N32/P32),0,(N32+R32)/P32)</f>
        <v>0.18885935191861769</v>
      </c>
      <c r="AB32" s="119">
        <f>IF($T32=0,"-",(VLOOKUP($O32,AC,4)*$I32)/($N32+$R32))</f>
        <v>3.4538938789090903</v>
      </c>
    </row>
    <row r="33" spans="2:28" hidden="1" x14ac:dyDescent="0.3">
      <c r="B33" s="81" t="s">
        <v>114</v>
      </c>
      <c r="C33" s="81" t="s">
        <v>76</v>
      </c>
      <c r="D33" s="81" t="s">
        <v>114</v>
      </c>
      <c r="E33" s="134">
        <v>16</v>
      </c>
      <c r="F33" s="68">
        <v>1</v>
      </c>
      <c r="G33" s="68">
        <v>1</v>
      </c>
      <c r="H33" s="57">
        <v>17</v>
      </c>
      <c r="I33" s="58">
        <f t="shared" si="23"/>
        <v>17</v>
      </c>
      <c r="J33" s="76">
        <v>16</v>
      </c>
      <c r="K33" s="76">
        <f t="shared" si="24"/>
        <v>25.959529888439413</v>
      </c>
      <c r="L33" s="76">
        <f>PV($C$74, $O33,-8.6)</f>
        <v>77.328786847953225</v>
      </c>
      <c r="M33" s="76">
        <f t="shared" si="25"/>
        <v>16</v>
      </c>
      <c r="N33" s="76">
        <v>0</v>
      </c>
      <c r="O33" s="59">
        <v>11</v>
      </c>
      <c r="P33" s="60">
        <f t="shared" si="26"/>
        <v>152.85922981572148</v>
      </c>
      <c r="Q33" s="58">
        <f t="shared" si="26"/>
        <v>152.85922981572148</v>
      </c>
      <c r="R33" s="77">
        <f t="shared" si="27"/>
        <v>28.868895077776198</v>
      </c>
      <c r="S33" s="134">
        <v>10</v>
      </c>
      <c r="T33" s="125">
        <f t="shared" si="28"/>
        <v>10</v>
      </c>
      <c r="U33" s="61"/>
      <c r="V33" s="107">
        <f t="shared" si="29"/>
        <v>6.54196675729391E-2</v>
      </c>
      <c r="W33" s="108">
        <f t="shared" si="30"/>
        <v>0.25427901949155679</v>
      </c>
      <c r="X33" s="109">
        <f>IF($T33=0,"-",(VLOOKUP($O33,AC,6)*$I33)/($T33+$R33))</f>
        <v>2.8218221737594904</v>
      </c>
      <c r="Y33" s="61"/>
      <c r="Z33" s="117">
        <f t="shared" si="31"/>
        <v>0</v>
      </c>
      <c r="AA33" s="118">
        <f t="shared" si="32"/>
        <v>0.18885935191861766</v>
      </c>
      <c r="AB33" s="119">
        <f>IF($T33=0,"-",(VLOOKUP($O33,AC,4)*$I33)/($N33+$R33))</f>
        <v>3.4538938789090912</v>
      </c>
    </row>
    <row r="34" spans="2:28" hidden="1" x14ac:dyDescent="0.3">
      <c r="B34" s="81" t="s">
        <v>114</v>
      </c>
      <c r="C34" s="81" t="s">
        <v>74</v>
      </c>
      <c r="D34" s="81" t="s">
        <v>114</v>
      </c>
      <c r="E34" s="134">
        <v>16</v>
      </c>
      <c r="F34" s="68">
        <v>1</v>
      </c>
      <c r="G34" s="68">
        <v>1</v>
      </c>
      <c r="H34" s="57">
        <v>20</v>
      </c>
      <c r="I34" s="58">
        <f t="shared" si="23"/>
        <v>20</v>
      </c>
      <c r="J34" s="76">
        <v>16</v>
      </c>
      <c r="K34" s="76">
        <f t="shared" si="24"/>
        <v>30.540623398164019</v>
      </c>
      <c r="L34" s="76">
        <f>PV($C$74, $O34,-8.6)</f>
        <v>77.328786847953225</v>
      </c>
      <c r="M34" s="76">
        <f t="shared" si="25"/>
        <v>16</v>
      </c>
      <c r="N34" s="76">
        <v>0</v>
      </c>
      <c r="O34" s="59">
        <v>11</v>
      </c>
      <c r="P34" s="60">
        <f t="shared" si="26"/>
        <v>179.83438801849584</v>
      </c>
      <c r="Q34" s="58">
        <f t="shared" si="26"/>
        <v>179.83438801849584</v>
      </c>
      <c r="R34" s="77">
        <f t="shared" si="27"/>
        <v>33.96340597385435</v>
      </c>
      <c r="S34" s="134">
        <v>10</v>
      </c>
      <c r="T34" s="125">
        <f t="shared" si="28"/>
        <v>10</v>
      </c>
      <c r="U34" s="61"/>
      <c r="V34" s="107">
        <f t="shared" si="29"/>
        <v>5.5606717436998236E-2</v>
      </c>
      <c r="W34" s="108">
        <f t="shared" si="30"/>
        <v>0.24446606935561593</v>
      </c>
      <c r="X34" s="109">
        <f>IF($T34=0,"-",(VLOOKUP($O34,AC,6)*$I34)/($T34+$R34))</f>
        <v>2.9350910636164054</v>
      </c>
      <c r="Y34" s="61"/>
      <c r="Z34" s="117">
        <f t="shared" si="31"/>
        <v>0</v>
      </c>
      <c r="AA34" s="118">
        <f t="shared" si="32"/>
        <v>0.18885935191861769</v>
      </c>
      <c r="AB34" s="119">
        <f>IF($T34=0,"-",(VLOOKUP($O34,AC,4)*$I34)/($N34+$R34))</f>
        <v>3.4538938789090907</v>
      </c>
    </row>
    <row r="35" spans="2:28" hidden="1" x14ac:dyDescent="0.3">
      <c r="B35" s="102"/>
      <c r="C35" s="102"/>
      <c r="D35" s="59"/>
      <c r="E35" s="134"/>
      <c r="F35" s="69"/>
      <c r="G35" s="69"/>
      <c r="H35" s="57"/>
      <c r="I35" s="58"/>
      <c r="J35" s="76"/>
      <c r="K35" s="76"/>
      <c r="L35" s="76"/>
      <c r="M35" s="76"/>
      <c r="N35" s="76"/>
      <c r="O35" s="59"/>
      <c r="P35" s="60"/>
      <c r="Q35" s="58"/>
      <c r="R35" s="77"/>
      <c r="S35" s="134"/>
      <c r="T35" s="125"/>
      <c r="U35" s="61"/>
      <c r="V35" s="107"/>
      <c r="W35" s="108"/>
      <c r="X35" s="109"/>
      <c r="Y35" s="61"/>
      <c r="Z35" s="117"/>
      <c r="AA35" s="118"/>
      <c r="AB35" s="119"/>
    </row>
    <row r="36" spans="2:28" x14ac:dyDescent="0.3">
      <c r="B36" s="81" t="s">
        <v>92</v>
      </c>
      <c r="C36" s="81"/>
      <c r="D36" s="59" t="s">
        <v>66</v>
      </c>
      <c r="E36" s="134">
        <v>600</v>
      </c>
      <c r="F36" s="68">
        <v>1</v>
      </c>
      <c r="G36" s="68">
        <v>1</v>
      </c>
      <c r="H36" s="57">
        <v>207</v>
      </c>
      <c r="I36" s="58">
        <f t="shared" si="0"/>
        <v>207</v>
      </c>
      <c r="J36" s="76">
        <v>1142</v>
      </c>
      <c r="K36" s="76">
        <f>0.5*0.95*$H36+PV($C$74,$O36,-(0.117*$H36))</f>
        <v>542.64787352205724</v>
      </c>
      <c r="L36" s="76">
        <f>0.1*$J36+PV($C$74,$O36,(-0.05*0.95*$H36))+PV($C$74,$O36,-15)</f>
        <v>569.77817237443696</v>
      </c>
      <c r="M36" s="76">
        <f t="shared" si="1"/>
        <v>1142</v>
      </c>
      <c r="N36" s="76">
        <f t="shared" si="2"/>
        <v>29.573954103505912</v>
      </c>
      <c r="O36" s="59">
        <v>30</v>
      </c>
      <c r="P36" s="60">
        <f>PV($C$74,$O36,-$I36)</f>
        <v>3797.631397624421</v>
      </c>
      <c r="Q36" s="58">
        <f>PV($C$74,$O36,-$I36)</f>
        <v>3797.631397624421</v>
      </c>
      <c r="R36" s="77">
        <f>H36*$C$76</f>
        <v>351.52125182939255</v>
      </c>
      <c r="S36" s="134">
        <v>2000</v>
      </c>
      <c r="T36" s="125">
        <f t="shared" si="8"/>
        <v>2000</v>
      </c>
      <c r="U36" s="61"/>
      <c r="V36" s="107">
        <f t="shared" si="3"/>
        <v>0.52664405535805414</v>
      </c>
      <c r="W36" s="108">
        <f t="shared" si="4"/>
        <v>0.6192073441620396</v>
      </c>
      <c r="X36" s="109">
        <f>IF($T36=0,"-",(VLOOKUP($O36,AC,6)*$I36)/($T36+$R36))</f>
        <v>1.941854114694711</v>
      </c>
      <c r="Y36" s="61"/>
      <c r="Z36" s="117">
        <f t="shared" si="5"/>
        <v>7.7874735610216593E-3</v>
      </c>
      <c r="AA36" s="118">
        <f t="shared" si="6"/>
        <v>0.1003507623650072</v>
      </c>
      <c r="AB36" s="119">
        <f>IF($T36=0,"-",(VLOOKUP($O36,AC,4)*$I36)/($N36+$R36))</f>
        <v>10.197510368143742</v>
      </c>
    </row>
    <row r="37" spans="2:28" hidden="1" x14ac:dyDescent="0.3">
      <c r="B37" s="81"/>
      <c r="C37" s="81"/>
      <c r="D37" s="59"/>
      <c r="E37" s="134"/>
      <c r="F37" s="68"/>
      <c r="G37" s="68"/>
      <c r="H37" s="57"/>
      <c r="I37" s="58"/>
      <c r="J37" s="76"/>
      <c r="K37" s="76"/>
      <c r="L37" s="76"/>
      <c r="M37" s="76"/>
      <c r="N37" s="76"/>
      <c r="O37" s="59"/>
      <c r="P37" s="60"/>
      <c r="Q37" s="58"/>
      <c r="R37" s="77"/>
      <c r="S37" s="134"/>
      <c r="T37" s="125"/>
      <c r="U37" s="61"/>
      <c r="V37" s="107"/>
      <c r="W37" s="108"/>
      <c r="X37" s="109"/>
      <c r="Y37" s="61"/>
      <c r="Z37" s="117"/>
      <c r="AA37" s="118"/>
      <c r="AB37" s="119"/>
    </row>
    <row r="38" spans="2:28" x14ac:dyDescent="0.3">
      <c r="B38" s="81" t="s">
        <v>86</v>
      </c>
      <c r="C38" s="81" t="s">
        <v>75</v>
      </c>
      <c r="D38" s="59" t="s">
        <v>14</v>
      </c>
      <c r="E38" s="134">
        <v>0.3</v>
      </c>
      <c r="F38" s="68">
        <v>1</v>
      </c>
      <c r="G38" s="68">
        <v>1</v>
      </c>
      <c r="H38" s="57">
        <v>5.6000000000000001E-2</v>
      </c>
      <c r="I38" s="58">
        <f t="shared" si="0"/>
        <v>5.6000000000000001E-2</v>
      </c>
      <c r="J38" s="76">
        <v>1.08</v>
      </c>
      <c r="K38" s="76">
        <f>0.5*0.95*$H38+PV($C$74,$O38,-(0.117*$H38))</f>
        <v>0.1734954260313028</v>
      </c>
      <c r="L38" s="76">
        <f>0.1*$J38+PV($C$74,$O38,(-0.05*0.95*$H38))</f>
        <v>0.16763703193578533</v>
      </c>
      <c r="M38" s="76">
        <f t="shared" si="1"/>
        <v>1.08</v>
      </c>
      <c r="N38" s="76">
        <f>M38-F38*(K38+L38)</f>
        <v>0.73886754203291194</v>
      </c>
      <c r="O38" s="59">
        <v>45</v>
      </c>
      <c r="P38" s="60">
        <f t="shared" ref="P38:Q40" si="33">PV($C$74,$O38,-$I38)</f>
        <v>1.2555164618060071</v>
      </c>
      <c r="Q38" s="58">
        <f t="shared" si="33"/>
        <v>1.2555164618060071</v>
      </c>
      <c r="R38" s="77">
        <f>H38*$C$76</f>
        <v>9.5097536726792192E-2</v>
      </c>
      <c r="S38" s="134">
        <v>0.75</v>
      </c>
      <c r="T38" s="125">
        <f t="shared" si="8"/>
        <v>0.75</v>
      </c>
      <c r="U38" s="61"/>
      <c r="V38" s="107">
        <f t="shared" si="3"/>
        <v>0.59736373262773224</v>
      </c>
      <c r="W38" s="108">
        <f t="shared" si="4"/>
        <v>0.67310749196482489</v>
      </c>
      <c r="X38" s="109">
        <f>IF($T38=0,"-",(VLOOKUP($O38,AC,6)*$I38)/($T38+$R38))</f>
        <v>2.4633566629048578</v>
      </c>
      <c r="Y38" s="61"/>
      <c r="Z38" s="117">
        <f t="shared" si="5"/>
        <v>0.58849689710167752</v>
      </c>
      <c r="AA38" s="118">
        <f t="shared" si="6"/>
        <v>0.66424065643877006</v>
      </c>
      <c r="AB38" s="119">
        <f>IF($T38=0,"-",(VLOOKUP($O38,AC,4)*$I38)/($N38+$R38))</f>
        <v>2.0801996599550883</v>
      </c>
    </row>
    <row r="39" spans="2:28" hidden="1" x14ac:dyDescent="0.3">
      <c r="B39" s="81" t="s">
        <v>87</v>
      </c>
      <c r="C39" s="81" t="s">
        <v>76</v>
      </c>
      <c r="D39" s="59" t="s">
        <v>14</v>
      </c>
      <c r="E39" s="134">
        <v>0.3</v>
      </c>
      <c r="F39" s="68">
        <v>1</v>
      </c>
      <c r="G39" s="68">
        <v>1</v>
      </c>
      <c r="H39" s="57">
        <v>5.3999999999999999E-2</v>
      </c>
      <c r="I39" s="58">
        <f t="shared" si="0"/>
        <v>5.3999999999999999E-2</v>
      </c>
      <c r="J39" s="76">
        <v>1.08</v>
      </c>
      <c r="K39" s="76">
        <f>0.5*0.95*$H39+PV($C$74,$O39,-(0.117*$H39))</f>
        <v>0.16729916081589916</v>
      </c>
      <c r="L39" s="76">
        <f>0.1*$J39+PV($C$74,$O39,(-0.05*0.95*$H39))</f>
        <v>0.16550713793807872</v>
      </c>
      <c r="M39" s="76">
        <f t="shared" si="1"/>
        <v>1.08</v>
      </c>
      <c r="N39" s="76">
        <f t="shared" ref="N39:N40" si="34">M39-F39*(K39+L39)</f>
        <v>0.74719370124602214</v>
      </c>
      <c r="O39" s="59">
        <v>45</v>
      </c>
      <c r="P39" s="60">
        <f t="shared" si="33"/>
        <v>1.2106765881700781</v>
      </c>
      <c r="Q39" s="58">
        <f t="shared" si="33"/>
        <v>1.2106765881700781</v>
      </c>
      <c r="R39" s="77">
        <f>H39*$C$76</f>
        <v>9.1701196129406748E-2</v>
      </c>
      <c r="S39" s="134">
        <v>0.75</v>
      </c>
      <c r="T39" s="125">
        <f t="shared" si="8"/>
        <v>0.75</v>
      </c>
      <c r="U39" s="61"/>
      <c r="V39" s="107">
        <f t="shared" si="3"/>
        <v>0.61948831531764836</v>
      </c>
      <c r="W39" s="108">
        <f t="shared" si="4"/>
        <v>0.69523207465474091</v>
      </c>
      <c r="X39" s="109">
        <f>IF($T39=0,"-",(VLOOKUP($O39,AC,6)*$I39)/($T39+$R39))</f>
        <v>2.3849645113197058</v>
      </c>
      <c r="Y39" s="61"/>
      <c r="Z39" s="117">
        <f t="shared" si="5"/>
        <v>0.6171703562678087</v>
      </c>
      <c r="AA39" s="118">
        <f t="shared" si="6"/>
        <v>0.69291411560490124</v>
      </c>
      <c r="AB39" s="119">
        <f>IF($T39=0,"-",(VLOOKUP($O39,AC,4)*$I39)/($N39+$R39))</f>
        <v>1.9941189774233845</v>
      </c>
    </row>
    <row r="40" spans="2:28" hidden="1" x14ac:dyDescent="0.3">
      <c r="B40" s="81" t="s">
        <v>86</v>
      </c>
      <c r="C40" s="81" t="s">
        <v>74</v>
      </c>
      <c r="D40" s="59" t="s">
        <v>14</v>
      </c>
      <c r="E40" s="134">
        <v>0.3</v>
      </c>
      <c r="F40" s="68">
        <v>1</v>
      </c>
      <c r="G40" s="68">
        <v>1</v>
      </c>
      <c r="H40" s="57">
        <v>5.8999999999999997E-2</v>
      </c>
      <c r="I40" s="58">
        <f t="shared" si="0"/>
        <v>5.8999999999999997E-2</v>
      </c>
      <c r="J40" s="76">
        <v>1.08</v>
      </c>
      <c r="K40" s="76">
        <f>0.5*0.95*$H40+PV($C$74,$O40,-(0.117*$H40))</f>
        <v>0.18278982385440834</v>
      </c>
      <c r="L40" s="76">
        <f>0.1*$J40+PV($C$74,$O40,(-0.05*0.95*$H40))</f>
        <v>0.17083187293234525</v>
      </c>
      <c r="M40" s="76">
        <f t="shared" si="1"/>
        <v>1.08</v>
      </c>
      <c r="N40" s="76">
        <f t="shared" si="34"/>
        <v>0.72637830321324648</v>
      </c>
      <c r="O40" s="59">
        <v>45</v>
      </c>
      <c r="P40" s="60">
        <f t="shared" si="33"/>
        <v>1.3227762722599001</v>
      </c>
      <c r="Q40" s="58">
        <f t="shared" si="33"/>
        <v>1.3227762722599001</v>
      </c>
      <c r="R40" s="77">
        <f>H40*$C$76</f>
        <v>0.10019204762287033</v>
      </c>
      <c r="S40" s="134">
        <v>0.75</v>
      </c>
      <c r="T40" s="125">
        <f t="shared" si="8"/>
        <v>0.75</v>
      </c>
      <c r="U40" s="61"/>
      <c r="V40" s="107">
        <f t="shared" si="3"/>
        <v>0.56698930554496629</v>
      </c>
      <c r="W40" s="108">
        <f t="shared" si="4"/>
        <v>0.64273306488205884</v>
      </c>
      <c r="X40" s="109">
        <f>IF($T40=0,"-",(VLOOKUP($O40,AC,6)*$I40)/($T40+$R40))</f>
        <v>2.5797705389359269</v>
      </c>
      <c r="Y40" s="61"/>
      <c r="Z40" s="117">
        <f t="shared" si="5"/>
        <v>0.54913163960241274</v>
      </c>
      <c r="AA40" s="118">
        <f t="shared" si="6"/>
        <v>0.62487539893950539</v>
      </c>
      <c r="AB40" s="119">
        <f>IF($T40=0,"-",(VLOOKUP($O40,AC,4)*$I40)/($N40+$R40))</f>
        <v>2.2112459379858591</v>
      </c>
    </row>
    <row r="41" spans="2:28" hidden="1" x14ac:dyDescent="0.3">
      <c r="B41" s="59"/>
      <c r="C41" s="59"/>
      <c r="D41" s="59"/>
      <c r="E41" s="134"/>
      <c r="F41" s="63"/>
      <c r="G41" s="63"/>
      <c r="H41" s="57"/>
      <c r="I41" s="58"/>
      <c r="J41" s="76"/>
      <c r="K41" s="76"/>
      <c r="L41" s="76"/>
      <c r="M41" s="76"/>
      <c r="N41" s="76"/>
      <c r="O41" s="59"/>
      <c r="P41" s="60"/>
      <c r="Q41" s="58"/>
      <c r="R41" s="77"/>
      <c r="S41" s="134"/>
      <c r="T41" s="125"/>
      <c r="U41" s="61"/>
      <c r="V41" s="107"/>
      <c r="W41" s="108"/>
      <c r="X41" s="109"/>
      <c r="Y41" s="61"/>
      <c r="Z41" s="117"/>
      <c r="AA41" s="118"/>
      <c r="AB41" s="119"/>
    </row>
    <row r="42" spans="2:28" ht="26" x14ac:dyDescent="0.3">
      <c r="B42" s="81" t="s">
        <v>88</v>
      </c>
      <c r="C42" s="81" t="s">
        <v>75</v>
      </c>
      <c r="D42" s="59" t="s">
        <v>44</v>
      </c>
      <c r="E42" s="134">
        <v>825</v>
      </c>
      <c r="F42" s="68">
        <v>1</v>
      </c>
      <c r="G42" s="68">
        <v>1</v>
      </c>
      <c r="H42" s="57">
        <v>475</v>
      </c>
      <c r="I42" s="58">
        <f t="shared" si="0"/>
        <v>475</v>
      </c>
      <c r="J42" s="76">
        <v>2500</v>
      </c>
      <c r="K42" s="76">
        <f>0.5*0.95*$H42+PV($C$74,$O42,-(0.117*$H42))</f>
        <v>1040.9281660777419</v>
      </c>
      <c r="L42" s="76">
        <f>0.1*$J42+PV($C$74,$O42,(-0.05*0.95*$H42))+PV($C$74,$O42,-15)</f>
        <v>801.0539842698189</v>
      </c>
      <c r="M42" s="76">
        <f t="shared" si="1"/>
        <v>2500</v>
      </c>
      <c r="N42" s="76">
        <f t="shared" si="2"/>
        <v>658.01784965243905</v>
      </c>
      <c r="O42" s="59">
        <v>21</v>
      </c>
      <c r="P42" s="60">
        <f t="shared" ref="P42:Q44" si="35">PV($C$74,$O42,-$I42)</f>
        <v>6968.4031288695896</v>
      </c>
      <c r="Q42" s="58">
        <f t="shared" si="35"/>
        <v>6968.4031288695896</v>
      </c>
      <c r="R42" s="77">
        <f>H42*$C$76</f>
        <v>806.63089187904086</v>
      </c>
      <c r="S42" s="134">
        <v>2500</v>
      </c>
      <c r="T42" s="125">
        <f t="shared" si="8"/>
        <v>2500</v>
      </c>
      <c r="U42" s="61"/>
      <c r="V42" s="107">
        <f t="shared" si="3"/>
        <v>0.35876225209225926</v>
      </c>
      <c r="W42" s="108">
        <f t="shared" si="4"/>
        <v>0.47451773824334426</v>
      </c>
      <c r="X42" s="109">
        <f>IF($T42=0,"-",(VLOOKUP($O42,AC,6)*$I42)/($T42+$R42))</f>
        <v>2.0285030395964032</v>
      </c>
      <c r="Y42" s="61"/>
      <c r="Z42" s="117">
        <f t="shared" si="5"/>
        <v>9.442878626328588E-2</v>
      </c>
      <c r="AA42" s="118">
        <f t="shared" si="6"/>
        <v>0.21018427241437085</v>
      </c>
      <c r="AB42" s="119">
        <f>IF($T42=0,"-",(VLOOKUP($O42,AC,4)*$I42)/($N42+$R42))</f>
        <v>3.9822640982856017</v>
      </c>
    </row>
    <row r="43" spans="2:28" ht="26" hidden="1" x14ac:dyDescent="0.3">
      <c r="B43" s="81" t="s">
        <v>88</v>
      </c>
      <c r="C43" s="81" t="s">
        <v>76</v>
      </c>
      <c r="D43" s="59" t="s">
        <v>44</v>
      </c>
      <c r="E43" s="134">
        <v>825</v>
      </c>
      <c r="F43" s="68">
        <v>1</v>
      </c>
      <c r="G43" s="68">
        <v>1</v>
      </c>
      <c r="H43" s="57">
        <v>468</v>
      </c>
      <c r="I43" s="58">
        <f t="shared" si="0"/>
        <v>468</v>
      </c>
      <c r="J43" s="76">
        <v>2500</v>
      </c>
      <c r="K43" s="76">
        <f>0.5*0.95*$H43+PV($C$74,$O43,-(0.117*$H43))</f>
        <v>1025.5881720513332</v>
      </c>
      <c r="L43" s="76">
        <f>0.1*$J43+PV($C$74,$O43,(-0.05*0.95*$H43))+PV($C$74,$O43,-15)</f>
        <v>796.17610207961025</v>
      </c>
      <c r="M43" s="76">
        <f t="shared" si="1"/>
        <v>2500</v>
      </c>
      <c r="N43" s="76">
        <f t="shared" si="2"/>
        <v>678.23572586905652</v>
      </c>
      <c r="O43" s="59">
        <v>21</v>
      </c>
      <c r="P43" s="60">
        <f t="shared" si="35"/>
        <v>6865.710872233617</v>
      </c>
      <c r="Q43" s="58">
        <f t="shared" si="35"/>
        <v>6865.710872233617</v>
      </c>
      <c r="R43" s="77">
        <f>H43*$C$76</f>
        <v>794.74369978819186</v>
      </c>
      <c r="S43" s="134">
        <v>2500</v>
      </c>
      <c r="T43" s="125">
        <f t="shared" si="8"/>
        <v>2500</v>
      </c>
      <c r="U43" s="61"/>
      <c r="V43" s="107">
        <f t="shared" si="3"/>
        <v>0.36412835415346828</v>
      </c>
      <c r="W43" s="108">
        <f t="shared" si="4"/>
        <v>0.47988384030455322</v>
      </c>
      <c r="X43" s="109">
        <f>IF($T43=0,"-",(VLOOKUP($O43,AC,6)*$I43)/($T43+$R43))</f>
        <v>2.0058201454713607</v>
      </c>
      <c r="Y43" s="61"/>
      <c r="Z43" s="117">
        <f t="shared" si="5"/>
        <v>9.8785943435512974E-2</v>
      </c>
      <c r="AA43" s="118">
        <f t="shared" si="6"/>
        <v>0.21454142958659791</v>
      </c>
      <c r="AB43" s="119">
        <f>IF($T43=0,"-",(VLOOKUP($O43,AC,4)*$I43)/($N43+$R43))</f>
        <v>3.9013876418781748</v>
      </c>
    </row>
    <row r="44" spans="2:28" ht="26" hidden="1" x14ac:dyDescent="0.3">
      <c r="B44" s="81" t="s">
        <v>88</v>
      </c>
      <c r="C44" s="81" t="s">
        <v>74</v>
      </c>
      <c r="D44" s="59" t="s">
        <v>44</v>
      </c>
      <c r="E44" s="134">
        <v>825</v>
      </c>
      <c r="F44" s="68">
        <v>1</v>
      </c>
      <c r="G44" s="68">
        <v>1</v>
      </c>
      <c r="H44" s="57">
        <v>476</v>
      </c>
      <c r="I44" s="58">
        <f t="shared" si="0"/>
        <v>476</v>
      </c>
      <c r="J44" s="76">
        <v>2500</v>
      </c>
      <c r="K44" s="76">
        <f>0.5*0.95*$H44+PV($C$74,$O44,-(0.117*$H44))</f>
        <v>1043.1195937958005</v>
      </c>
      <c r="L44" s="76">
        <f>0.1*$J44+PV($C$74,$O44,(-0.05*0.95*$H44))+PV($C$74,$O44,-15)</f>
        <v>801.75082458270583</v>
      </c>
      <c r="M44" s="76">
        <f t="shared" ref="M44" si="36">IF(ISNUMBER(J44),J44*G44,"")</f>
        <v>2500</v>
      </c>
      <c r="N44" s="76">
        <f t="shared" ref="N44" si="37">M44-G44*(K44+L44)</f>
        <v>655.1295816214938</v>
      </c>
      <c r="O44" s="59">
        <v>21</v>
      </c>
      <c r="P44" s="60">
        <f t="shared" si="35"/>
        <v>6983.0734512461568</v>
      </c>
      <c r="Q44" s="58">
        <f t="shared" si="35"/>
        <v>6983.0734512461568</v>
      </c>
      <c r="R44" s="77">
        <f>H44*$C$76</f>
        <v>808.32906217773359</v>
      </c>
      <c r="S44" s="134">
        <v>2500</v>
      </c>
      <c r="T44" s="125">
        <f t="shared" si="8"/>
        <v>2500</v>
      </c>
      <c r="U44" s="61"/>
      <c r="V44" s="107">
        <f t="shared" si="3"/>
        <v>0.35800854988198144</v>
      </c>
      <c r="W44" s="108">
        <f t="shared" si="4"/>
        <v>0.47376403603306644</v>
      </c>
      <c r="X44" s="109">
        <f>IF($T44=0,"-",(VLOOKUP($O44,AC,6)*$I44)/($T44+$R44))</f>
        <v>2.0317301465699522</v>
      </c>
      <c r="Y44" s="61"/>
      <c r="Z44" s="117">
        <f t="shared" ref="Z44" si="38">IF(ISERROR(N44/P44),0,N44/P44)</f>
        <v>9.3816796600440081E-2</v>
      </c>
      <c r="AA44" s="118">
        <f t="shared" ref="AA44" si="39">IF(ISERROR(N44/P44),0,(N44+R44)/P44)</f>
        <v>0.20957228275152506</v>
      </c>
      <c r="AB44" s="119">
        <f>IF($T44=0,"-",(VLOOKUP($O44,AC,4)*$I44)/($N44+$R44))</f>
        <v>3.9938930428715715</v>
      </c>
    </row>
    <row r="45" spans="2:28" hidden="1" x14ac:dyDescent="0.3">
      <c r="B45" s="81"/>
      <c r="C45" s="81"/>
      <c r="D45" s="59"/>
      <c r="E45" s="134"/>
      <c r="F45" s="68"/>
      <c r="G45" s="68"/>
      <c r="H45" s="57"/>
      <c r="I45" s="58"/>
      <c r="J45" s="76"/>
      <c r="K45" s="76"/>
      <c r="L45" s="76"/>
      <c r="M45" s="76"/>
      <c r="N45" s="76"/>
      <c r="O45" s="59"/>
      <c r="P45" s="60"/>
      <c r="Q45" s="58"/>
      <c r="R45" s="77"/>
      <c r="S45" s="134"/>
      <c r="T45" s="125"/>
      <c r="U45" s="61"/>
      <c r="V45" s="107"/>
      <c r="W45" s="108"/>
      <c r="X45" s="109"/>
      <c r="Y45" s="61"/>
      <c r="Z45" s="117"/>
      <c r="AA45" s="118"/>
      <c r="AB45" s="119"/>
    </row>
    <row r="46" spans="2:28" x14ac:dyDescent="0.3">
      <c r="B46" s="81" t="s">
        <v>81</v>
      </c>
      <c r="C46" s="81" t="s">
        <v>75</v>
      </c>
      <c r="D46" s="59" t="s">
        <v>82</v>
      </c>
      <c r="E46" s="134">
        <v>50</v>
      </c>
      <c r="F46" s="68">
        <v>1</v>
      </c>
      <c r="G46" s="68">
        <v>1</v>
      </c>
      <c r="H46" s="57">
        <v>13</v>
      </c>
      <c r="I46" s="58">
        <f t="shared" ref="I46:I48" si="40">IF(ISNUMBER(G46),H46*G46,"")</f>
        <v>13</v>
      </c>
      <c r="J46" s="76">
        <v>200</v>
      </c>
      <c r="K46" s="76">
        <f>0.5*0.95*$H46+PV($C$74,$O46,-(0.117*$H46))</f>
        <v>31.189058033946392</v>
      </c>
      <c r="L46" s="76">
        <f>0.1*$J46+PV($C$74,$O46,(-0.05*0.95*$H46))</f>
        <v>30.15527997104661</v>
      </c>
      <c r="M46" s="76">
        <f t="shared" ref="M46:M48" si="41">IF(ISNUMBER(J46),J46*G46,"")</f>
        <v>200</v>
      </c>
      <c r="N46" s="76">
        <f t="shared" ref="N46:N48" si="42">M46-G46*(K46+L46)</f>
        <v>138.65566199500699</v>
      </c>
      <c r="O46" s="59">
        <v>25</v>
      </c>
      <c r="P46" s="60">
        <f t="shared" ref="P46:Q48" si="43">PV($C$74,$O46,-$I46)</f>
        <v>213.79536781150762</v>
      </c>
      <c r="Q46" s="58">
        <f t="shared" si="43"/>
        <v>213.79536781150762</v>
      </c>
      <c r="R46" s="77">
        <f>H46*$C$76</f>
        <v>22.07621388300533</v>
      </c>
      <c r="S46" s="134">
        <v>100</v>
      </c>
      <c r="T46" s="125">
        <f t="shared" ref="T46:T48" si="44">IF(ISNUMBER(S46),S46*G46,"")</f>
        <v>100</v>
      </c>
      <c r="U46" s="61"/>
      <c r="V46" s="107">
        <f t="shared" ref="V46:V48" si="45">IF(ISERROR(T46/Q46),0,T46/Q46)</f>
        <v>0.46773698150544057</v>
      </c>
      <c r="W46" s="108">
        <f t="shared" ref="W46:W48" si="46">IF(ISERROR((R46+T46)/Q46),0,(R46+T46)/Q46)</f>
        <v>0.57099559795249466</v>
      </c>
      <c r="X46" s="109">
        <f>IF($T46=0,"-",(VLOOKUP($O46,AC,6)*$I46)/($T46+$R46))</f>
        <v>1.8484922563799442</v>
      </c>
      <c r="Y46" s="61"/>
      <c r="Z46" s="117">
        <f t="shared" ref="Z46:Z48" si="47">IF(ISERROR(N46/P46),0,N46/P46)</f>
        <v>0.64854380810183199</v>
      </c>
      <c r="AA46" s="118">
        <f t="shared" ref="AA46:AA48" si="48">IF(ISERROR(N46/P46),0,(N46+R46)/P46)</f>
        <v>0.75180242454888613</v>
      </c>
      <c r="AB46" s="119">
        <f>IF($T46=0,"-",(VLOOKUP($O46,AC,4)*$I46)/($N46+$R46))</f>
        <v>1.2208121231777045</v>
      </c>
    </row>
    <row r="47" spans="2:28" hidden="1" x14ac:dyDescent="0.3">
      <c r="B47" s="81" t="s">
        <v>81</v>
      </c>
      <c r="C47" s="81" t="s">
        <v>76</v>
      </c>
      <c r="D47" s="59" t="s">
        <v>82</v>
      </c>
      <c r="E47" s="134">
        <v>50</v>
      </c>
      <c r="F47" s="68">
        <v>1</v>
      </c>
      <c r="G47" s="68">
        <v>1</v>
      </c>
      <c r="H47" s="57">
        <v>13</v>
      </c>
      <c r="I47" s="58">
        <f t="shared" ref="I47" si="49">IF(ISNUMBER(G47),H47*G47,"")</f>
        <v>13</v>
      </c>
      <c r="J47" s="76">
        <v>200</v>
      </c>
      <c r="K47" s="76">
        <f>0.5*0.95*$H47+PV($C$74,$O47,-(0.117*$H47))</f>
        <v>31.189058033946392</v>
      </c>
      <c r="L47" s="76">
        <f>0.1*$J47+PV($C$74,$O47,(-0.05*0.95*$H47))</f>
        <v>30.15527997104661</v>
      </c>
      <c r="M47" s="76">
        <f t="shared" ref="M47" si="50">IF(ISNUMBER(J47),J47*G47,"")</f>
        <v>200</v>
      </c>
      <c r="N47" s="76">
        <f t="shared" ref="N47" si="51">M47-G47*(K47+L47)</f>
        <v>138.65566199500699</v>
      </c>
      <c r="O47" s="59">
        <v>25</v>
      </c>
      <c r="P47" s="60">
        <f t="shared" si="43"/>
        <v>213.79536781150762</v>
      </c>
      <c r="Q47" s="58">
        <f t="shared" si="43"/>
        <v>213.79536781150762</v>
      </c>
      <c r="R47" s="77">
        <f t="shared" ref="R47" si="52">H47*$C$76</f>
        <v>22.07621388300533</v>
      </c>
      <c r="S47" s="134">
        <v>100</v>
      </c>
      <c r="T47" s="125">
        <f t="shared" ref="T47" si="53">IF(ISNUMBER(S47),S47*G47,"")</f>
        <v>100</v>
      </c>
      <c r="U47" s="61"/>
      <c r="V47" s="107">
        <f t="shared" ref="V47" si="54">IF(ISERROR(T47/Q47),0,T47/Q47)</f>
        <v>0.46773698150544057</v>
      </c>
      <c r="W47" s="108">
        <f t="shared" ref="W47" si="55">IF(ISERROR((R47+T47)/Q47),0,(R47+T47)/Q47)</f>
        <v>0.57099559795249466</v>
      </c>
      <c r="X47" s="109">
        <f>IF($T47=0,"-",(VLOOKUP($O47,AC,6)*$I47)/($T47+$R47))</f>
        <v>1.8484922563799442</v>
      </c>
      <c r="Y47" s="61"/>
      <c r="Z47" s="117">
        <f t="shared" ref="Z47" si="56">IF(ISERROR(N47/P47),0,N47/P47)</f>
        <v>0.64854380810183199</v>
      </c>
      <c r="AA47" s="118">
        <f t="shared" ref="AA47" si="57">IF(ISERROR(N47/P47),0,(N47+R47)/P47)</f>
        <v>0.75180242454888613</v>
      </c>
      <c r="AB47" s="119">
        <f>IF($T47=0,"-",(VLOOKUP($O47,AC,4)*$I47)/($N47+$R47))</f>
        <v>1.2208121231777045</v>
      </c>
    </row>
    <row r="48" spans="2:28" hidden="1" x14ac:dyDescent="0.3">
      <c r="B48" s="81" t="s">
        <v>81</v>
      </c>
      <c r="C48" s="81" t="s">
        <v>74</v>
      </c>
      <c r="D48" s="59" t="s">
        <v>82</v>
      </c>
      <c r="E48" s="134">
        <v>50</v>
      </c>
      <c r="F48" s="68">
        <v>1</v>
      </c>
      <c r="G48" s="68">
        <v>1</v>
      </c>
      <c r="H48" s="57">
        <v>13</v>
      </c>
      <c r="I48" s="58">
        <f t="shared" si="40"/>
        <v>13</v>
      </c>
      <c r="J48" s="76">
        <v>200</v>
      </c>
      <c r="K48" s="76">
        <f>0.5*0.95*$H48+PV($C$74,$O48,-(0.117*$H48))</f>
        <v>31.189058033946392</v>
      </c>
      <c r="L48" s="76">
        <f>0.1*$J48+PV($C$74,$O48,(-0.05*0.95*$H48))</f>
        <v>30.15527997104661</v>
      </c>
      <c r="M48" s="76">
        <f t="shared" si="41"/>
        <v>200</v>
      </c>
      <c r="N48" s="76">
        <f t="shared" si="42"/>
        <v>138.65566199500699</v>
      </c>
      <c r="O48" s="59">
        <v>25</v>
      </c>
      <c r="P48" s="60">
        <f t="shared" si="43"/>
        <v>213.79536781150762</v>
      </c>
      <c r="Q48" s="58">
        <f t="shared" si="43"/>
        <v>213.79536781150762</v>
      </c>
      <c r="R48" s="77">
        <f>H48*$C$76</f>
        <v>22.07621388300533</v>
      </c>
      <c r="S48" s="134">
        <v>100</v>
      </c>
      <c r="T48" s="125">
        <f t="shared" si="44"/>
        <v>100</v>
      </c>
      <c r="U48" s="61"/>
      <c r="V48" s="107">
        <f t="shared" si="45"/>
        <v>0.46773698150544057</v>
      </c>
      <c r="W48" s="108">
        <f t="shared" si="46"/>
        <v>0.57099559795249466</v>
      </c>
      <c r="X48" s="109">
        <f>IF($T48=0,"-",(VLOOKUP($O48,AC,6)*$I48)/($T48+$R48))</f>
        <v>1.8484922563799442</v>
      </c>
      <c r="Y48" s="61"/>
      <c r="Z48" s="117">
        <f t="shared" si="47"/>
        <v>0.64854380810183199</v>
      </c>
      <c r="AA48" s="118">
        <f t="shared" si="48"/>
        <v>0.75180242454888613</v>
      </c>
      <c r="AB48" s="119">
        <f>IF($T48=0,"-",(VLOOKUP($O48,AC,4)*$I48)/($N48+$R48))</f>
        <v>1.2208121231777045</v>
      </c>
    </row>
    <row r="49" spans="2:28" hidden="1" x14ac:dyDescent="0.3">
      <c r="B49" s="59"/>
      <c r="C49" s="59"/>
      <c r="D49" s="59"/>
      <c r="E49" s="134"/>
      <c r="F49" s="68"/>
      <c r="G49" s="68"/>
      <c r="H49" s="57"/>
      <c r="I49" s="58"/>
      <c r="J49" s="76"/>
      <c r="K49" s="76"/>
      <c r="L49" s="76"/>
      <c r="M49" s="76"/>
      <c r="N49" s="76"/>
      <c r="O49" s="59"/>
      <c r="P49" s="60"/>
      <c r="Q49" s="58"/>
      <c r="R49" s="77"/>
      <c r="S49" s="134"/>
      <c r="T49" s="125"/>
      <c r="U49" s="61"/>
      <c r="V49" s="107"/>
      <c r="W49" s="108"/>
      <c r="X49" s="109"/>
      <c r="Y49" s="61"/>
      <c r="Z49" s="117"/>
      <c r="AA49" s="118"/>
      <c r="AB49" s="119"/>
    </row>
    <row r="50" spans="2:28" ht="26" x14ac:dyDescent="0.3">
      <c r="B50" s="81" t="s">
        <v>65</v>
      </c>
      <c r="C50" s="81" t="s">
        <v>75</v>
      </c>
      <c r="D50" s="59" t="s">
        <v>11</v>
      </c>
      <c r="E50" s="134">
        <v>250</v>
      </c>
      <c r="F50" s="68">
        <v>1</v>
      </c>
      <c r="G50" s="68">
        <v>1</v>
      </c>
      <c r="H50" s="57">
        <v>111</v>
      </c>
      <c r="I50" s="58">
        <f t="shared" si="0"/>
        <v>111</v>
      </c>
      <c r="J50" s="76">
        <v>1024</v>
      </c>
      <c r="K50" s="76">
        <f>0.5*0.95*$H50+PV($C$74,$O50,-(0.117*$H50))</f>
        <v>223.73574538826597</v>
      </c>
      <c r="L50" s="76">
        <f>0.1*$J50+PV($C$74,$O50,(-0.05*0.95*$H50))+PV($C$74,$O50,-15)</f>
        <v>369.34504780808669</v>
      </c>
      <c r="M50" s="76">
        <f t="shared" si="1"/>
        <v>1024</v>
      </c>
      <c r="N50" s="76">
        <f t="shared" si="2"/>
        <v>430.91920680364728</v>
      </c>
      <c r="O50" s="59">
        <v>18</v>
      </c>
      <c r="P50" s="60">
        <f t="shared" ref="P50:Q52" si="58">PV($C$74,$O50,-$I50)</f>
        <v>1461.6303024638119</v>
      </c>
      <c r="Q50" s="58">
        <f t="shared" si="58"/>
        <v>1461.6303024638119</v>
      </c>
      <c r="R50" s="77">
        <f>H50*$C$76</f>
        <v>188.49690315489167</v>
      </c>
      <c r="S50" s="134">
        <v>400</v>
      </c>
      <c r="T50" s="125">
        <f t="shared" si="8"/>
        <v>400</v>
      </c>
      <c r="U50" s="61"/>
      <c r="V50" s="107">
        <f>IF(ISERROR(T50/Q50),0,T50/Q50)</f>
        <v>0.27366701369404833</v>
      </c>
      <c r="W50" s="108">
        <f>IF(ISERROR((R50+T50)/Q50),0,(R50+T50)/Q50)</f>
        <v>0.40263047513648692</v>
      </c>
      <c r="X50" s="109">
        <f>IF($T50=0,"-",(VLOOKUP($O50,AC,6)*$I50)/($T50+$R50))</f>
        <v>2.1734093555006471</v>
      </c>
      <c r="Y50" s="61"/>
      <c r="Z50" s="117">
        <f t="shared" si="5"/>
        <v>0.29482093117340546</v>
      </c>
      <c r="AA50" s="118">
        <f t="shared" si="6"/>
        <v>0.42378439261584411</v>
      </c>
      <c r="AB50" s="119">
        <f>IF($T50=0,"-",(VLOOKUP($O50,AC,4)*$I50)/($N50+$R50))</f>
        <v>1.8354843887998022</v>
      </c>
    </row>
    <row r="51" spans="2:28" ht="26" hidden="1" x14ac:dyDescent="0.3">
      <c r="B51" s="81" t="s">
        <v>65</v>
      </c>
      <c r="C51" s="81" t="s">
        <v>76</v>
      </c>
      <c r="D51" s="59" t="s">
        <v>11</v>
      </c>
      <c r="E51" s="134">
        <v>250</v>
      </c>
      <c r="F51" s="68">
        <v>1</v>
      </c>
      <c r="G51" s="68">
        <v>1</v>
      </c>
      <c r="H51" s="57">
        <v>110</v>
      </c>
      <c r="I51" s="58">
        <f t="shared" si="0"/>
        <v>110</v>
      </c>
      <c r="J51" s="76">
        <v>1024</v>
      </c>
      <c r="K51" s="76">
        <f>0.5*0.95*$H51+PV($C$74,$O51,-(0.117*$H51))</f>
        <v>221.72010804242575</v>
      </c>
      <c r="L51" s="76">
        <f>0.1*$J51+PV($C$74,$O51,(-0.05*0.95*$H51))+PV($C$74,$O51,-15)</f>
        <v>368.71957538135666</v>
      </c>
      <c r="M51" s="76">
        <f t="shared" si="1"/>
        <v>1024</v>
      </c>
      <c r="N51" s="76">
        <f t="shared" si="2"/>
        <v>433.56031657621759</v>
      </c>
      <c r="O51" s="59">
        <v>18</v>
      </c>
      <c r="P51" s="60">
        <f t="shared" si="58"/>
        <v>1448.4624619010747</v>
      </c>
      <c r="Q51" s="58">
        <f t="shared" si="58"/>
        <v>1448.4624619010747</v>
      </c>
      <c r="R51" s="77">
        <f>H51*$C$76</f>
        <v>186.79873285619894</v>
      </c>
      <c r="S51" s="134">
        <v>400</v>
      </c>
      <c r="T51" s="125">
        <f t="shared" si="8"/>
        <v>400</v>
      </c>
      <c r="U51" s="61"/>
      <c r="V51" s="107">
        <f t="shared" si="3"/>
        <v>0.27615489563672152</v>
      </c>
      <c r="W51" s="108">
        <f t="shared" si="4"/>
        <v>0.40511835707916016</v>
      </c>
      <c r="X51" s="109">
        <f>IF($T51=0,"-",(VLOOKUP($O51,AC,6)*$I51)/($T51+$R51))</f>
        <v>2.1600621798047048</v>
      </c>
      <c r="Y51" s="61"/>
      <c r="Z51" s="117">
        <f t="shared" si="5"/>
        <v>0.29932450994082327</v>
      </c>
      <c r="AA51" s="118">
        <f t="shared" si="6"/>
        <v>0.42828797138326191</v>
      </c>
      <c r="AB51" s="119">
        <f>IF($T51=0,"-",(VLOOKUP($O51,AC,4)*$I51)/($N51+$R51))</f>
        <v>1.8161837101124514</v>
      </c>
    </row>
    <row r="52" spans="2:28" ht="26" hidden="1" x14ac:dyDescent="0.3">
      <c r="B52" s="81" t="s">
        <v>65</v>
      </c>
      <c r="C52" s="81" t="s">
        <v>74</v>
      </c>
      <c r="D52" s="59" t="s">
        <v>11</v>
      </c>
      <c r="E52" s="134">
        <v>250</v>
      </c>
      <c r="F52" s="68">
        <v>1</v>
      </c>
      <c r="G52" s="68">
        <v>1</v>
      </c>
      <c r="H52" s="57">
        <v>111</v>
      </c>
      <c r="I52" s="58">
        <f t="shared" si="0"/>
        <v>111</v>
      </c>
      <c r="J52" s="76">
        <v>1024</v>
      </c>
      <c r="K52" s="76">
        <f>0.5*0.95*$H52+PV($C$74,$O52,-(0.117*$H52))</f>
        <v>223.73574538826597</v>
      </c>
      <c r="L52" s="76">
        <f>0.1*$J52+PV($C$74,$O52,(-0.05*0.95*$H52))+PV($C$74,$O52,-15)</f>
        <v>369.34504780808669</v>
      </c>
      <c r="M52" s="76">
        <f t="shared" si="1"/>
        <v>1024</v>
      </c>
      <c r="N52" s="76">
        <f t="shared" si="2"/>
        <v>430.91920680364728</v>
      </c>
      <c r="O52" s="59">
        <v>18</v>
      </c>
      <c r="P52" s="60">
        <f t="shared" si="58"/>
        <v>1461.6303024638119</v>
      </c>
      <c r="Q52" s="58">
        <f t="shared" si="58"/>
        <v>1461.6303024638119</v>
      </c>
      <c r="R52" s="77">
        <f>H52*$C$76</f>
        <v>188.49690315489167</v>
      </c>
      <c r="S52" s="134">
        <v>400</v>
      </c>
      <c r="T52" s="125">
        <f t="shared" si="8"/>
        <v>400</v>
      </c>
      <c r="U52" s="61"/>
      <c r="V52" s="107">
        <f t="shared" si="3"/>
        <v>0.27366701369404833</v>
      </c>
      <c r="W52" s="108">
        <f t="shared" si="4"/>
        <v>0.40263047513648692</v>
      </c>
      <c r="X52" s="109">
        <f>IF($T52=0,"-",(VLOOKUP($O52,AC,6)*$I52)/($T52+$R52))</f>
        <v>2.1734093555006471</v>
      </c>
      <c r="Y52" s="61"/>
      <c r="Z52" s="117">
        <f t="shared" si="5"/>
        <v>0.29482093117340546</v>
      </c>
      <c r="AA52" s="118">
        <f t="shared" si="6"/>
        <v>0.42378439261584411</v>
      </c>
      <c r="AB52" s="119">
        <f>IF($T52=0,"-",(VLOOKUP($O52,AC,4)*$I52)/($N52+$R52))</f>
        <v>1.8354843887998022</v>
      </c>
    </row>
    <row r="53" spans="2:28" hidden="1" x14ac:dyDescent="0.3">
      <c r="B53" s="59"/>
      <c r="C53" s="59"/>
      <c r="D53" s="59"/>
      <c r="E53" s="134"/>
      <c r="F53" s="63"/>
      <c r="G53" s="63"/>
      <c r="H53" s="57"/>
      <c r="I53" s="58"/>
      <c r="J53" s="76"/>
      <c r="K53" s="76"/>
      <c r="L53" s="76"/>
      <c r="M53" s="76"/>
      <c r="N53" s="76"/>
      <c r="O53" s="59"/>
      <c r="P53" s="60"/>
      <c r="Q53" s="58"/>
      <c r="R53" s="77"/>
      <c r="S53" s="134"/>
      <c r="T53" s="125"/>
      <c r="U53" s="61"/>
      <c r="V53" s="107"/>
      <c r="W53" s="108"/>
      <c r="X53" s="109"/>
      <c r="Y53" s="61"/>
      <c r="Z53" s="117"/>
      <c r="AA53" s="118"/>
      <c r="AB53" s="119"/>
    </row>
    <row r="54" spans="2:28" x14ac:dyDescent="0.3">
      <c r="B54" s="103" t="s">
        <v>89</v>
      </c>
      <c r="C54" s="70" t="s">
        <v>75</v>
      </c>
      <c r="D54" s="59" t="s">
        <v>64</v>
      </c>
      <c r="E54" s="134">
        <v>150</v>
      </c>
      <c r="F54" s="70">
        <v>1</v>
      </c>
      <c r="G54" s="70">
        <v>1</v>
      </c>
      <c r="H54" s="57">
        <v>56</v>
      </c>
      <c r="I54" s="58">
        <f t="shared" ref="I54:I68" si="59">IF(ISNUMBER(G54),H54*G54,"")</f>
        <v>56</v>
      </c>
      <c r="J54" s="76">
        <v>425</v>
      </c>
      <c r="K54" s="76">
        <f>0.5*0.95*$H54+PV($C$74,$O54,-(0.117*$H54))</f>
        <v>119.55137452910738</v>
      </c>
      <c r="L54" s="76">
        <f>0.1*$J54+PV($C$74,$O54,(-0.05*0.95*$H54))+PV($C$74,$O54,-15)</f>
        <v>293.03743500977356</v>
      </c>
      <c r="M54" s="76">
        <f t="shared" ref="M54:M68" si="60">IF(ISNUMBER(J54),J54*G54,"")</f>
        <v>425</v>
      </c>
      <c r="N54" s="76">
        <f t="shared" ref="N54:N68" si="61">M54-G54*(K54+L54)</f>
        <v>12.411190461119077</v>
      </c>
      <c r="O54" s="59">
        <v>20</v>
      </c>
      <c r="P54" s="60">
        <f t="shared" ref="P54:Q56" si="62">PV($C$74,$O54,-$I54)</f>
        <v>794.4561925564733</v>
      </c>
      <c r="Q54" s="58">
        <f t="shared" si="62"/>
        <v>794.4561925564733</v>
      </c>
      <c r="R54" s="77">
        <f>H54*$C$76</f>
        <v>95.097536726792185</v>
      </c>
      <c r="S54" s="134">
        <v>250</v>
      </c>
      <c r="T54" s="125">
        <f t="shared" ref="T54:T68" si="63">IF(ISNUMBER(S54),S54*G54,"")</f>
        <v>250</v>
      </c>
      <c r="U54" s="61"/>
      <c r="V54" s="107">
        <f t="shared" ref="V54:V68" si="64">IF(ISERROR(T54/Q54),0,T54/Q54)</f>
        <v>0.31468066124014626</v>
      </c>
      <c r="W54" s="108">
        <f t="shared" ref="W54:W68" si="65">IF(ISERROR((R54+T54)/Q54),0,(R54+T54)/Q54)</f>
        <v>0.43438208419813057</v>
      </c>
      <c r="X54" s="109">
        <f t="shared" ref="X54:X58" si="66">IF($T54=0,"-",(VLOOKUP($O54,AC,6)*$I54)/($T54+$R54))</f>
        <v>2.1163477633808863</v>
      </c>
      <c r="Y54" s="61"/>
      <c r="Z54" s="117">
        <f t="shared" ref="Z54:Z68" si="67">IF(ISERROR(N54/P54),0,N54/P54)</f>
        <v>1.5622246484329388E-2</v>
      </c>
      <c r="AA54" s="118">
        <f t="shared" ref="AA54:AA68" si="68">IF(ISERROR(N54/P54),0,(N54+R54)/P54)</f>
        <v>0.13532366944231364</v>
      </c>
      <c r="AB54" s="119">
        <f t="shared" ref="AB54:AB58" si="69">IF($T54=0,"-",(VLOOKUP($O54,AC,4)*$I54)/($N54+$R54))</f>
        <v>6.0385497715482073</v>
      </c>
    </row>
    <row r="55" spans="2:28" hidden="1" x14ac:dyDescent="0.3">
      <c r="B55" s="103" t="s">
        <v>89</v>
      </c>
      <c r="C55" s="70" t="s">
        <v>76</v>
      </c>
      <c r="D55" s="59" t="s">
        <v>64</v>
      </c>
      <c r="E55" s="134">
        <v>150</v>
      </c>
      <c r="F55" s="70">
        <v>1</v>
      </c>
      <c r="G55" s="70">
        <v>1</v>
      </c>
      <c r="H55" s="57">
        <v>56</v>
      </c>
      <c r="I55" s="58">
        <f t="shared" si="59"/>
        <v>56</v>
      </c>
      <c r="J55" s="76">
        <v>425</v>
      </c>
      <c r="K55" s="76">
        <f>0.5*0.95*$H55+PV($C$74,$O55,-(0.117*$H55))</f>
        <v>119.55137452910738</v>
      </c>
      <c r="L55" s="76">
        <f>0.1*$J55+PV($C$74,$O55,(-0.05*0.95*$H55))+PV($C$74,$O55,-15)</f>
        <v>293.03743500977356</v>
      </c>
      <c r="M55" s="76">
        <f t="shared" si="60"/>
        <v>425</v>
      </c>
      <c r="N55" s="76">
        <f t="shared" si="61"/>
        <v>12.411190461119077</v>
      </c>
      <c r="O55" s="59">
        <v>20</v>
      </c>
      <c r="P55" s="60">
        <f t="shared" si="62"/>
        <v>794.4561925564733</v>
      </c>
      <c r="Q55" s="58">
        <f t="shared" si="62"/>
        <v>794.4561925564733</v>
      </c>
      <c r="R55" s="77">
        <f>H55*$C$76</f>
        <v>95.097536726792185</v>
      </c>
      <c r="S55" s="134">
        <v>250</v>
      </c>
      <c r="T55" s="125">
        <f t="shared" si="63"/>
        <v>250</v>
      </c>
      <c r="U55" s="61"/>
      <c r="V55" s="107">
        <f t="shared" si="64"/>
        <v>0.31468066124014626</v>
      </c>
      <c r="W55" s="108">
        <f t="shared" si="65"/>
        <v>0.43438208419813057</v>
      </c>
      <c r="X55" s="109">
        <f t="shared" si="66"/>
        <v>2.1163477633808863</v>
      </c>
      <c r="Y55" s="61"/>
      <c r="Z55" s="117">
        <f t="shared" si="67"/>
        <v>1.5622246484329388E-2</v>
      </c>
      <c r="AA55" s="118">
        <f t="shared" si="68"/>
        <v>0.13532366944231364</v>
      </c>
      <c r="AB55" s="119">
        <f t="shared" si="69"/>
        <v>6.0385497715482073</v>
      </c>
    </row>
    <row r="56" spans="2:28" hidden="1" x14ac:dyDescent="0.3">
      <c r="B56" s="103" t="s">
        <v>89</v>
      </c>
      <c r="C56" s="70" t="s">
        <v>74</v>
      </c>
      <c r="D56" s="59" t="s">
        <v>64</v>
      </c>
      <c r="E56" s="134">
        <v>150</v>
      </c>
      <c r="F56" s="70">
        <v>1</v>
      </c>
      <c r="G56" s="70">
        <v>1</v>
      </c>
      <c r="H56" s="57">
        <v>56</v>
      </c>
      <c r="I56" s="58">
        <f t="shared" si="59"/>
        <v>56</v>
      </c>
      <c r="J56" s="76">
        <v>425</v>
      </c>
      <c r="K56" s="76">
        <f>0.5*0.95*$H56+PV($C$74,$O56,-(0.117*$H56))</f>
        <v>119.55137452910738</v>
      </c>
      <c r="L56" s="76">
        <f>0.1*$J56+PV($C$74,$O56,(-0.05*0.95*$H56))+PV($C$74,$O56,-15)</f>
        <v>293.03743500977356</v>
      </c>
      <c r="M56" s="76">
        <f t="shared" si="60"/>
        <v>425</v>
      </c>
      <c r="N56" s="76">
        <f t="shared" si="61"/>
        <v>12.411190461119077</v>
      </c>
      <c r="O56" s="59">
        <v>20</v>
      </c>
      <c r="P56" s="60">
        <f t="shared" si="62"/>
        <v>794.4561925564733</v>
      </c>
      <c r="Q56" s="58">
        <f t="shared" si="62"/>
        <v>794.4561925564733</v>
      </c>
      <c r="R56" s="77">
        <f>H56*$C$76</f>
        <v>95.097536726792185</v>
      </c>
      <c r="S56" s="134">
        <v>250</v>
      </c>
      <c r="T56" s="125">
        <f t="shared" si="63"/>
        <v>250</v>
      </c>
      <c r="U56" s="61"/>
      <c r="V56" s="107">
        <f t="shared" si="64"/>
        <v>0.31468066124014626</v>
      </c>
      <c r="W56" s="108">
        <f t="shared" si="65"/>
        <v>0.43438208419813057</v>
      </c>
      <c r="X56" s="109">
        <f t="shared" si="66"/>
        <v>2.1163477633808863</v>
      </c>
      <c r="Y56" s="61"/>
      <c r="Z56" s="117">
        <f t="shared" si="67"/>
        <v>1.5622246484329388E-2</v>
      </c>
      <c r="AA56" s="118">
        <f t="shared" si="68"/>
        <v>0.13532366944231364</v>
      </c>
      <c r="AB56" s="119">
        <f t="shared" si="69"/>
        <v>6.0385497715482073</v>
      </c>
    </row>
    <row r="57" spans="2:28" hidden="1" x14ac:dyDescent="0.3">
      <c r="B57" s="103"/>
      <c r="C57" s="70"/>
      <c r="D57" s="59"/>
      <c r="E57" s="134"/>
      <c r="F57" s="70"/>
      <c r="G57" s="70"/>
      <c r="H57" s="57"/>
      <c r="I57" s="58"/>
      <c r="J57" s="76"/>
      <c r="K57" s="76"/>
      <c r="L57" s="76"/>
      <c r="M57" s="76"/>
      <c r="N57" s="76"/>
      <c r="O57" s="59"/>
      <c r="P57" s="60"/>
      <c r="Q57" s="58"/>
      <c r="R57" s="77"/>
      <c r="S57" s="134"/>
      <c r="T57" s="125"/>
      <c r="U57" s="61"/>
      <c r="V57" s="107"/>
      <c r="W57" s="108"/>
      <c r="X57" s="109"/>
      <c r="Y57" s="61"/>
      <c r="Z57" s="117"/>
      <c r="AA57" s="118"/>
      <c r="AB57" s="119"/>
    </row>
    <row r="58" spans="2:28" ht="26" x14ac:dyDescent="0.3">
      <c r="B58" s="103" t="s">
        <v>90</v>
      </c>
      <c r="C58" s="70"/>
      <c r="D58" s="59" t="s">
        <v>80</v>
      </c>
      <c r="E58" s="134">
        <v>250</v>
      </c>
      <c r="F58" s="70">
        <v>1</v>
      </c>
      <c r="G58" s="70">
        <v>1</v>
      </c>
      <c r="H58" s="57">
        <v>75</v>
      </c>
      <c r="I58" s="58">
        <f t="shared" si="59"/>
        <v>75</v>
      </c>
      <c r="J58" s="76">
        <v>600</v>
      </c>
      <c r="K58" s="76">
        <f>0.5*0.95*$H58+PV($C$74,$O58,-(0.117*$H58))</f>
        <v>160.11344803005454</v>
      </c>
      <c r="L58" s="76">
        <f>0.1*$J58+PV($C$74,$O58,(-0.05*0.95*$H58))+PV($C$74,$O58,-15)</f>
        <v>323.3409477558846</v>
      </c>
      <c r="M58" s="76">
        <f t="shared" si="60"/>
        <v>600</v>
      </c>
      <c r="N58" s="76">
        <f t="shared" si="61"/>
        <v>116.54560421406086</v>
      </c>
      <c r="O58" s="59">
        <v>20</v>
      </c>
      <c r="P58" s="60">
        <f>PV($C$74,$O58,-$I58)</f>
        <v>1064.0038293167054</v>
      </c>
      <c r="Q58" s="58">
        <f>PV($C$74,$O58,-$I58)</f>
        <v>1064.0038293167054</v>
      </c>
      <c r="R58" s="77">
        <f>H58*$C$76</f>
        <v>127.36277240195382</v>
      </c>
      <c r="S58" s="134">
        <v>300</v>
      </c>
      <c r="T58" s="125">
        <f t="shared" si="63"/>
        <v>300</v>
      </c>
      <c r="U58" s="61"/>
      <c r="V58" s="107">
        <f t="shared" si="64"/>
        <v>0.28195387247117104</v>
      </c>
      <c r="W58" s="108">
        <f t="shared" si="65"/>
        <v>0.40165529542915529</v>
      </c>
      <c r="X58" s="109">
        <f t="shared" si="66"/>
        <v>2.2887873328377166</v>
      </c>
      <c r="Y58" s="61"/>
      <c r="Z58" s="117">
        <f t="shared" si="67"/>
        <v>0.1095349480921563</v>
      </c>
      <c r="AA58" s="118">
        <f t="shared" si="68"/>
        <v>0.22923637105014052</v>
      </c>
      <c r="AB58" s="119">
        <f t="shared" si="69"/>
        <v>3.5646992205142354</v>
      </c>
    </row>
    <row r="59" spans="2:28" hidden="1" x14ac:dyDescent="0.3">
      <c r="B59" s="59"/>
      <c r="C59" s="59"/>
      <c r="D59" s="59"/>
      <c r="E59" s="134"/>
      <c r="F59" s="63"/>
      <c r="G59" s="63"/>
      <c r="H59" s="57"/>
      <c r="I59" s="58"/>
      <c r="J59" s="76"/>
      <c r="K59" s="76"/>
      <c r="L59" s="76"/>
      <c r="M59" s="76"/>
      <c r="N59" s="76"/>
      <c r="O59" s="59"/>
      <c r="P59" s="60"/>
      <c r="Q59" s="58"/>
      <c r="R59" s="77"/>
      <c r="S59" s="134"/>
      <c r="T59" s="125"/>
      <c r="U59" s="61"/>
      <c r="V59" s="107"/>
      <c r="W59" s="108"/>
      <c r="X59" s="109"/>
      <c r="Y59" s="61"/>
      <c r="Z59" s="117"/>
      <c r="AA59" s="118"/>
      <c r="AB59" s="119"/>
    </row>
    <row r="60" spans="2:28" x14ac:dyDescent="0.3">
      <c r="B60" s="81" t="s">
        <v>105</v>
      </c>
      <c r="C60" s="81" t="s">
        <v>75</v>
      </c>
      <c r="D60" s="59" t="s">
        <v>11</v>
      </c>
      <c r="E60" s="134" t="s">
        <v>110</v>
      </c>
      <c r="F60" s="68">
        <v>1</v>
      </c>
      <c r="G60" s="68">
        <v>1</v>
      </c>
      <c r="H60" s="57">
        <v>106</v>
      </c>
      <c r="I60" s="58">
        <f t="shared" si="59"/>
        <v>106</v>
      </c>
      <c r="J60" s="76">
        <v>1747</v>
      </c>
      <c r="K60" s="76">
        <f>0.5*0.95*$H60+PV($C$74,$O60,-(0.117*$H60))</f>
        <v>232.29133811419086</v>
      </c>
      <c r="L60" s="76">
        <f>0.1*$J60+PV($C$74,$O60,(-0.05*0.95*$H60))+PV($C$74,$O60,-15)</f>
        <v>468.61990881453107</v>
      </c>
      <c r="M60" s="76">
        <f t="shared" si="60"/>
        <v>1747</v>
      </c>
      <c r="N60" s="76">
        <f t="shared" si="61"/>
        <v>1046.088753071278</v>
      </c>
      <c r="O60" s="59">
        <v>21</v>
      </c>
      <c r="P60" s="60">
        <f t="shared" ref="P60:Q62" si="70">PV($C$74,$O60,-$I60)</f>
        <v>1555.0541719161611</v>
      </c>
      <c r="Q60" s="58">
        <f t="shared" si="70"/>
        <v>1555.0541719161611</v>
      </c>
      <c r="R60" s="77">
        <f>H60*$C$76</f>
        <v>180.00605166142807</v>
      </c>
      <c r="S60" s="134">
        <v>500</v>
      </c>
      <c r="T60" s="125">
        <f t="shared" si="63"/>
        <v>500</v>
      </c>
      <c r="U60" s="61"/>
      <c r="V60" s="107">
        <f t="shared" si="64"/>
        <v>0.32153220706381724</v>
      </c>
      <c r="W60" s="108">
        <f t="shared" si="65"/>
        <v>0.43728769321490224</v>
      </c>
      <c r="X60" s="109">
        <f>IF($T60=0,"-",(VLOOKUP($O60,AC,6)*$I60)/($T60+$R60))</f>
        <v>2.2012068697666045</v>
      </c>
      <c r="Y60" s="61"/>
      <c r="Z60" s="117">
        <f t="shared" si="67"/>
        <v>0.67270245111928917</v>
      </c>
      <c r="AA60" s="118">
        <f t="shared" si="68"/>
        <v>0.78845793727037405</v>
      </c>
      <c r="AB60" s="119">
        <f>IF($T60=0,"-",(VLOOKUP($O60,AC,4)*$I60)/($N60+$R60))</f>
        <v>1.0615775965903007</v>
      </c>
    </row>
    <row r="61" spans="2:28" hidden="1" x14ac:dyDescent="0.3">
      <c r="B61" s="81" t="s">
        <v>105</v>
      </c>
      <c r="C61" s="81" t="s">
        <v>76</v>
      </c>
      <c r="D61" s="59" t="s">
        <v>106</v>
      </c>
      <c r="E61" s="134" t="s">
        <v>110</v>
      </c>
      <c r="F61" s="68">
        <v>1</v>
      </c>
      <c r="G61" s="68">
        <v>1</v>
      </c>
      <c r="H61" s="57">
        <v>102</v>
      </c>
      <c r="I61" s="58">
        <f t="shared" ref="I61:I62" si="71">IF(ISNUMBER(G61),H61*G61,"")</f>
        <v>102</v>
      </c>
      <c r="J61" s="76">
        <v>1747</v>
      </c>
      <c r="K61" s="76">
        <f>0.5*0.95*$H61+PV($C$74,$O61,-(0.117*$H61))</f>
        <v>223.52562724195724</v>
      </c>
      <c r="L61" s="76">
        <f t="shared" ref="L61:L62" si="72">0.1*$J61+PV($C$74,$O61,(-0.05*0.95*$H61))+PV($C$74,$O61,-15)</f>
        <v>465.83254756298322</v>
      </c>
      <c r="M61" s="76">
        <f t="shared" ref="M61:M62" si="73">IF(ISNUMBER(J61),J61*G61,"")</f>
        <v>1747</v>
      </c>
      <c r="N61" s="76">
        <f t="shared" ref="N61:N62" si="74">M61-G61*(K61+L61)</f>
        <v>1057.6418251950595</v>
      </c>
      <c r="O61" s="59">
        <v>21</v>
      </c>
      <c r="P61" s="60">
        <f t="shared" si="70"/>
        <v>1496.3728824098907</v>
      </c>
      <c r="Q61" s="58">
        <f t="shared" si="70"/>
        <v>1496.3728824098907</v>
      </c>
      <c r="R61" s="77">
        <f t="shared" ref="R61:R62" si="75">H61*$C$76</f>
        <v>173.21337046665721</v>
      </c>
      <c r="S61" s="134">
        <v>500</v>
      </c>
      <c r="T61" s="125">
        <f t="shared" ref="T61" si="76">IF(ISNUMBER(S61),S61*G61,"")</f>
        <v>500</v>
      </c>
      <c r="U61" s="61"/>
      <c r="V61" s="107">
        <f t="shared" ref="V61" si="77">IF(ISERROR(T61/Q61),0,T61/Q61)</f>
        <v>0.33414131322318269</v>
      </c>
      <c r="W61" s="108">
        <f t="shared" ref="W61" si="78">IF(ISERROR((R61+T61)/Q61),0,(R61+T61)/Q61)</f>
        <v>0.44989679937426769</v>
      </c>
      <c r="X61" s="109">
        <f>IF($T61=0,"-",(VLOOKUP($O61,AC,6)*$I61)/($T61+$R61))</f>
        <v>2.1395143857609069</v>
      </c>
      <c r="Y61" s="61"/>
      <c r="Z61" s="117"/>
      <c r="AA61" s="118"/>
      <c r="AB61" s="119"/>
    </row>
    <row r="62" spans="2:28" hidden="1" x14ac:dyDescent="0.3">
      <c r="B62" s="81" t="s">
        <v>105</v>
      </c>
      <c r="C62" s="81" t="s">
        <v>74</v>
      </c>
      <c r="D62" s="59" t="s">
        <v>106</v>
      </c>
      <c r="E62" s="134" t="s">
        <v>110</v>
      </c>
      <c r="F62" s="68">
        <v>1</v>
      </c>
      <c r="G62" s="68">
        <v>1</v>
      </c>
      <c r="H62" s="57">
        <v>106</v>
      </c>
      <c r="I62" s="58">
        <f t="shared" si="71"/>
        <v>106</v>
      </c>
      <c r="J62" s="76">
        <v>1747</v>
      </c>
      <c r="K62" s="76">
        <f>0.5*0.95*$H62+PV($C$74,$O62,-(0.117*$H62))</f>
        <v>232.29133811419086</v>
      </c>
      <c r="L62" s="76">
        <f t="shared" si="72"/>
        <v>468.61990881453107</v>
      </c>
      <c r="M62" s="76">
        <f t="shared" si="73"/>
        <v>1747</v>
      </c>
      <c r="N62" s="76">
        <f t="shared" si="74"/>
        <v>1046.088753071278</v>
      </c>
      <c r="O62" s="59">
        <v>21</v>
      </c>
      <c r="P62" s="60">
        <f t="shared" si="70"/>
        <v>1555.0541719161611</v>
      </c>
      <c r="Q62" s="58">
        <f t="shared" si="70"/>
        <v>1555.0541719161611</v>
      </c>
      <c r="R62" s="77">
        <f t="shared" si="75"/>
        <v>180.00605166142807</v>
      </c>
      <c r="S62" s="134">
        <v>500</v>
      </c>
      <c r="T62" s="125">
        <f t="shared" ref="T62" si="79">IF(ISNUMBER(S62),S62*G62,"")</f>
        <v>500</v>
      </c>
      <c r="U62" s="61"/>
      <c r="V62" s="107">
        <f t="shared" ref="V62" si="80">IF(ISERROR(T62/Q62),0,T62/Q62)</f>
        <v>0.32153220706381724</v>
      </c>
      <c r="W62" s="108">
        <f t="shared" ref="W62" si="81">IF(ISERROR((R62+T62)/Q62),0,(R62+T62)/Q62)</f>
        <v>0.43728769321490224</v>
      </c>
      <c r="X62" s="109">
        <f>IF($T62=0,"-",(VLOOKUP($O62,AC,6)*$I62)/($T62+$R62))</f>
        <v>2.2012068697666045</v>
      </c>
      <c r="Y62" s="61"/>
      <c r="Z62" s="117">
        <f t="shared" ref="Z62" si="82">IF(ISERROR(N62/P62),0,N62/P62)</f>
        <v>0.67270245111928917</v>
      </c>
      <c r="AA62" s="118">
        <f t="shared" ref="AA62" si="83">IF(ISERROR(N62/P62),0,(N62+R62)/P62)</f>
        <v>0.78845793727037405</v>
      </c>
      <c r="AB62" s="119">
        <f>IF($T62=0,"-",(VLOOKUP($O62,AC,4)*$I62)/($N62+$R62))</f>
        <v>1.0615775965903007</v>
      </c>
    </row>
    <row r="63" spans="2:28" hidden="1" x14ac:dyDescent="0.3">
      <c r="B63" s="81"/>
      <c r="C63" s="81"/>
      <c r="D63" s="59"/>
      <c r="E63" s="134"/>
      <c r="F63" s="68"/>
      <c r="G63" s="68"/>
      <c r="H63" s="57"/>
      <c r="I63" s="58"/>
      <c r="J63" s="76"/>
      <c r="K63" s="76"/>
      <c r="L63" s="76"/>
      <c r="M63" s="76"/>
      <c r="N63" s="76"/>
      <c r="O63" s="59"/>
      <c r="P63" s="60"/>
      <c r="Q63" s="58"/>
      <c r="R63" s="77"/>
      <c r="S63" s="134"/>
      <c r="T63" s="125"/>
      <c r="U63" s="61"/>
      <c r="V63" s="107"/>
      <c r="W63" s="108"/>
      <c r="X63" s="109"/>
      <c r="Y63" s="61"/>
      <c r="Z63" s="117"/>
      <c r="AA63" s="118"/>
      <c r="AB63" s="119"/>
    </row>
    <row r="64" spans="2:28" x14ac:dyDescent="0.3">
      <c r="B64" s="81" t="s">
        <v>91</v>
      </c>
      <c r="C64" s="81" t="s">
        <v>75</v>
      </c>
      <c r="D64" s="59" t="s">
        <v>12</v>
      </c>
      <c r="E64" s="134">
        <v>0.35</v>
      </c>
      <c r="F64" s="70">
        <v>1</v>
      </c>
      <c r="G64" s="70">
        <v>1</v>
      </c>
      <c r="H64" s="57">
        <v>7.0999999999999994E-2</v>
      </c>
      <c r="I64" s="58">
        <f t="shared" si="59"/>
        <v>7.0999999999999994E-2</v>
      </c>
      <c r="J64" s="76">
        <v>1.18</v>
      </c>
      <c r="K64" s="76">
        <f>0.5*0.95*$H64+PV($C$74,$O64,-(0.117*$H64))</f>
        <v>0.21996741514683038</v>
      </c>
      <c r="L64" s="76">
        <f>0.1*$J64+PV($C$74,$O64,(-0.05*0.95*$H64))</f>
        <v>0.19361123691858495</v>
      </c>
      <c r="M64" s="76">
        <f t="shared" si="60"/>
        <v>1.18</v>
      </c>
      <c r="N64" s="76">
        <f>M64-F64*(K64+L64)</f>
        <v>0.76642134793458461</v>
      </c>
      <c r="O64" s="59">
        <v>45</v>
      </c>
      <c r="P64" s="60">
        <f t="shared" ref="P64:Q66" si="84">PV($C$74,$O64,-$I64)</f>
        <v>1.5918155140754731</v>
      </c>
      <c r="Q64" s="58">
        <f t="shared" si="84"/>
        <v>1.5918155140754731</v>
      </c>
      <c r="R64" s="77">
        <f>H64*$C$76</f>
        <v>0.12057009120718294</v>
      </c>
      <c r="S64" s="134">
        <v>0.75</v>
      </c>
      <c r="T64" s="125">
        <f t="shared" si="63"/>
        <v>0.75</v>
      </c>
      <c r="U64" s="61"/>
      <c r="V64" s="107">
        <f t="shared" si="64"/>
        <v>0.47116012714300015</v>
      </c>
      <c r="W64" s="108">
        <f t="shared" si="65"/>
        <v>0.54690388648009269</v>
      </c>
      <c r="X64" s="109">
        <f>IF($T64=0,"-",(VLOOKUP($O64,AC,6)*$I64)/($T64+$R64))</f>
        <v>3.0318011375899849</v>
      </c>
      <c r="Y64" s="61"/>
      <c r="Z64" s="117">
        <f t="shared" si="67"/>
        <v>0.48147623965062458</v>
      </c>
      <c r="AA64" s="118">
        <f t="shared" si="68"/>
        <v>0.55721999898771712</v>
      </c>
      <c r="AB64" s="119">
        <f>IF($T64=0,"-",(VLOOKUP($O64,AC,4)*$I64)/($N64+$R64))</f>
        <v>2.4797264817530933</v>
      </c>
    </row>
    <row r="65" spans="1:31" hidden="1" x14ac:dyDescent="0.3">
      <c r="B65" s="81" t="s">
        <v>91</v>
      </c>
      <c r="C65" s="81" t="s">
        <v>76</v>
      </c>
      <c r="D65" s="59" t="s">
        <v>12</v>
      </c>
      <c r="E65" s="134">
        <v>0.35</v>
      </c>
      <c r="F65" s="70">
        <v>1</v>
      </c>
      <c r="G65" s="70">
        <v>1</v>
      </c>
      <c r="H65" s="57">
        <v>6.5000000000000002E-2</v>
      </c>
      <c r="I65" s="58">
        <f t="shared" si="59"/>
        <v>6.5000000000000002E-2</v>
      </c>
      <c r="J65" s="76">
        <v>1.18</v>
      </c>
      <c r="K65" s="76">
        <f>0.5*0.95*$H65+PV($C$74,$O65,-(0.117*$H65))</f>
        <v>0.20137861950061936</v>
      </c>
      <c r="L65" s="76">
        <f>0.1*$J65+PV($C$74,$O65,(-0.05*0.95*$H65))</f>
        <v>0.18722155492546511</v>
      </c>
      <c r="M65" s="76">
        <f t="shared" si="60"/>
        <v>1.18</v>
      </c>
      <c r="N65" s="76">
        <f t="shared" ref="N65:N66" si="85">M65-F65*(K65+L65)</f>
        <v>0.79139982557391542</v>
      </c>
      <c r="O65" s="59">
        <v>45</v>
      </c>
      <c r="P65" s="60">
        <f t="shared" si="84"/>
        <v>1.4572958931676867</v>
      </c>
      <c r="Q65" s="58">
        <f t="shared" si="84"/>
        <v>1.4572958931676867</v>
      </c>
      <c r="R65" s="77">
        <f>H65*$C$76</f>
        <v>0.11038106941502665</v>
      </c>
      <c r="S65" s="134">
        <v>0.75</v>
      </c>
      <c r="T65" s="125">
        <f t="shared" si="63"/>
        <v>0.75</v>
      </c>
      <c r="U65" s="61"/>
      <c r="V65" s="107">
        <f t="shared" si="64"/>
        <v>0.51465183118696933</v>
      </c>
      <c r="W65" s="108">
        <f t="shared" si="65"/>
        <v>0.59039559052406199</v>
      </c>
      <c r="X65" s="109">
        <f>IF($T65=0,"-",(VLOOKUP($O65,AC,6)*$I65)/($T65+$R65))</f>
        <v>2.8084624136689786</v>
      </c>
      <c r="Y65" s="61"/>
      <c r="Z65" s="117">
        <f t="shared" si="67"/>
        <v>0.54306049257688493</v>
      </c>
      <c r="AA65" s="118">
        <f t="shared" si="68"/>
        <v>0.61880425191397759</v>
      </c>
      <c r="AB65" s="119">
        <f>IF($T65=0,"-",(VLOOKUP($O65,AC,4)*$I65)/($N65+$R65))</f>
        <v>2.232940680964095</v>
      </c>
    </row>
    <row r="66" spans="1:31" hidden="1" x14ac:dyDescent="0.3">
      <c r="B66" s="81" t="s">
        <v>91</v>
      </c>
      <c r="C66" s="81" t="s">
        <v>74</v>
      </c>
      <c r="D66" s="59" t="s">
        <v>12</v>
      </c>
      <c r="E66" s="134">
        <v>0.35</v>
      </c>
      <c r="F66" s="70">
        <v>1</v>
      </c>
      <c r="G66" s="70">
        <v>1</v>
      </c>
      <c r="H66" s="57">
        <v>7.5999999999999998E-2</v>
      </c>
      <c r="I66" s="58">
        <f t="shared" si="59"/>
        <v>7.5999999999999998E-2</v>
      </c>
      <c r="J66" s="76">
        <v>1.18</v>
      </c>
      <c r="K66" s="76">
        <f>0.5*0.95*$H66+PV($C$74,$O66,-(0.117*$H66))</f>
        <v>0.23545807818533954</v>
      </c>
      <c r="L66" s="76">
        <f>0.1*$J66+PV($C$74,$O66,(-0.05*0.95*$H66))</f>
        <v>0.19893597191285151</v>
      </c>
      <c r="M66" s="76">
        <f t="shared" si="60"/>
        <v>1.18</v>
      </c>
      <c r="N66" s="76">
        <f t="shared" si="85"/>
        <v>0.74560594990180884</v>
      </c>
      <c r="O66" s="59">
        <v>45</v>
      </c>
      <c r="P66" s="60">
        <f t="shared" si="84"/>
        <v>1.7039151981652951</v>
      </c>
      <c r="Q66" s="58">
        <f t="shared" si="84"/>
        <v>1.7039151981652951</v>
      </c>
      <c r="R66" s="77">
        <f>H66*$C$76</f>
        <v>0.12906094270064652</v>
      </c>
      <c r="S66" s="134">
        <v>0.75</v>
      </c>
      <c r="T66" s="125">
        <f t="shared" si="63"/>
        <v>0.75</v>
      </c>
      <c r="U66" s="61"/>
      <c r="V66" s="107">
        <f t="shared" si="64"/>
        <v>0.44016275035727642</v>
      </c>
      <c r="W66" s="108">
        <f t="shared" si="65"/>
        <v>0.51590650969436902</v>
      </c>
      <c r="X66" s="109">
        <f>IF($T66=0,"-",(VLOOKUP($O66,AC,6)*$I66)/($T66+$R66))</f>
        <v>3.2139618206504421</v>
      </c>
      <c r="Y66" s="61"/>
      <c r="Z66" s="117">
        <f t="shared" si="67"/>
        <v>0.43758395412203976</v>
      </c>
      <c r="AA66" s="118">
        <f t="shared" si="68"/>
        <v>0.51332771345913231</v>
      </c>
      <c r="AB66" s="119">
        <f>IF($T66=0,"-",(VLOOKUP($O66,AC,4)*$I66)/($N66+$R66))</f>
        <v>2.691756457762883</v>
      </c>
    </row>
    <row r="67" spans="1:31" hidden="1" x14ac:dyDescent="0.3">
      <c r="B67" s="59"/>
      <c r="C67" s="59"/>
      <c r="D67" s="59"/>
      <c r="E67" s="134"/>
      <c r="F67" s="63"/>
      <c r="G67" s="63"/>
      <c r="H67" s="57"/>
      <c r="I67" s="58"/>
      <c r="J67" s="76"/>
      <c r="K67" s="76"/>
      <c r="L67" s="76"/>
      <c r="M67" s="76"/>
      <c r="N67" s="76"/>
      <c r="O67" s="59"/>
      <c r="P67" s="60"/>
      <c r="Q67" s="58"/>
      <c r="R67" s="77"/>
      <c r="S67" s="134"/>
      <c r="T67" s="125"/>
      <c r="U67" s="61"/>
      <c r="V67" s="107"/>
      <c r="W67" s="108"/>
      <c r="X67" s="109"/>
      <c r="Y67" s="61"/>
      <c r="Z67" s="117"/>
      <c r="AA67" s="118"/>
      <c r="AB67" s="119"/>
    </row>
    <row r="68" spans="1:31" s="62" customFormat="1" ht="37.5" customHeight="1" thickBot="1" x14ac:dyDescent="0.35">
      <c r="A68" s="56"/>
      <c r="B68" s="81" t="s">
        <v>69</v>
      </c>
      <c r="C68" s="81" t="s">
        <v>111</v>
      </c>
      <c r="D68" s="74" t="s">
        <v>79</v>
      </c>
      <c r="E68" s="135">
        <v>100</v>
      </c>
      <c r="F68" s="68">
        <v>1</v>
      </c>
      <c r="G68" s="68">
        <v>1</v>
      </c>
      <c r="H68" s="57">
        <v>75</v>
      </c>
      <c r="I68" s="58">
        <f t="shared" si="59"/>
        <v>75</v>
      </c>
      <c r="J68" s="76">
        <v>750</v>
      </c>
      <c r="K68" s="76">
        <f>0.5*0.95*$H68+PV($C$74,$O68,-(0.117*$H68))</f>
        <v>125.91773302987824</v>
      </c>
      <c r="L68" s="76">
        <f>0.1*$J68+PV($C$74,$O68,(-0.05*0.95*$H68))</f>
        <v>111.65730614460868</v>
      </c>
      <c r="M68" s="76">
        <f t="shared" si="60"/>
        <v>750</v>
      </c>
      <c r="N68" s="76">
        <f t="shared" si="61"/>
        <v>512.42496082551315</v>
      </c>
      <c r="O68" s="59">
        <v>13</v>
      </c>
      <c r="P68" s="60">
        <f>PV($C$74,$O68,-$I68)</f>
        <v>771.73276093913034</v>
      </c>
      <c r="Q68" s="58">
        <f>PV($C$74,$O68,-$I68)</f>
        <v>771.73276093913034</v>
      </c>
      <c r="R68" s="77">
        <f>H68*$C$76</f>
        <v>127.36277240195382</v>
      </c>
      <c r="S68" s="134">
        <v>100</v>
      </c>
      <c r="T68" s="125">
        <f t="shared" si="63"/>
        <v>100</v>
      </c>
      <c r="U68" s="61"/>
      <c r="V68" s="107">
        <f t="shared" si="64"/>
        <v>0.12957853425622215</v>
      </c>
      <c r="W68" s="108">
        <f t="shared" si="65"/>
        <v>0.29461334792276211</v>
      </c>
      <c r="X68" s="109">
        <f>IF($T68=0,"-",(VLOOKUP($O68,AC,6)*$I68)/($T68+$R68))</f>
        <v>2.555342476968351</v>
      </c>
      <c r="Y68" s="61"/>
      <c r="Z68" s="117">
        <f t="shared" si="67"/>
        <v>0.6639927534007205</v>
      </c>
      <c r="AA68" s="118">
        <f t="shared" si="68"/>
        <v>0.82902756706726055</v>
      </c>
      <c r="AB68" s="119">
        <f>IF($T68=0,"-",(VLOOKUP($O68,AC,4)*$I68)/($N68+$R68))</f>
        <v>0.8255433365931949</v>
      </c>
    </row>
    <row r="69" spans="1:31" ht="13.5" hidden="1" thickBot="1" x14ac:dyDescent="0.35">
      <c r="B69" s="59" t="s">
        <v>52</v>
      </c>
      <c r="C69" s="59"/>
      <c r="D69" s="59"/>
      <c r="E69" s="59"/>
      <c r="F69" s="63"/>
      <c r="G69" s="63"/>
      <c r="H69" s="82" t="s">
        <v>52</v>
      </c>
      <c r="I69" s="58"/>
      <c r="J69" s="83"/>
      <c r="K69" s="83"/>
      <c r="L69" s="83"/>
      <c r="M69" s="76" t="str">
        <f>IF(ISNUMBER(J69),J69*G69,"")</f>
        <v/>
      </c>
      <c r="N69" s="76" t="str">
        <f>IF(ISNUMBER(M69),NEPercentage*M69,"")</f>
        <v/>
      </c>
      <c r="O69" s="59" t="s">
        <v>52</v>
      </c>
      <c r="P69" s="82"/>
      <c r="Q69" s="58"/>
      <c r="R69" s="84"/>
      <c r="S69" s="85"/>
      <c r="T69" s="126"/>
      <c r="U69" s="96"/>
      <c r="V69" s="110"/>
      <c r="W69" s="111"/>
      <c r="X69" s="111"/>
      <c r="Y69" s="86"/>
      <c r="Z69" s="120"/>
      <c r="AA69" s="121"/>
      <c r="AB69" s="121"/>
    </row>
    <row r="70" spans="1:31" ht="13.5" thickBot="1" x14ac:dyDescent="0.35">
      <c r="B70" s="87" t="s">
        <v>16</v>
      </c>
      <c r="C70" s="87"/>
      <c r="D70" s="87"/>
      <c r="E70" s="87"/>
      <c r="F70" s="64"/>
      <c r="G70" s="65">
        <f>SUM(G6:G68)</f>
        <v>46</v>
      </c>
      <c r="H70" s="88"/>
      <c r="I70" s="89">
        <f>SUM(I6:I68)</f>
        <v>3299.7901999999999</v>
      </c>
      <c r="J70" s="89"/>
      <c r="K70" s="89">
        <f>SUM(K6:K68)</f>
        <v>7106.5946386631231</v>
      </c>
      <c r="L70" s="89">
        <f>SUM(L6:L68)</f>
        <v>9262.4890615905206</v>
      </c>
      <c r="M70" s="90">
        <f>SUM(M6:M68)</f>
        <v>25388.800000000003</v>
      </c>
      <c r="N70" s="91">
        <f>SUM(N6:N68)</f>
        <v>9846.7709595659835</v>
      </c>
      <c r="O70" s="92">
        <f>SUMPRODUCT(O6:O68,I6:I68)/SUM(I6:I68)</f>
        <v>20.689060474208333</v>
      </c>
      <c r="P70" s="88">
        <f>SUM(P6:P68)</f>
        <v>47343.54097147967</v>
      </c>
      <c r="Q70" s="89">
        <f>P70</f>
        <v>47343.54097147967</v>
      </c>
      <c r="R70" s="93">
        <f>SUM(R6:R68)</f>
        <v>5603.6057095573015</v>
      </c>
      <c r="S70" s="90"/>
      <c r="T70" s="94">
        <f>SUM(T6:T68)</f>
        <v>16652.75</v>
      </c>
      <c r="U70" s="97"/>
      <c r="V70" s="112">
        <f>IF(ISERROR(T70/Q70),0,T70/Q70)</f>
        <v>0.35174280711347344</v>
      </c>
      <c r="W70" s="113">
        <f t="shared" ref="W70" si="86">IF(ISERROR((R70+T70)/Q70),0,(R70+T70)/Q70)</f>
        <v>0.47010331827449925</v>
      </c>
      <c r="X70" s="114">
        <f>IF(VALUE(LEFT($T70,11))=0,"-",(VLOOKUP($O70,AC,6)*VALUE(LEFT($I70,7)))/(VALUE(LEFT($T70,11))+$R70))</f>
        <v>1.9336288367515497</v>
      </c>
      <c r="Y70" s="95"/>
      <c r="Z70" s="122">
        <f t="shared" ref="Z70" si="87">IF(ISERROR(N70/P70),0,N70/P70)</f>
        <v>0.20798551940797583</v>
      </c>
      <c r="AA70" s="123">
        <f>IF(ISERROR(N70/P70),0,(N70+R70)/P70)</f>
        <v>0.32634603056900163</v>
      </c>
      <c r="AB70" s="124">
        <f>IF($T70=0,"-",(VLOOKUP($O70,AC,4)*$I70)/($N70+$R70))</f>
        <v>2.4759142543759531</v>
      </c>
      <c r="AE70" s="44"/>
    </row>
    <row r="71" spans="1:31" x14ac:dyDescent="0.3">
      <c r="J71" s="37"/>
      <c r="K71" s="37"/>
      <c r="L71" s="37"/>
      <c r="M71" s="37"/>
      <c r="N71" s="37"/>
    </row>
    <row r="72" spans="1:31" x14ac:dyDescent="0.3">
      <c r="B72" s="31" t="s">
        <v>72</v>
      </c>
      <c r="C72" s="129">
        <v>3.5200000000000002E-2</v>
      </c>
      <c r="D72" s="148">
        <v>3.5200000000000002E-2</v>
      </c>
      <c r="I72" s="45"/>
      <c r="R72" s="42"/>
      <c r="S72" s="46"/>
      <c r="T72" s="47"/>
      <c r="U72" s="47"/>
    </row>
    <row r="73" spans="1:31" x14ac:dyDescent="0.3">
      <c r="B73" s="31" t="s">
        <v>73</v>
      </c>
      <c r="C73" s="129">
        <v>0.01</v>
      </c>
      <c r="D73" s="148">
        <v>0.01</v>
      </c>
      <c r="H73" s="48"/>
      <c r="I73" s="49"/>
      <c r="J73" s="50"/>
      <c r="K73" s="50"/>
      <c r="L73" s="104" t="s">
        <v>83</v>
      </c>
      <c r="M73" s="50">
        <f>M70-N70</f>
        <v>15542.029040434019</v>
      </c>
      <c r="T73" s="47"/>
      <c r="U73" s="47"/>
    </row>
    <row r="74" spans="1:31" x14ac:dyDescent="0.3">
      <c r="B74" s="31" t="s">
        <v>93</v>
      </c>
      <c r="C74" s="129">
        <v>3.5200000000000002E-2</v>
      </c>
      <c r="D74" s="148">
        <v>3.5200000000000002E-2</v>
      </c>
      <c r="H74" s="48"/>
      <c r="I74" s="51"/>
      <c r="T74" s="47"/>
      <c r="U74" s="47"/>
    </row>
    <row r="75" spans="1:31" x14ac:dyDescent="0.3">
      <c r="B75" s="31" t="s">
        <v>112</v>
      </c>
      <c r="C75" s="75">
        <v>550000</v>
      </c>
      <c r="D75" s="149">
        <v>550000</v>
      </c>
      <c r="M75" s="50"/>
      <c r="N75" s="50"/>
    </row>
    <row r="76" spans="1:31" x14ac:dyDescent="0.3">
      <c r="A76" s="38"/>
      <c r="B76" s="100" t="s">
        <v>113</v>
      </c>
      <c r="C76" s="133">
        <f>C75/323878</f>
        <v>1.6981702986927176</v>
      </c>
      <c r="D76" s="149">
        <f>D75/323000</f>
        <v>1.7027863777089782</v>
      </c>
      <c r="E76" s="128"/>
      <c r="F76" s="71"/>
      <c r="G76" s="71"/>
      <c r="H76" s="11"/>
      <c r="I76" s="11"/>
      <c r="J76" s="11"/>
      <c r="K76" s="11"/>
      <c r="L76" s="11"/>
      <c r="T76" s="52"/>
    </row>
    <row r="77" spans="1:31" x14ac:dyDescent="0.3">
      <c r="A77" s="38"/>
      <c r="B77" s="31" t="s">
        <v>115</v>
      </c>
      <c r="C77" s="100"/>
      <c r="D77" s="100"/>
      <c r="E77" s="128"/>
      <c r="F77" s="71"/>
      <c r="G77" s="71"/>
      <c r="H77" s="11"/>
      <c r="I77" s="11"/>
      <c r="J77" s="11"/>
      <c r="K77" s="11"/>
      <c r="L77" s="11"/>
    </row>
    <row r="78" spans="1:31" x14ac:dyDescent="0.3">
      <c r="A78" s="38"/>
      <c r="B78" s="100"/>
      <c r="C78" s="100"/>
      <c r="D78" s="100"/>
      <c r="E78" s="128"/>
      <c r="F78" s="71"/>
      <c r="G78" s="71"/>
      <c r="H78" s="11"/>
      <c r="I78" s="11"/>
      <c r="J78" s="11"/>
      <c r="K78" s="11"/>
      <c r="L78" s="11"/>
      <c r="M78" s="53"/>
      <c r="N78" s="43"/>
    </row>
    <row r="79" spans="1:31" x14ac:dyDescent="0.3">
      <c r="A79" s="38"/>
      <c r="B79" s="152"/>
      <c r="C79" s="152"/>
      <c r="D79" s="152"/>
      <c r="E79" s="152"/>
      <c r="F79" s="152"/>
      <c r="G79" s="152"/>
      <c r="H79" s="152"/>
      <c r="I79" s="152"/>
      <c r="J79" s="152"/>
      <c r="K79" s="98"/>
      <c r="L79" s="98"/>
      <c r="M79" s="50"/>
      <c r="N79" s="50"/>
      <c r="P79" s="49"/>
      <c r="Q79" s="49"/>
      <c r="R79" s="50"/>
    </row>
    <row r="80" spans="1:31" x14ac:dyDescent="0.3">
      <c r="A80" s="38"/>
      <c r="M80" s="50"/>
    </row>
    <row r="81" spans="1:14" x14ac:dyDescent="0.3">
      <c r="A81" s="38"/>
    </row>
    <row r="82" spans="1:14" x14ac:dyDescent="0.3">
      <c r="A82" s="38"/>
      <c r="N82" s="50"/>
    </row>
    <row r="83" spans="1:14" x14ac:dyDescent="0.3">
      <c r="A83" s="38"/>
      <c r="N83" s="50"/>
    </row>
    <row r="84" spans="1:14" x14ac:dyDescent="0.3">
      <c r="A84" s="38"/>
      <c r="N84" s="50"/>
    </row>
    <row r="85" spans="1:14" x14ac:dyDescent="0.3">
      <c r="A85" s="38"/>
    </row>
    <row r="86" spans="1:14" x14ac:dyDescent="0.3">
      <c r="A86" s="38"/>
      <c r="N86" s="50"/>
    </row>
    <row r="87" spans="1:14" x14ac:dyDescent="0.3">
      <c r="A87" s="38"/>
      <c r="N87" s="50"/>
    </row>
    <row r="88" spans="1:14" x14ac:dyDescent="0.3">
      <c r="A88" s="38"/>
      <c r="N88" s="50"/>
    </row>
    <row r="89" spans="1:14" x14ac:dyDescent="0.3">
      <c r="A89" s="38"/>
    </row>
    <row r="90" spans="1:14" x14ac:dyDescent="0.3">
      <c r="A90" s="38"/>
    </row>
  </sheetData>
  <autoFilter ref="B4:T70"/>
  <customSheetViews>
    <customSheetView guid="{C923932C-96B5-464D-9E0A-3FBBD9F9862F}" scale="85" showPageBreaks="1" fitToPage="1" printArea="1" showAutoFilter="1" hiddenRows="1" hiddenColumns="1" topLeftCell="A3">
      <pane ySplit="2" topLeftCell="A6" activePane="bottomLeft" state="frozen"/>
      <selection pane="bottomLeft" activeCell="AD50" sqref="AD50"/>
      <pageMargins left="0.25" right="0.25" top="0.75" bottom="0.75" header="0.3" footer="0.3"/>
      <printOptions horizontalCentered="1" verticalCentered="1"/>
      <pageSetup scale="94" orientation="portrait" r:id="rId1"/>
      <headerFooter alignWithMargins="0">
        <oddHeader>&amp;CSchedule 300 &amp; 300-A
Residential Conservation Program</oddHeader>
        <oddFooter>&amp;C&amp;14Appendix A&amp;R&amp;14Page 2 of 4</oddFooter>
      </headerFooter>
      <autoFilter ref="B4:T70"/>
    </customSheetView>
    <customSheetView guid="{53FDAFFF-3D96-4F28-89A0-59B371010818}" scale="85" fitToPage="1" showAutoFilter="1" hiddenColumns="1" topLeftCell="B1">
      <pane ySplit="6" topLeftCell="A48" activePane="bottomLeft" state="frozen"/>
      <selection pane="bottomLeft" activeCell="J65" sqref="J65"/>
      <pageMargins left="0.25" right="0.25" top="0.75" bottom="0.75" header="0.3" footer="0.3"/>
      <printOptions horizontalCentered="1" verticalCentered="1"/>
      <pageSetup paperSize="17" scale="41" orientation="landscape" r:id="rId2"/>
      <headerFooter alignWithMargins="0">
        <oddFooter>&amp;C&amp;14Appendix A&amp;R&amp;14Page 2 of 4</oddFooter>
      </headerFooter>
      <autoFilter ref="B4:S62"/>
    </customSheetView>
    <customSheetView guid="{2071E27A-5EFB-4FE2-B87C-64D436A2C10C}" scale="85" fitToPage="1" printArea="1" showAutoFilter="1" hiddenColumns="1" topLeftCell="B1">
      <pane ySplit="6" topLeftCell="A43" activePane="bottomLeft" state="frozen"/>
      <selection pane="bottomLeft" activeCell="AB64" sqref="AB64"/>
      <pageMargins left="0.25" right="0.25" top="0.75" bottom="0.75" header="0.3" footer="0.3"/>
      <printOptions horizontalCentered="1" verticalCentered="1"/>
      <pageSetup paperSize="17" scale="41" orientation="landscape" r:id="rId3"/>
      <headerFooter alignWithMargins="0">
        <oddFooter>&amp;C&amp;14Appendix A&amp;R&amp;14Page 2 of 4</oddFooter>
      </headerFooter>
      <autoFilter ref="B4:S62"/>
    </customSheetView>
  </customSheetViews>
  <mergeCells count="3">
    <mergeCell ref="C1:X1"/>
    <mergeCell ref="C2:X2"/>
    <mergeCell ref="B79:J79"/>
  </mergeCells>
  <phoneticPr fontId="0" type="noConversion"/>
  <printOptions horizontalCentered="1" verticalCentered="1"/>
  <pageMargins left="0.25" right="0.25" top="0.75" bottom="0.75" header="0.3" footer="0.3"/>
  <pageSetup scale="94" orientation="portrait" r:id="rId4"/>
  <headerFooter alignWithMargins="0">
    <oddHeader>&amp;CSchedule 300 &amp; 300-A
Residential Conservation Program</oddHeader>
    <oddFooter>&amp;C&amp;14Appendix A&amp;R&amp;14Page 2 of 4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5"/>
  <sheetViews>
    <sheetView zoomScale="80" workbookViewId="0">
      <selection activeCell="B10" sqref="B10"/>
    </sheetView>
  </sheetViews>
  <sheetFormatPr defaultRowHeight="13" x14ac:dyDescent="0.3"/>
  <cols>
    <col min="1" max="1" width="49.296875" bestFit="1" customWidth="1"/>
    <col min="2" max="2" width="12" style="3" bestFit="1" customWidth="1"/>
    <col min="3" max="3" width="20.19921875" style="4" bestFit="1" customWidth="1"/>
    <col min="4" max="4" width="44.5" style="5" bestFit="1" customWidth="1"/>
    <col min="5" max="5" width="12.5" style="4" bestFit="1" customWidth="1"/>
    <col min="6" max="6" width="41.69921875" bestFit="1" customWidth="1"/>
    <col min="7" max="7" width="46.796875" style="3" bestFit="1" customWidth="1"/>
    <col min="10" max="10" width="15.19921875" bestFit="1" customWidth="1"/>
  </cols>
  <sheetData>
    <row r="1" spans="1:9" x14ac:dyDescent="0.3">
      <c r="A1" s="153" t="s">
        <v>17</v>
      </c>
      <c r="B1" s="154"/>
      <c r="C1" s="2"/>
      <c r="D1" s="2"/>
      <c r="E1" s="2"/>
      <c r="F1" s="2"/>
      <c r="G1" s="2"/>
      <c r="H1" s="3"/>
      <c r="I1" s="3"/>
    </row>
    <row r="2" spans="1:9" x14ac:dyDescent="0.3">
      <c r="A2" s="153" t="s">
        <v>18</v>
      </c>
      <c r="B2" s="154"/>
      <c r="C2" s="2"/>
      <c r="D2" s="2"/>
      <c r="E2" s="2"/>
      <c r="F2" s="2"/>
      <c r="G2" s="2"/>
      <c r="H2" s="3"/>
      <c r="I2" s="3"/>
    </row>
    <row r="3" spans="1:9" x14ac:dyDescent="0.3">
      <c r="A3" s="153" t="s">
        <v>19</v>
      </c>
      <c r="B3" s="154"/>
      <c r="C3" s="2"/>
      <c r="D3" s="2"/>
      <c r="E3" s="2"/>
      <c r="F3" s="2"/>
      <c r="G3" s="2"/>
      <c r="H3" s="3"/>
      <c r="I3" s="3"/>
    </row>
    <row r="4" spans="1:9" ht="13.5" thickBot="1" x14ac:dyDescent="0.35">
      <c r="C4"/>
      <c r="D4"/>
      <c r="E4"/>
      <c r="G4"/>
    </row>
    <row r="5" spans="1:9" ht="13.5" thickBot="1" x14ac:dyDescent="0.35">
      <c r="A5" s="12" t="s">
        <v>1</v>
      </c>
      <c r="B5" s="8">
        <v>8.6699999999999999E-2</v>
      </c>
      <c r="D5"/>
      <c r="E5"/>
      <c r="G5"/>
    </row>
    <row r="6" spans="1:9" ht="13.5" thickBot="1" x14ac:dyDescent="0.35">
      <c r="A6" s="10"/>
      <c r="B6" s="9"/>
      <c r="D6"/>
      <c r="E6"/>
      <c r="G6"/>
    </row>
    <row r="7" spans="1:9" ht="13.5" thickBot="1" x14ac:dyDescent="0.35">
      <c r="A7" s="12" t="s">
        <v>2</v>
      </c>
      <c r="B7" s="8">
        <v>0.01</v>
      </c>
      <c r="D7"/>
      <c r="E7"/>
      <c r="G7"/>
    </row>
    <row r="8" spans="1:9" ht="13.5" thickBot="1" x14ac:dyDescent="0.35">
      <c r="A8" s="10"/>
      <c r="B8" s="9"/>
      <c r="D8"/>
      <c r="E8"/>
      <c r="G8"/>
    </row>
    <row r="9" spans="1:9" ht="13.5" thickBot="1" x14ac:dyDescent="0.35">
      <c r="A9" s="12" t="s">
        <v>3</v>
      </c>
      <c r="B9" s="8">
        <v>3.5200000000000002E-2</v>
      </c>
      <c r="D9"/>
      <c r="E9"/>
      <c r="G9"/>
    </row>
    <row r="10" spans="1:9" ht="13.5" thickBot="1" x14ac:dyDescent="0.35">
      <c r="A10" s="6"/>
      <c r="B10" s="1"/>
      <c r="C10" s="7"/>
      <c r="D10"/>
      <c r="E10"/>
      <c r="G10"/>
    </row>
    <row r="11" spans="1:9" ht="13.5" thickBot="1" x14ac:dyDescent="0.35">
      <c r="A11" s="13" t="s">
        <v>24</v>
      </c>
      <c r="B11" s="8">
        <v>0.1</v>
      </c>
      <c r="C11" s="7"/>
      <c r="D11"/>
      <c r="E11"/>
      <c r="G11"/>
    </row>
    <row r="12" spans="1:9" x14ac:dyDescent="0.3">
      <c r="A12" s="6"/>
      <c r="B12" s="1"/>
      <c r="C12" s="7"/>
      <c r="D12"/>
      <c r="E12"/>
      <c r="G12"/>
    </row>
    <row r="13" spans="1:9" x14ac:dyDescent="0.3">
      <c r="C13"/>
      <c r="D13"/>
      <c r="E13"/>
      <c r="G13"/>
    </row>
    <row r="17" spans="2:2" x14ac:dyDescent="0.3">
      <c r="B17" s="5"/>
    </row>
    <row r="18" spans="2:2" x14ac:dyDescent="0.3">
      <c r="B18" s="5"/>
    </row>
    <row r="19" spans="2:2" x14ac:dyDescent="0.3">
      <c r="B19" s="5"/>
    </row>
    <row r="20" spans="2:2" x14ac:dyDescent="0.3">
      <c r="B20" s="5"/>
    </row>
    <row r="21" spans="2:2" x14ac:dyDescent="0.3">
      <c r="B21" s="5"/>
    </row>
    <row r="22" spans="2:2" x14ac:dyDescent="0.3">
      <c r="B22" s="5"/>
    </row>
    <row r="23" spans="2:2" x14ac:dyDescent="0.3">
      <c r="B23" s="5"/>
    </row>
    <row r="24" spans="2:2" x14ac:dyDescent="0.3">
      <c r="B24" s="5"/>
    </row>
    <row r="25" spans="2:2" x14ac:dyDescent="0.3">
      <c r="B25" s="5"/>
    </row>
  </sheetData>
  <customSheetViews>
    <customSheetView guid="{C923932C-96B5-464D-9E0A-3FBBD9F9862F}" scale="80" showPageBreaks="1">
      <selection activeCell="B10" sqref="B10"/>
      <pageMargins left="0.75" right="0.75" top="1" bottom="1" header="0.5" footer="0.5"/>
      <pageSetup orientation="portrait" r:id="rId1"/>
      <headerFooter alignWithMargins="0"/>
    </customSheetView>
    <customSheetView guid="{53FDAFFF-3D96-4F28-89A0-59B371010818}" scale="80">
      <selection activeCell="A5" sqref="A5"/>
      <pageMargins left="0.75" right="0.75" top="1" bottom="1" header="0.5" footer="0.5"/>
      <headerFooter alignWithMargins="0"/>
    </customSheetView>
    <customSheetView guid="{2071E27A-5EFB-4FE2-B87C-64D436A2C10C}" scale="80">
      <selection activeCell="A5" sqref="A5"/>
      <pageMargins left="0.75" right="0.75" top="1" bottom="1" header="0.5" footer="0.5"/>
      <headerFooter alignWithMargins="0"/>
    </customSheetView>
  </customSheetViews>
  <mergeCells count="3">
    <mergeCell ref="A1:B1"/>
    <mergeCell ref="A3:B3"/>
    <mergeCell ref="A2:B2"/>
  </mergeCells>
  <phoneticPr fontId="18" type="noConversion"/>
  <pageMargins left="0.75" right="0.75" top="1" bottom="1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59"/>
  <sheetViews>
    <sheetView zoomScale="80" zoomScaleNormal="80" workbookViewId="0">
      <selection activeCell="A2" sqref="A2:H2"/>
    </sheetView>
  </sheetViews>
  <sheetFormatPr defaultColWidth="10.69921875" defaultRowHeight="12.5" x14ac:dyDescent="0.25"/>
  <cols>
    <col min="1" max="1" width="7.296875" style="18" bestFit="1" customWidth="1"/>
    <col min="2" max="2" width="7.69921875" style="18" bestFit="1" customWidth="1"/>
    <col min="3" max="3" width="18" style="18" customWidth="1"/>
    <col min="4" max="4" width="12.296875" style="18" bestFit="1" customWidth="1"/>
    <col min="5" max="5" width="13.5" style="18" bestFit="1" customWidth="1"/>
    <col min="6" max="6" width="20.296875" style="18" bestFit="1" customWidth="1"/>
    <col min="7" max="7" width="21.796875" style="18" bestFit="1" customWidth="1"/>
    <col min="8" max="8" width="19.296875" style="18" bestFit="1" customWidth="1"/>
    <col min="9" max="16384" width="10.69921875" style="18"/>
  </cols>
  <sheetData>
    <row r="1" spans="1:9" s="15" customFormat="1" ht="13" x14ac:dyDescent="0.3">
      <c r="A1" s="155" t="s">
        <v>0</v>
      </c>
      <c r="B1" s="155"/>
      <c r="C1" s="155"/>
      <c r="D1" s="155"/>
      <c r="E1" s="155"/>
      <c r="F1" s="155"/>
      <c r="G1" s="155"/>
      <c r="H1" s="155"/>
      <c r="I1" s="33"/>
    </row>
    <row r="2" spans="1:9" s="15" customFormat="1" ht="13" x14ac:dyDescent="0.3">
      <c r="A2" s="155" t="s">
        <v>116</v>
      </c>
      <c r="B2" s="155"/>
      <c r="C2" s="155"/>
      <c r="D2" s="155"/>
      <c r="E2" s="155"/>
      <c r="F2" s="155"/>
      <c r="G2" s="155"/>
      <c r="H2" s="155"/>
      <c r="I2" s="33"/>
    </row>
    <row r="3" spans="1:9" s="15" customFormat="1" ht="13" x14ac:dyDescent="0.3">
      <c r="A3" s="155" t="s">
        <v>25</v>
      </c>
      <c r="B3" s="155"/>
      <c r="C3" s="155"/>
      <c r="D3" s="155"/>
      <c r="E3" s="155"/>
      <c r="F3" s="155"/>
      <c r="G3" s="155"/>
      <c r="H3" s="155"/>
      <c r="I3" s="33"/>
    </row>
    <row r="4" spans="1:9" s="15" customFormat="1" ht="13" x14ac:dyDescent="0.3">
      <c r="A4" s="155" t="s">
        <v>26</v>
      </c>
      <c r="B4" s="155"/>
      <c r="C4" s="155"/>
      <c r="D4" s="155"/>
      <c r="E4" s="155"/>
      <c r="F4" s="155"/>
      <c r="G4" s="155"/>
      <c r="H4" s="155"/>
      <c r="I4" s="33"/>
    </row>
    <row r="6" spans="1:9" s="16" customFormat="1" x14ac:dyDescent="0.25">
      <c r="C6" s="16" t="s">
        <v>27</v>
      </c>
      <c r="E6" s="16" t="s">
        <v>28</v>
      </c>
      <c r="F6" s="16" t="s">
        <v>56</v>
      </c>
      <c r="G6" s="16" t="s">
        <v>29</v>
      </c>
    </row>
    <row r="7" spans="1:9" s="16" customFormat="1" x14ac:dyDescent="0.25">
      <c r="C7" s="16" t="s">
        <v>30</v>
      </c>
      <c r="D7" s="16" t="s">
        <v>31</v>
      </c>
      <c r="E7" s="16" t="s">
        <v>9</v>
      </c>
      <c r="F7" s="16" t="s">
        <v>57</v>
      </c>
      <c r="G7" s="16" t="s">
        <v>58</v>
      </c>
      <c r="H7" s="16" t="s">
        <v>32</v>
      </c>
    </row>
    <row r="8" spans="1:9" s="16" customFormat="1" x14ac:dyDescent="0.25">
      <c r="C8" s="16" t="s">
        <v>33</v>
      </c>
      <c r="D8" s="16" t="s">
        <v>33</v>
      </c>
      <c r="E8" s="16" t="s">
        <v>30</v>
      </c>
      <c r="F8" s="16" t="s">
        <v>23</v>
      </c>
      <c r="G8" s="16" t="s">
        <v>34</v>
      </c>
      <c r="H8" s="16" t="s">
        <v>35</v>
      </c>
    </row>
    <row r="9" spans="1:9" s="16" customFormat="1" x14ac:dyDescent="0.25">
      <c r="B9" s="17" t="s">
        <v>36</v>
      </c>
      <c r="C9" s="17" t="s">
        <v>37</v>
      </c>
      <c r="D9" s="17" t="s">
        <v>7</v>
      </c>
      <c r="E9" s="17" t="s">
        <v>38</v>
      </c>
      <c r="F9" s="17"/>
      <c r="G9" s="17" t="s">
        <v>39</v>
      </c>
      <c r="H9" s="17" t="s">
        <v>40</v>
      </c>
    </row>
    <row r="10" spans="1:9" ht="14.5" x14ac:dyDescent="0.35">
      <c r="A10" s="34">
        <v>2017</v>
      </c>
      <c r="B10" s="22">
        <v>1</v>
      </c>
      <c r="C10" s="26">
        <v>0.50669291747791578</v>
      </c>
      <c r="D10" s="25">
        <v>0.52449999999999997</v>
      </c>
      <c r="E10" s="27">
        <v>0.52449999999999997</v>
      </c>
      <c r="F10" s="29" t="s">
        <v>97</v>
      </c>
      <c r="G10" s="36">
        <v>0.55072500000000002</v>
      </c>
      <c r="H10" s="23">
        <v>0.57011052000000018</v>
      </c>
      <c r="I10" s="24"/>
    </row>
    <row r="11" spans="1:9" ht="14.5" x14ac:dyDescent="0.35">
      <c r="A11" s="34">
        <v>2018</v>
      </c>
      <c r="B11" s="22">
        <v>2</v>
      </c>
      <c r="C11" s="26">
        <v>0.48302252581501592</v>
      </c>
      <c r="D11" s="25">
        <v>0.51759999999999995</v>
      </c>
      <c r="E11" s="27">
        <v>1.0421</v>
      </c>
      <c r="F11" s="29" t="s">
        <v>97</v>
      </c>
      <c r="G11" s="36">
        <v>1.0942050000000001</v>
      </c>
      <c r="H11" s="23">
        <v>0.57615605137735859</v>
      </c>
      <c r="I11" s="21">
        <v>0</v>
      </c>
    </row>
    <row r="12" spans="1:9" ht="14.5" x14ac:dyDescent="0.35">
      <c r="A12" s="34">
        <v>2019</v>
      </c>
      <c r="B12" s="22">
        <v>3</v>
      </c>
      <c r="C12" s="26">
        <v>0.46217550395656787</v>
      </c>
      <c r="D12" s="25">
        <v>0.51270000000000004</v>
      </c>
      <c r="E12" s="27">
        <v>1.5548000000000002</v>
      </c>
      <c r="F12" s="29" t="s">
        <v>97</v>
      </c>
      <c r="G12" s="36">
        <v>1.6325400000000003</v>
      </c>
      <c r="H12" s="23">
        <v>0.58293196065410879</v>
      </c>
      <c r="I12" s="21">
        <v>0</v>
      </c>
    </row>
    <row r="13" spans="1:9" ht="14.5" x14ac:dyDescent="0.35">
      <c r="A13" s="34">
        <v>2020</v>
      </c>
      <c r="B13" s="22">
        <v>4</v>
      </c>
      <c r="C13" s="26">
        <v>0.44177606456050239</v>
      </c>
      <c r="D13" s="25">
        <v>0.50729999999999997</v>
      </c>
      <c r="E13" s="27">
        <v>2.0621</v>
      </c>
      <c r="F13" s="29" t="s">
        <v>97</v>
      </c>
      <c r="G13" s="36">
        <v>2.1652050000000003</v>
      </c>
      <c r="H13" s="23">
        <v>0.58975943021046817</v>
      </c>
      <c r="I13" s="21">
        <v>0</v>
      </c>
    </row>
    <row r="14" spans="1:9" ht="13" x14ac:dyDescent="0.3">
      <c r="A14" s="35">
        <v>2021</v>
      </c>
      <c r="B14" s="22">
        <v>5</v>
      </c>
      <c r="C14" s="26">
        <v>0.4353570559630961</v>
      </c>
      <c r="D14" s="25">
        <v>0.51759999999999995</v>
      </c>
      <c r="E14" s="27">
        <v>2.5796999999999999</v>
      </c>
      <c r="F14" s="30" t="s">
        <v>98</v>
      </c>
      <c r="G14" s="36">
        <v>2.7731774999999996</v>
      </c>
      <c r="H14" s="23">
        <v>0.61455510299969196</v>
      </c>
      <c r="I14" s="21">
        <v>0</v>
      </c>
    </row>
    <row r="15" spans="1:9" ht="14.5" x14ac:dyDescent="0.35">
      <c r="A15" s="34">
        <v>2022</v>
      </c>
      <c r="B15" s="22">
        <v>6</v>
      </c>
      <c r="C15" s="26">
        <v>0.43655277897123235</v>
      </c>
      <c r="D15" s="25">
        <v>0.5373</v>
      </c>
      <c r="E15" s="27">
        <v>3.117</v>
      </c>
      <c r="F15" s="30" t="s">
        <v>98</v>
      </c>
      <c r="G15" s="36">
        <v>3.3507750000000001</v>
      </c>
      <c r="H15" s="23">
        <v>0.62924711831600255</v>
      </c>
      <c r="I15" s="21">
        <v>0</v>
      </c>
    </row>
    <row r="16" spans="1:9" ht="14.5" x14ac:dyDescent="0.35">
      <c r="A16" s="34">
        <v>2023</v>
      </c>
      <c r="B16" s="22">
        <v>7</v>
      </c>
      <c r="C16" s="26">
        <v>0.41640962145316129</v>
      </c>
      <c r="D16" s="25">
        <v>0.53049999999999997</v>
      </c>
      <c r="E16" s="27">
        <v>3.6475</v>
      </c>
      <c r="F16" s="30" t="s">
        <v>98</v>
      </c>
      <c r="G16" s="36">
        <v>3.9210624999999997</v>
      </c>
      <c r="H16" s="23">
        <v>0.64174689766763937</v>
      </c>
      <c r="I16" s="21">
        <v>0</v>
      </c>
    </row>
    <row r="17" spans="1:9" ht="14.5" x14ac:dyDescent="0.35">
      <c r="A17" s="34">
        <v>2024</v>
      </c>
      <c r="B17" s="22">
        <v>8</v>
      </c>
      <c r="C17" s="26">
        <v>0.41561719599765995</v>
      </c>
      <c r="D17" s="25">
        <v>0.54810000000000003</v>
      </c>
      <c r="E17" s="27">
        <v>4.1955999999999998</v>
      </c>
      <c r="F17" s="30" t="s">
        <v>98</v>
      </c>
      <c r="G17" s="36">
        <v>4.5102699999999993</v>
      </c>
      <c r="H17" s="23">
        <v>0.65668675188056358</v>
      </c>
      <c r="I17" s="21">
        <v>0</v>
      </c>
    </row>
    <row r="18" spans="1:9" ht="14.5" x14ac:dyDescent="0.35">
      <c r="A18" s="34">
        <v>2025</v>
      </c>
      <c r="B18" s="22">
        <v>9</v>
      </c>
      <c r="C18" s="26">
        <v>0.40376293781064326</v>
      </c>
      <c r="D18" s="25">
        <v>0.55120000000000002</v>
      </c>
      <c r="E18" s="27">
        <v>4.7467999999999995</v>
      </c>
      <c r="F18" s="30" t="s">
        <v>98</v>
      </c>
      <c r="G18" s="36">
        <v>5.102809999999999</v>
      </c>
      <c r="H18" s="23">
        <v>0.67136251585591822</v>
      </c>
      <c r="I18" s="21">
        <v>0</v>
      </c>
    </row>
    <row r="19" spans="1:9" ht="13" x14ac:dyDescent="0.3">
      <c r="A19" s="35">
        <v>2026</v>
      </c>
      <c r="B19" s="22">
        <v>10</v>
      </c>
      <c r="C19" s="26">
        <v>0.39127820142946951</v>
      </c>
      <c r="D19" s="25">
        <v>0.55300000000000005</v>
      </c>
      <c r="E19" s="27">
        <v>5.2997999999999994</v>
      </c>
      <c r="F19" s="29" t="s">
        <v>99</v>
      </c>
      <c r="G19" s="36">
        <v>5.8297799999999995</v>
      </c>
      <c r="H19" s="28">
        <v>0.70168753835864461</v>
      </c>
      <c r="I19" s="21">
        <v>0</v>
      </c>
    </row>
    <row r="20" spans="1:9" ht="14.5" x14ac:dyDescent="0.35">
      <c r="A20" s="34">
        <v>2027</v>
      </c>
      <c r="B20" s="22">
        <v>11</v>
      </c>
      <c r="C20" s="26">
        <v>0.38650562335903721</v>
      </c>
      <c r="D20" s="25">
        <v>0.5655</v>
      </c>
      <c r="E20" s="27">
        <v>5.8652999999999995</v>
      </c>
      <c r="F20" s="29" t="s">
        <v>100</v>
      </c>
      <c r="G20" s="36">
        <v>6.4518300000000002</v>
      </c>
      <c r="H20" s="23">
        <v>0.71753017552309439</v>
      </c>
      <c r="I20" s="21">
        <v>0</v>
      </c>
    </row>
    <row r="21" spans="1:9" ht="14.5" x14ac:dyDescent="0.35">
      <c r="A21" s="34">
        <v>2028</v>
      </c>
      <c r="B21" s="22">
        <v>12</v>
      </c>
      <c r="C21" s="26">
        <v>0.38791872432985974</v>
      </c>
      <c r="D21" s="25">
        <v>0.58750000000000002</v>
      </c>
      <c r="E21" s="27">
        <v>6.4527999999999999</v>
      </c>
      <c r="F21" s="29" t="s">
        <v>100</v>
      </c>
      <c r="G21" s="36">
        <v>7.0980800000000004</v>
      </c>
      <c r="H21" s="23">
        <v>0.7354021986766246</v>
      </c>
      <c r="I21" s="21">
        <v>0</v>
      </c>
    </row>
    <row r="22" spans="1:9" ht="14.5" x14ac:dyDescent="0.35">
      <c r="A22" s="34">
        <v>2029</v>
      </c>
      <c r="B22" s="22">
        <v>13</v>
      </c>
      <c r="C22" s="26">
        <v>0.37595687441032344</v>
      </c>
      <c r="D22" s="25">
        <v>0.58950000000000002</v>
      </c>
      <c r="E22" s="27">
        <v>7.0423</v>
      </c>
      <c r="F22" s="29" t="s">
        <v>100</v>
      </c>
      <c r="G22" s="36">
        <v>7.7465300000000008</v>
      </c>
      <c r="H22" s="23">
        <v>0.7528380022288873</v>
      </c>
      <c r="I22" s="21">
        <v>0</v>
      </c>
    </row>
    <row r="23" spans="1:9" ht="14.5" x14ac:dyDescent="0.35">
      <c r="A23" s="34">
        <v>2030</v>
      </c>
      <c r="B23" s="22">
        <v>14</v>
      </c>
      <c r="C23" s="26">
        <v>0.37754185252386102</v>
      </c>
      <c r="D23" s="25">
        <v>0.61280000000000001</v>
      </c>
      <c r="E23" s="27">
        <v>7.6551</v>
      </c>
      <c r="F23" s="29" t="s">
        <v>100</v>
      </c>
      <c r="G23" s="36">
        <v>8.4206099999999999</v>
      </c>
      <c r="H23" s="23">
        <v>0.7721162928370463</v>
      </c>
      <c r="I23" s="21">
        <v>0</v>
      </c>
    </row>
    <row r="24" spans="1:9" ht="14.5" x14ac:dyDescent="0.35">
      <c r="A24" s="34">
        <v>2031</v>
      </c>
      <c r="B24" s="22">
        <v>15</v>
      </c>
      <c r="C24" s="26">
        <v>0.37627710978288215</v>
      </c>
      <c r="D24" s="25">
        <v>0.63219999999999998</v>
      </c>
      <c r="E24" s="27">
        <v>8.2873000000000001</v>
      </c>
      <c r="F24" s="30" t="s">
        <v>101</v>
      </c>
      <c r="G24" s="36">
        <v>9.3232125000000003</v>
      </c>
      <c r="H24" s="23">
        <v>0.8106403808674556</v>
      </c>
      <c r="I24" s="21">
        <v>0</v>
      </c>
    </row>
    <row r="25" spans="1:9" ht="14.5" x14ac:dyDescent="0.35">
      <c r="A25" s="34">
        <v>2032</v>
      </c>
      <c r="B25" s="22">
        <v>16</v>
      </c>
      <c r="C25" s="26">
        <v>0.36391884754528808</v>
      </c>
      <c r="D25" s="25">
        <v>0.63300000000000001</v>
      </c>
      <c r="E25" s="27">
        <v>8.920300000000001</v>
      </c>
      <c r="F25" s="30" t="s">
        <v>101</v>
      </c>
      <c r="G25" s="36">
        <v>10.035337500000001</v>
      </c>
      <c r="H25" s="23">
        <v>0.83101695530386366</v>
      </c>
      <c r="I25" s="21">
        <v>0</v>
      </c>
    </row>
    <row r="26" spans="1:9" ht="14.5" x14ac:dyDescent="0.35">
      <c r="A26" s="34">
        <v>2033</v>
      </c>
      <c r="B26" s="22">
        <v>17</v>
      </c>
      <c r="C26" s="26">
        <v>0.3667888310870015</v>
      </c>
      <c r="D26" s="25">
        <v>0.66039999999999999</v>
      </c>
      <c r="E26" s="27">
        <v>9.5807000000000002</v>
      </c>
      <c r="F26" s="30" t="s">
        <v>101</v>
      </c>
      <c r="G26" s="36">
        <v>10.778287500000001</v>
      </c>
      <c r="H26" s="23">
        <v>0.85329665766642093</v>
      </c>
      <c r="I26" s="21">
        <v>0</v>
      </c>
    </row>
    <row r="27" spans="1:9" ht="14.5" x14ac:dyDescent="0.35">
      <c r="A27" s="34">
        <v>2034</v>
      </c>
      <c r="B27" s="22">
        <v>18</v>
      </c>
      <c r="C27" s="26">
        <v>0.35509665531992118</v>
      </c>
      <c r="D27" s="25">
        <v>0.66190000000000004</v>
      </c>
      <c r="E27" s="27">
        <v>10.242599999999999</v>
      </c>
      <c r="F27" s="30" t="s">
        <v>101</v>
      </c>
      <c r="G27" s="36">
        <v>11.522924999999999</v>
      </c>
      <c r="H27" s="23">
        <v>0.87508084147130905</v>
      </c>
      <c r="I27" s="21">
        <v>0</v>
      </c>
    </row>
    <row r="28" spans="1:9" ht="14.5" x14ac:dyDescent="0.35">
      <c r="A28" s="34">
        <v>2035</v>
      </c>
      <c r="B28" s="22">
        <v>19</v>
      </c>
      <c r="C28" s="26">
        <v>0.34753485959569635</v>
      </c>
      <c r="D28" s="25">
        <v>0.67059999999999997</v>
      </c>
      <c r="E28" s="27">
        <v>10.9132</v>
      </c>
      <c r="F28" s="30" t="s">
        <v>101</v>
      </c>
      <c r="G28" s="36">
        <v>12.27735</v>
      </c>
      <c r="H28" s="23">
        <v>0.897067740402681</v>
      </c>
      <c r="I28" s="21">
        <v>0</v>
      </c>
    </row>
    <row r="29" spans="1:9" ht="13" x14ac:dyDescent="0.3">
      <c r="A29" s="35">
        <v>2036</v>
      </c>
      <c r="B29" s="22">
        <v>20</v>
      </c>
      <c r="C29" s="26">
        <v>0.34022516736710223</v>
      </c>
      <c r="D29" s="25">
        <v>0.67959999999999998</v>
      </c>
      <c r="E29" s="27">
        <v>11.5928</v>
      </c>
      <c r="F29" s="30" t="s">
        <v>101</v>
      </c>
      <c r="G29" s="36">
        <v>13.0419</v>
      </c>
      <c r="H29" s="28">
        <v>0.91930355234543915</v>
      </c>
      <c r="I29" s="21">
        <v>0</v>
      </c>
    </row>
    <row r="30" spans="1:9" ht="14.5" x14ac:dyDescent="0.35">
      <c r="A30" s="34">
        <v>2037</v>
      </c>
      <c r="B30" s="22">
        <v>21</v>
      </c>
      <c r="C30" s="26">
        <v>0.33189999999999997</v>
      </c>
      <c r="D30" s="25">
        <v>0.68639600000000001</v>
      </c>
      <c r="E30" s="27">
        <v>12.279196000000001</v>
      </c>
      <c r="F30" s="29" t="s">
        <v>102</v>
      </c>
      <c r="G30" s="36">
        <v>14.1210754</v>
      </c>
      <c r="H30" s="28">
        <v>0.96256067436903159</v>
      </c>
      <c r="I30" s="21">
        <v>0</v>
      </c>
    </row>
    <row r="31" spans="1:9" ht="14.5" x14ac:dyDescent="0.35">
      <c r="A31" s="34">
        <v>2038</v>
      </c>
      <c r="B31" s="22">
        <v>22</v>
      </c>
      <c r="C31" s="26">
        <v>0.32390000000000002</v>
      </c>
      <c r="D31" s="25">
        <v>0.69325996000000001</v>
      </c>
      <c r="E31" s="27">
        <v>12.972455960000001</v>
      </c>
      <c r="F31" s="29" t="s">
        <v>102</v>
      </c>
      <c r="G31" s="36">
        <v>14.918324354000001</v>
      </c>
      <c r="H31" s="28">
        <v>0.98552212265613348</v>
      </c>
      <c r="I31" s="21">
        <v>0</v>
      </c>
    </row>
    <row r="32" spans="1:9" ht="14.5" x14ac:dyDescent="0.35">
      <c r="A32" s="34">
        <v>2039</v>
      </c>
      <c r="B32" s="22">
        <v>23</v>
      </c>
      <c r="C32" s="26">
        <v>0.316</v>
      </c>
      <c r="D32" s="25">
        <v>0.70019255960000004</v>
      </c>
      <c r="E32" s="27">
        <v>13.672648519600001</v>
      </c>
      <c r="F32" s="29" t="s">
        <v>102</v>
      </c>
      <c r="G32" s="36">
        <v>15.72354579754</v>
      </c>
      <c r="H32" s="28">
        <v>1.0086464310452699</v>
      </c>
      <c r="I32" s="21">
        <v>0</v>
      </c>
    </row>
    <row r="33" spans="1:9" ht="14.5" x14ac:dyDescent="0.35">
      <c r="A33" s="34">
        <v>2040</v>
      </c>
      <c r="B33" s="22">
        <v>24</v>
      </c>
      <c r="C33" s="26">
        <v>0.30830000000000002</v>
      </c>
      <c r="D33" s="25">
        <v>0.70719448519600003</v>
      </c>
      <c r="E33" s="27">
        <v>14.379843004796001</v>
      </c>
      <c r="F33" s="29" t="s">
        <v>102</v>
      </c>
      <c r="G33" s="36">
        <v>16.536819455515399</v>
      </c>
      <c r="H33" s="28">
        <v>1.0319588005506115</v>
      </c>
      <c r="I33" s="21">
        <v>0</v>
      </c>
    </row>
    <row r="34" spans="1:9" ht="14.5" x14ac:dyDescent="0.35">
      <c r="A34" s="34">
        <v>2041</v>
      </c>
      <c r="B34" s="22">
        <v>25</v>
      </c>
      <c r="C34" s="26">
        <v>0.30080000000000001</v>
      </c>
      <c r="D34" s="25">
        <v>0.71426643004796009</v>
      </c>
      <c r="E34" s="27">
        <v>15.094109434843961</v>
      </c>
      <c r="F34" s="29" t="s">
        <v>102</v>
      </c>
      <c r="G34" s="36">
        <v>17.358225850070554</v>
      </c>
      <c r="H34" s="28">
        <v>1.0554809412422201</v>
      </c>
      <c r="I34" s="21">
        <v>0</v>
      </c>
    </row>
    <row r="35" spans="1:9" ht="14.5" x14ac:dyDescent="0.35">
      <c r="A35" s="34">
        <v>2042</v>
      </c>
      <c r="B35" s="22">
        <v>26</v>
      </c>
      <c r="C35" s="26">
        <v>0.29349999999999998</v>
      </c>
      <c r="D35" s="25">
        <v>0.72140909434843969</v>
      </c>
      <c r="E35" s="27">
        <v>15.815518529192401</v>
      </c>
      <c r="F35" s="30" t="s">
        <v>103</v>
      </c>
      <c r="G35" s="36">
        <v>18.583234271801071</v>
      </c>
      <c r="H35" s="28">
        <v>1.1026933043184501</v>
      </c>
      <c r="I35" s="21">
        <v>0</v>
      </c>
    </row>
    <row r="36" spans="1:9" ht="14.5" x14ac:dyDescent="0.35">
      <c r="A36" s="34">
        <v>2043</v>
      </c>
      <c r="B36" s="22">
        <v>27</v>
      </c>
      <c r="C36" s="26">
        <v>0.2863</v>
      </c>
      <c r="D36" s="25">
        <v>0.72862318529192405</v>
      </c>
      <c r="E36" s="27">
        <v>16.544141714484326</v>
      </c>
      <c r="F36" s="30" t="s">
        <v>103</v>
      </c>
      <c r="G36" s="36">
        <v>19.439366514519083</v>
      </c>
      <c r="H36" s="28">
        <v>1.1272110200121481</v>
      </c>
      <c r="I36" s="21">
        <v>0</v>
      </c>
    </row>
    <row r="37" spans="1:9" ht="14.5" x14ac:dyDescent="0.35">
      <c r="A37" s="34">
        <v>2044</v>
      </c>
      <c r="B37" s="22">
        <v>28</v>
      </c>
      <c r="C37" s="26">
        <v>0.27929999999999999</v>
      </c>
      <c r="D37" s="25">
        <v>0.73590941714484326</v>
      </c>
      <c r="E37" s="27">
        <v>17.280051131629168</v>
      </c>
      <c r="F37" s="30" t="s">
        <v>103</v>
      </c>
      <c r="G37" s="36">
        <v>20.304060079664275</v>
      </c>
      <c r="H37" s="28">
        <v>1.1519943575740106</v>
      </c>
      <c r="I37" s="21">
        <v>0</v>
      </c>
    </row>
    <row r="38" spans="1:9" ht="14.5" x14ac:dyDescent="0.35">
      <c r="A38" s="34">
        <v>2045</v>
      </c>
      <c r="B38" s="22">
        <v>29</v>
      </c>
      <c r="C38" s="26">
        <v>0.27250000000000002</v>
      </c>
      <c r="D38" s="25">
        <v>0.74326851131629168</v>
      </c>
      <c r="E38" s="27">
        <v>18.023319642945459</v>
      </c>
      <c r="F38" s="30" t="s">
        <v>103</v>
      </c>
      <c r="G38" s="36">
        <v>21.177400580460915</v>
      </c>
      <c r="H38" s="28">
        <v>1.1770567561259762</v>
      </c>
      <c r="I38" s="21">
        <v>0</v>
      </c>
    </row>
    <row r="39" spans="1:9" ht="13" x14ac:dyDescent="0.3">
      <c r="A39" s="35">
        <v>2046</v>
      </c>
      <c r="B39" s="22">
        <v>30</v>
      </c>
      <c r="C39" s="26">
        <v>0.26590000000000003</v>
      </c>
      <c r="D39" s="25">
        <v>0.75070119642945465</v>
      </c>
      <c r="E39" s="27">
        <v>18.774020839374913</v>
      </c>
      <c r="F39" s="30" t="s">
        <v>103</v>
      </c>
      <c r="G39" s="36">
        <v>22.059474486265522</v>
      </c>
      <c r="H39" s="28">
        <v>1.2024103291102379</v>
      </c>
      <c r="I39" s="21">
        <v>0</v>
      </c>
    </row>
    <row r="40" spans="1:9" ht="14.5" x14ac:dyDescent="0.35">
      <c r="A40" s="34">
        <v>2047</v>
      </c>
      <c r="B40" s="22">
        <v>31</v>
      </c>
      <c r="C40" s="26">
        <v>0.25940000000000002</v>
      </c>
      <c r="D40" s="25">
        <v>0.75820820839374925</v>
      </c>
      <c r="E40" s="27">
        <v>19.532229047768663</v>
      </c>
      <c r="F40" s="29" t="s">
        <v>104</v>
      </c>
      <c r="G40" s="36">
        <v>23.438674857322393</v>
      </c>
      <c r="H40" s="28">
        <v>1.2541951448828872</v>
      </c>
      <c r="I40" s="21">
        <v>0</v>
      </c>
    </row>
    <row r="41" spans="1:9" ht="14.5" x14ac:dyDescent="0.35">
      <c r="A41" s="34">
        <v>2048</v>
      </c>
      <c r="B41" s="22">
        <v>32</v>
      </c>
      <c r="C41" s="26">
        <v>0.25309999999999999</v>
      </c>
      <c r="D41" s="25">
        <v>0.76579029047768676</v>
      </c>
      <c r="E41" s="27">
        <v>20.298019338246348</v>
      </c>
      <c r="F41" s="29" t="s">
        <v>104</v>
      </c>
      <c r="G41" s="36">
        <v>24.357623205895617</v>
      </c>
      <c r="H41" s="28">
        <v>1.2807156499933003</v>
      </c>
      <c r="I41" s="21">
        <v>0</v>
      </c>
    </row>
    <row r="42" spans="1:9" ht="14.5" x14ac:dyDescent="0.35">
      <c r="A42" s="34">
        <v>2049</v>
      </c>
      <c r="B42" s="22">
        <v>33</v>
      </c>
      <c r="C42" s="26">
        <v>0.247</v>
      </c>
      <c r="D42" s="25">
        <v>0.77344819338246362</v>
      </c>
      <c r="E42" s="27">
        <v>21.071467531628812</v>
      </c>
      <c r="F42" s="29" t="s">
        <v>104</v>
      </c>
      <c r="G42" s="36">
        <v>25.285761037954575</v>
      </c>
      <c r="H42" s="28">
        <v>1.3075645146756949</v>
      </c>
      <c r="I42" s="21">
        <v>0</v>
      </c>
    </row>
    <row r="43" spans="1:9" ht="14.5" x14ac:dyDescent="0.35">
      <c r="A43" s="34">
        <v>2050</v>
      </c>
      <c r="B43" s="22">
        <v>34</v>
      </c>
      <c r="C43" s="26">
        <v>0.24099999999999999</v>
      </c>
      <c r="D43" s="25">
        <v>0.78118267531628827</v>
      </c>
      <c r="E43" s="27">
        <v>21.8526502069451</v>
      </c>
      <c r="F43" s="29" t="s">
        <v>104</v>
      </c>
      <c r="G43" s="36">
        <v>26.223180248334121</v>
      </c>
      <c r="H43" s="28">
        <v>1.3347505216232638</v>
      </c>
      <c r="I43" s="21">
        <v>0</v>
      </c>
    </row>
    <row r="44" spans="1:9" ht="14.5" x14ac:dyDescent="0.35">
      <c r="A44" s="34">
        <v>2051</v>
      </c>
      <c r="B44" s="22">
        <v>35</v>
      </c>
      <c r="C44" s="26">
        <v>0.2351</v>
      </c>
      <c r="D44" s="25">
        <v>0.78899450206945121</v>
      </c>
      <c r="E44" s="27">
        <v>22.64164470901455</v>
      </c>
      <c r="F44" s="29" t="s">
        <v>104</v>
      </c>
      <c r="G44" s="36">
        <v>27.169973650817457</v>
      </c>
      <c r="H44" s="28">
        <v>1.3622818643825099</v>
      </c>
      <c r="I44" s="21">
        <v>0</v>
      </c>
    </row>
    <row r="45" spans="1:9" ht="14.5" x14ac:dyDescent="0.35">
      <c r="A45" s="34">
        <v>2052</v>
      </c>
      <c r="B45" s="22">
        <v>36</v>
      </c>
      <c r="C45" s="26">
        <v>0.22939999999999999</v>
      </c>
      <c r="D45" s="25">
        <v>0.79688444709014572</v>
      </c>
      <c r="E45" s="27">
        <v>23.438529156104696</v>
      </c>
      <c r="F45" s="29" t="s">
        <v>104</v>
      </c>
      <c r="G45" s="36">
        <v>28.126234987325635</v>
      </c>
      <c r="H45" s="28">
        <v>1.3901662306967701</v>
      </c>
      <c r="I45" s="21">
        <v>0</v>
      </c>
    </row>
    <row r="46" spans="1:9" ht="14.5" x14ac:dyDescent="0.35">
      <c r="A46" s="34">
        <v>2053</v>
      </c>
      <c r="B46" s="22">
        <v>37</v>
      </c>
      <c r="C46" s="26">
        <v>0.2238</v>
      </c>
      <c r="D46" s="25">
        <v>0.80485329156104723</v>
      </c>
      <c r="E46" s="27">
        <v>24.243382447665745</v>
      </c>
      <c r="F46" s="29" t="s">
        <v>104</v>
      </c>
      <c r="G46" s="36">
        <v>29.092058937198892</v>
      </c>
      <c r="H46" s="28">
        <v>1.4184108724274886</v>
      </c>
      <c r="I46" s="21">
        <v>0</v>
      </c>
    </row>
    <row r="47" spans="1:9" ht="14.5" x14ac:dyDescent="0.35">
      <c r="A47" s="34">
        <v>2054</v>
      </c>
      <c r="B47" s="22">
        <v>38</v>
      </c>
      <c r="C47" s="26">
        <v>0.21829999999999999</v>
      </c>
      <c r="D47" s="25">
        <v>0.81290182447665771</v>
      </c>
      <c r="E47" s="27">
        <v>25.056284272142403</v>
      </c>
      <c r="F47" s="29" t="s">
        <v>104</v>
      </c>
      <c r="G47" s="36">
        <v>30.06754112657088</v>
      </c>
      <c r="H47" s="28">
        <v>1.4470226645295883</v>
      </c>
      <c r="I47" s="21">
        <v>0</v>
      </c>
    </row>
    <row r="48" spans="1:9" ht="14.5" x14ac:dyDescent="0.35">
      <c r="A48" s="34">
        <v>2055</v>
      </c>
      <c r="B48" s="22">
        <v>39</v>
      </c>
      <c r="C48" s="26">
        <v>0.21299999999999999</v>
      </c>
      <c r="D48" s="25">
        <v>0.82103084272142435</v>
      </c>
      <c r="E48" s="27">
        <v>25.877315114863826</v>
      </c>
      <c r="F48" s="29" t="s">
        <v>104</v>
      </c>
      <c r="G48" s="36">
        <v>31.05277813783659</v>
      </c>
      <c r="H48" s="28">
        <v>1.4760081550492119</v>
      </c>
      <c r="I48" s="21">
        <v>0</v>
      </c>
    </row>
    <row r="49" spans="1:9" ht="13" x14ac:dyDescent="0.3">
      <c r="A49" s="35">
        <v>2056</v>
      </c>
      <c r="B49" s="22">
        <v>40</v>
      </c>
      <c r="C49" s="26">
        <v>0.20780000000000001</v>
      </c>
      <c r="D49" s="25">
        <v>0.82924115114863861</v>
      </c>
      <c r="E49" s="27">
        <v>26.706556266012466</v>
      </c>
      <c r="F49" s="29" t="s">
        <v>104</v>
      </c>
      <c r="G49" s="36">
        <v>32.047867519214961</v>
      </c>
      <c r="H49" s="28">
        <v>1.5053736077183444</v>
      </c>
      <c r="I49" s="21">
        <v>0</v>
      </c>
    </row>
    <row r="50" spans="1:9" ht="14.5" x14ac:dyDescent="0.35">
      <c r="A50" s="34">
        <v>2057</v>
      </c>
      <c r="B50" s="22">
        <v>41</v>
      </c>
      <c r="C50" s="26">
        <v>0.20280000000000001</v>
      </c>
      <c r="D50" s="25">
        <v>0.83753356266012502</v>
      </c>
      <c r="E50" s="27">
        <v>27.54408982867259</v>
      </c>
      <c r="F50" s="29" t="s">
        <v>104</v>
      </c>
      <c r="G50" s="36">
        <v>33.052907794407105</v>
      </c>
      <c r="H50" s="28">
        <v>1.5351250384134882</v>
      </c>
      <c r="I50" s="21">
        <v>0</v>
      </c>
    </row>
    <row r="51" spans="1:9" ht="14.5" x14ac:dyDescent="0.35">
      <c r="A51" s="34">
        <v>2058</v>
      </c>
      <c r="B51" s="22">
        <v>42</v>
      </c>
      <c r="C51" s="26">
        <v>0.1978</v>
      </c>
      <c r="D51" s="25">
        <v>0.84590889828672633</v>
      </c>
      <c r="E51" s="27">
        <v>28.389998726959316</v>
      </c>
      <c r="F51" s="29" t="s">
        <v>104</v>
      </c>
      <c r="G51" s="36">
        <v>34.067998472351178</v>
      </c>
      <c r="H51" s="28">
        <v>1.5652682465040997</v>
      </c>
      <c r="I51" s="21">
        <v>0</v>
      </c>
    </row>
    <row r="52" spans="1:9" ht="14.5" x14ac:dyDescent="0.35">
      <c r="A52" s="34">
        <v>2059</v>
      </c>
      <c r="B52" s="22">
        <v>43</v>
      </c>
      <c r="C52" s="26">
        <v>0.193</v>
      </c>
      <c r="D52" s="25">
        <v>0.85436798726959362</v>
      </c>
      <c r="E52" s="27">
        <v>29.24436671422891</v>
      </c>
      <c r="F52" s="29" t="s">
        <v>104</v>
      </c>
      <c r="G52" s="36">
        <v>35.093240057074688</v>
      </c>
      <c r="H52" s="28">
        <v>1.5958088419255407</v>
      </c>
      <c r="I52" s="21">
        <v>0</v>
      </c>
    </row>
    <row r="53" spans="1:9" ht="14.5" x14ac:dyDescent="0.35">
      <c r="A53" s="34">
        <v>2060</v>
      </c>
      <c r="B53" s="22">
        <v>44</v>
      </c>
      <c r="C53" s="26">
        <v>0.1883</v>
      </c>
      <c r="D53" s="25">
        <v>0.86291166714228962</v>
      </c>
      <c r="E53" s="27">
        <v>30.107278381371199</v>
      </c>
      <c r="F53" s="29" t="s">
        <v>104</v>
      </c>
      <c r="G53" s="36">
        <v>36.128734057645438</v>
      </c>
      <c r="H53" s="28">
        <v>1.6267522686594251</v>
      </c>
      <c r="I53" s="21">
        <v>0</v>
      </c>
    </row>
    <row r="54" spans="1:9" ht="14.5" x14ac:dyDescent="0.35">
      <c r="A54" s="34">
        <v>2061</v>
      </c>
      <c r="B54" s="22">
        <v>45</v>
      </c>
      <c r="C54" s="26">
        <v>0.1837</v>
      </c>
      <c r="D54" s="25">
        <v>0.87154078381371247</v>
      </c>
      <c r="E54" s="27">
        <v>30.978819165184913</v>
      </c>
      <c r="F54" s="29" t="s">
        <v>104</v>
      </c>
      <c r="G54" s="36">
        <v>37.174582998221894</v>
      </c>
      <c r="H54" s="28">
        <v>1.6581038251827265</v>
      </c>
      <c r="I54" s="21">
        <v>0</v>
      </c>
    </row>
    <row r="56" spans="1:9" ht="13" x14ac:dyDescent="0.3">
      <c r="A56" s="19" t="s">
        <v>41</v>
      </c>
      <c r="E56" s="130"/>
      <c r="F56" s="20"/>
      <c r="G56" s="20"/>
    </row>
    <row r="57" spans="1:9" x14ac:dyDescent="0.25">
      <c r="C57" s="18" t="s">
        <v>42</v>
      </c>
      <c r="E57" s="130">
        <v>3.5200000000000002E-2</v>
      </c>
    </row>
    <row r="58" spans="1:9" x14ac:dyDescent="0.25">
      <c r="C58" s="18" t="s">
        <v>96</v>
      </c>
      <c r="E58" s="131">
        <v>3.5200000000000002E-2</v>
      </c>
    </row>
    <row r="59" spans="1:9" x14ac:dyDescent="0.25">
      <c r="C59" s="18" t="s">
        <v>43</v>
      </c>
      <c r="E59" s="132">
        <v>0.01</v>
      </c>
      <c r="F59" s="14"/>
      <c r="G59" s="14"/>
    </row>
  </sheetData>
  <customSheetViews>
    <customSheetView guid="{C923932C-96B5-464D-9E0A-3FBBD9F9862F}" scale="80" showPageBreaks="1">
      <selection activeCell="A2" sqref="A2:H2"/>
      <pageMargins left="0.75" right="0.75" top="1" bottom="1" header="0.5" footer="0.5"/>
      <pageSetup scale="86" orientation="portrait" r:id="rId1"/>
      <headerFooter alignWithMargins="0"/>
    </customSheetView>
    <customSheetView guid="{53FDAFFF-3D96-4F28-89A0-59B371010818}" scale="80" topLeftCell="A27">
      <selection activeCell="K49" sqref="K49"/>
      <pageMargins left="0.75" right="0.75" top="1" bottom="1" header="0.5" footer="0.5"/>
      <pageSetup scale="86" orientation="portrait" r:id="rId2"/>
      <headerFooter alignWithMargins="0"/>
    </customSheetView>
    <customSheetView guid="{2071E27A-5EFB-4FE2-B87C-64D436A2C10C}" scale="80">
      <selection activeCell="I64" sqref="I64"/>
      <pageMargins left="0.75" right="0.75" top="1" bottom="1" header="0.5" footer="0.5"/>
      <pageSetup scale="86" orientation="portrait" r:id="rId3"/>
      <headerFooter alignWithMargins="0"/>
    </customSheetView>
  </customSheetViews>
  <mergeCells count="4">
    <mergeCell ref="A1:H1"/>
    <mergeCell ref="A2:H2"/>
    <mergeCell ref="A3:H3"/>
    <mergeCell ref="A4:H4"/>
  </mergeCells>
  <phoneticPr fontId="20" type="noConversion"/>
  <pageMargins left="0.75" right="0.75" top="1" bottom="1" header="0.5" footer="0.5"/>
  <pageSetup scale="86" orientation="portrait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C86D3E40C594748A5C41E962A8B0FE0" ma:contentTypeVersion="104" ma:contentTypeDescription="" ma:contentTypeScope="" ma:versionID="639fc6cf82c9e00b4dcfeed2c99d41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2017-05-31T07:00:00+00:00</OpenedDate>
    <Date1 xmlns="dc463f71-b30c-4ab2-9473-d307f9d35888">2017-05-31T07:00:00+00:00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170670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9609651-2F10-402B-9147-43C72E059D11}"/>
</file>

<file path=customXml/itemProps2.xml><?xml version="1.0" encoding="utf-8"?>
<ds:datastoreItem xmlns:ds="http://schemas.openxmlformats.org/officeDocument/2006/customXml" ds:itemID="{60E31EFB-AFBA-4067-ACF0-07908FE27DA4}"/>
</file>

<file path=customXml/itemProps3.xml><?xml version="1.0" encoding="utf-8"?>
<ds:datastoreItem xmlns:ds="http://schemas.openxmlformats.org/officeDocument/2006/customXml" ds:itemID="{69EB6105-79DF-4890-9F7F-52DBE54DCB4B}"/>
</file>

<file path=customXml/itemProps4.xml><?xml version="1.0" encoding="utf-8"?>
<ds:datastoreItem xmlns:ds="http://schemas.openxmlformats.org/officeDocument/2006/customXml" ds:itemID="{3760B29E-68C0-4D45-A109-E86EFFB5FB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TOTAL FIRST YEAR</vt:lpstr>
      <vt:lpstr>Rates&amp;NEB</vt:lpstr>
      <vt:lpstr>APP 2885</vt:lpstr>
      <vt:lpstr>AC</vt:lpstr>
      <vt:lpstr>Inflation</vt:lpstr>
      <vt:lpstr>LTdiscount</vt:lpstr>
      <vt:lpstr>NEPercentage</vt:lpstr>
      <vt:lpstr>NomInt</vt:lpstr>
      <vt:lpstr>'TOTAL FIRST YEAR'!Print_Area</vt:lpstr>
      <vt:lpstr>TotalAnnualThermSavings</vt:lpstr>
    </vt:vector>
  </TitlesOfParts>
  <Company>An MDU Resources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Laron Tamaye</dc:creator>
  <cp:lastModifiedBy>Cascade Natural Gas</cp:lastModifiedBy>
  <cp:lastPrinted>2017-05-01T18:13:31Z</cp:lastPrinted>
  <dcterms:created xsi:type="dcterms:W3CDTF">2009-04-22T19:18:00Z</dcterms:created>
  <dcterms:modified xsi:type="dcterms:W3CDTF">2017-05-31T16:13:25Z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Author">
    <vt:lpwstr>ACCT04\cutir</vt:lpwstr>
  </property>
  <property fmtid="{D5CDD505-2E9C-101B-9397-08002B2CF9AE}" pid="3" name="Document Sensitivity">
    <vt:lpwstr>1</vt:lpwstr>
  </property>
  <property fmtid="{D5CDD505-2E9C-101B-9397-08002B2CF9AE}" pid="4" name="ThirdParty">
    <vt:lpwstr/>
  </property>
  <property fmtid="{D5CDD505-2E9C-101B-9397-08002B2CF9AE}" pid="5" name="OCI Restriction">
    <vt:bool>false</vt:bool>
  </property>
  <property fmtid="{D5CDD505-2E9C-101B-9397-08002B2CF9AE}" pid="6" name="OCI Additional Info">
    <vt:lpwstr/>
  </property>
  <property fmtid="{D5CDD505-2E9C-101B-9397-08002B2CF9AE}" pid="7" name="Allow Header Overwrite">
    <vt:bool>false</vt:bool>
  </property>
  <property fmtid="{D5CDD505-2E9C-101B-9397-08002B2CF9AE}" pid="8" name="Allow Footer Overwrite">
    <vt:bool>false</vt:bool>
  </property>
  <property fmtid="{D5CDD505-2E9C-101B-9397-08002B2CF9AE}" pid="9" name="Multiple Selected">
    <vt:lpwstr>-1</vt:lpwstr>
  </property>
  <property fmtid="{D5CDD505-2E9C-101B-9397-08002B2CF9AE}" pid="10" name="SIPLongWording">
    <vt:lpwstr/>
  </property>
  <property fmtid="{D5CDD505-2E9C-101B-9397-08002B2CF9AE}" pid="11" name="checkedProgramsCount">
    <vt:i4>0</vt:i4>
  </property>
  <property fmtid="{D5CDD505-2E9C-101B-9397-08002B2CF9AE}" pid="12" name="ContentTypeId">
    <vt:lpwstr>0x0101006E56B4D1795A2E4DB2F0B01679ED314A00CC86D3E40C594748A5C41E962A8B0FE0</vt:lpwstr>
  </property>
  <property fmtid="{D5CDD505-2E9C-101B-9397-08002B2CF9AE}" pid="13" name="_docset_NoMedatataSyncRequired">
    <vt:lpwstr>False</vt:lpwstr>
  </property>
  <property fmtid="{D5CDD505-2E9C-101B-9397-08002B2CF9AE}" pid="14" name="IsEFSEC">
    <vt:bool>false</vt:bool>
  </property>
</Properties>
</file>