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6-08-01 WUSF Petition\2016-08-01 Kalama Telephone Company\"/>
    </mc:Choice>
  </mc:AlternateContent>
  <bookViews>
    <workbookView xWindow="0" yWindow="0" windowWidth="16170" windowHeight="61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C36" i="12" l="1"/>
  <c r="D26" i="1" l="1"/>
  <c r="C26" i="13" l="1"/>
  <c r="C13" i="13"/>
  <c r="C12" i="13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F14" i="18" l="1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2" i="5"/>
  <c r="G23" i="5"/>
  <c r="G28" i="5"/>
  <c r="G31" i="5"/>
  <c r="G13" i="5"/>
  <c r="G17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G48" i="2"/>
  <c r="B48" i="2"/>
  <c r="B46" i="5"/>
  <c r="G48" i="5"/>
  <c r="B25" i="5"/>
  <c r="C48" i="5"/>
  <c r="D16" i="16" l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<sst xmlns="http://schemas.openxmlformats.org/spreadsheetml/2006/main" count="628" uniqueCount="269">
  <si>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</si>
  <si>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</si>
  <si>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</si>
  <si>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</si>
  <si>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</si>
  <si>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</si>
  <si>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</si>
  <si>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</si>
  <si>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</si>
  <si>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</si>
  <si>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</si>
  <si>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</si>
  <si>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</si>
  <si>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</si>
  <si>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</si>
  <si>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</si>
  <si>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</si>
  <si>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</si>
  <si>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</si>
  <si>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</si>
  <si>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</si>
  <si>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</si>
  <si>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</si>
  <si>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</si>
  <si>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</si>
  <si>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</si>
  <si>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</si>
  <si>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</si>
  <si>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</si>
  <si>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</si>
  <si>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</si>
  <si>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</si>
  <si>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</si>
  <si>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</si>
  <si>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</si>
  <si>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</si>
  <si>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</si>
  <si>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</si>
  <si>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</si>
  <si>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</si>
  <si>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</si>
  <si>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</si>
  <si>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</si>
  <si>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</si>
  <si>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</si>
  <si>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</si>
  <si>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</si>
  <si>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</si>
  <si>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</si>
  <si>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</si>
  <si>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</si>
  <si>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</si>
  <si>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</si>
  <si>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</si>
  <si>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</si>
  <si>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</si>
  <si>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</si>
  <si>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</si>
  <si>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</si>
  <si>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</si>
  <si>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</si>
  <si>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</si>
  <si>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</si>
  <si>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</si>
  <si>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</si>
  <si>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</si>
  <si>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</si>
  <si>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</si>
  <si>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</si>
  <si>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</si>
  <si>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</si>
  <si>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</si>
  <si>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</si>
  <si>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</si>
  <si>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</si>
  <si>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</si>
  <si>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</si>
  <si>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</si>
  <si>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</si>
  <si>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</si>
  <si>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</si>
  <si>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</si>
  <si>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</si>
  <si>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</si>
  <si>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</si>
  <si>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</si>
  <si>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</si>
  <si>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</si>
  <si>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</si>
  <si>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</si>
  <si>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</si>
  <si>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</si>
  <si>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</si>
  <si>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</si>
  <si>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</si>
  <si>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</si>
  <si>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</si>
  <si>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</si>
  <si>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</si>
  <si>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</si>
  <si>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</si>
  <si>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</si>
  <si>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</si>
  <si>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</si>
  <si>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</si>
  <si>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</si>
  <si>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</si>
  <si>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</si>
  <si>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</si>
  <si>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</si>
  <si>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</si>
  <si>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</si>
  <si>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</si>
  <si>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</si>
  <si>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</si>
  <si>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</si>
  <si>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</si>
  <si>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</si>
  <si>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</si>
  <si>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</si>
  <si>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</si>
  <si>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</si>
  <si>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</si>
  <si>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</si>
  <si>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</si>
  <si>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</si>
  <si>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</si>
  <si>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</si>
  <si>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</si>
  <si>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</si>
  <si>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</si>
  <si>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</si>
  <si>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</si>
  <si>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</si>
  <si>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</si>
  <si>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</si>
  <si>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</si>
  <si>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</si>
  <si>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</si>
  <si>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</si>
  <si>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</si>
  <si>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</si>
  <si>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</si>
  <si>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</si>
  <si>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</si>
  <si>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</si>
  <si>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</si>
  <si>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</si>
  <si>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</si>
  <si>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</si>
  <si>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</si>
  <si>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</si>
  <si>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</si>
  <si>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</si>
  <si>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</si>
  <si>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</si>
  <si>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</si>
  <si>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</si>
  <si>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</si>
  <si>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</si>
  <si>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</si>
  <si>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</si>
  <si>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</si>
  <si>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</si>
  <si>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</si>
  <si>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</si>
  <si>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</si>
  <si>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</si>
  <si>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</si>
  <si>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</si>
  <si>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</si>
  <si>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</si>
  <si>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</si>
  <si>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</si>
  <si>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</si>
  <si>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</si>
  <si>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</si>
  <si>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</si>
  <si>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</si>
  <si>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</si>
  <si>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</si>
  <si>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</si>
  <si>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</si>
  <si>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</si>
  <si>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</si>
  <si>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</si>
  <si>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</si>
  <si>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</si>
  <si>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</si>
  <si>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</si>
  <si>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</si>
  <si>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</si>
  <si>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</si>
  <si>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</si>
  <si>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</si>
  <si>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</si>
  <si>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</si>
  <si>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</si>
  <si>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</si>
  <si>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</si>
  <si>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</si>
  <si>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</si>
  <si>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</si>
  <si>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</si>
  <si>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</si>
  <si>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</si>
  <si>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</si>
  <si>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</si>
  <si>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</si>
  <si>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</si>
  <si>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</si>
  <si>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</si>
  <si>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</si>
  <si>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</si>
  <si>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</si>
  <si>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</si>
  <si>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</si>
  <si>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</si>
  <si>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</si>
  <si>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</si>
  <si>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</si>
  <si>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</si>
  <si>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</si>
  <si>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</si>
  <si>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</si>
  <si>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</si>
  <si>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</si>
  <si>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</si>
  <si>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</si>
  <si>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</si>
  <si>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</si>
  <si>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</si>
  <si>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</si>
  <si>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</si>
  <si>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</si>
  <si>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</si>
  <si>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</si>
  <si>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</si>
  <si>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</si>
  <si>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</si>
  <si>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</si>
  <si>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</si>
  <si>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</si>
  <si>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</si>
  <si>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</si>
  <si>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</si>
  <si>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</si>
  <si>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</si>
  <si>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</si>
  <si>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</si>
  <si>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</si>
  <si>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</si>
  <si>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</si>
  <si>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</si>
  <si>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</si>
  <si>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</si>
  <si>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</si>
  <si>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</si>
  <si>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</si>
  <si>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</si>
  <si>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</si>
  <si>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</si>
  <si>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</si>
  <si>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</si>
  <si>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</si>
  <si>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</si>
  <si>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</si>
  <si>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</si>
  <si>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Kalama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</si>
</sst>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10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2" sqref="A2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D9" sqref="D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Kalama Telephone Company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301715</v>
      </c>
      <c r="E9" s="56">
        <v>330403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159191</v>
      </c>
      <c r="E11" s="53">
        <v>81615</v>
      </c>
    </row>
    <row r="12" spans="1:5" x14ac:dyDescent="0.25">
      <c r="A12" s="11" t="s">
        <v>207</v>
      </c>
      <c r="B12" s="18" t="s">
        <v>239</v>
      </c>
      <c r="C12" s="11"/>
      <c r="D12" s="53">
        <v>656072</v>
      </c>
      <c r="E12" s="53">
        <v>417449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7005</v>
      </c>
      <c r="E14" s="53">
        <v>5352</v>
      </c>
    </row>
    <row r="15" spans="1:5" x14ac:dyDescent="0.25">
      <c r="A15" s="11" t="s">
        <v>209</v>
      </c>
      <c r="B15" s="18" t="s">
        <v>161</v>
      </c>
      <c r="C15" s="11"/>
      <c r="D15" s="53">
        <v>414386</v>
      </c>
      <c r="E15" s="53">
        <v>387648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940185</v>
      </c>
      <c r="E16" s="53">
        <v>963621</v>
      </c>
    </row>
    <row r="17" spans="1:5" x14ac:dyDescent="0.25">
      <c r="A17" s="11">
        <v>5</v>
      </c>
      <c r="B17" s="18" t="s">
        <v>228</v>
      </c>
      <c r="C17" s="11"/>
      <c r="D17" s="53">
        <v>95026</v>
      </c>
      <c r="E17" s="53">
        <v>201880</v>
      </c>
    </row>
    <row r="18" spans="1:5" x14ac:dyDescent="0.25">
      <c r="A18" s="11">
        <v>6</v>
      </c>
      <c r="B18" s="18" t="s">
        <v>184</v>
      </c>
      <c r="C18" s="12"/>
      <c r="D18" s="54"/>
      <c r="E18" s="54">
        <v>-99</v>
      </c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2573580</v>
      </c>
      <c r="E19" s="36">
        <f>E9+E11+E12+E14+E15+E16+E17+E18</f>
        <v>2387869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2573580</v>
      </c>
      <c r="E20" s="38">
        <f>IncomeStmtSummary!D10</f>
        <v>2387869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x14ac:dyDescent="0.25">
      <c r="A25" s="66"/>
      <c r="B25" s="66"/>
      <c r="C25" s="66"/>
      <c r="D25" s="66"/>
      <c r="E25" s="66"/>
    </row>
    <row r="26" spans="1:5" x14ac:dyDescent="0.25">
      <c r="A26" s="66"/>
      <c r="B26" s="66"/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opLeftCell="A6" zoomScaleNormal="100" workbookViewId="0">
      <selection activeCell="F19" sqref="F19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Kalama Telephone Company</v>
      </c>
      <c r="B3" s="67"/>
    </row>
    <row r="6" spans="1:5" x14ac:dyDescent="0.25">
      <c r="A6" s="10" t="s">
        <v>258</v>
      </c>
      <c r="B6" s="10" t="s">
        <v>263</v>
      </c>
      <c r="C6" s="7"/>
      <c r="D6" s="127" t="s">
        <v>222</v>
      </c>
      <c r="E6" s="128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zoomScaleNormal="100" workbookViewId="0">
      <selection activeCell="C19" sqref="C19"/>
    </sheetView>
  </sheetViews>
  <sheetFormatPr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Kalama Telephone Company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2874810</v>
      </c>
      <c r="D10" s="85">
        <f>C10</f>
        <v>2874810</v>
      </c>
    </row>
    <row r="11" spans="1:4" x14ac:dyDescent="0.25">
      <c r="A11" s="76">
        <v>2</v>
      </c>
      <c r="B11" s="81" t="s">
        <v>196</v>
      </c>
      <c r="C11" s="101">
        <f>'RateBase '!E15</f>
        <v>2335821</v>
      </c>
      <c r="D11" s="101">
        <f>C11</f>
        <v>2335821</v>
      </c>
    </row>
    <row r="12" spans="1:4" x14ac:dyDescent="0.25">
      <c r="A12" s="76">
        <v>3</v>
      </c>
      <c r="B12" s="96" t="s">
        <v>197</v>
      </c>
      <c r="C12" s="83">
        <f>(C10+C11)/2</f>
        <v>2605315.5</v>
      </c>
      <c r="D12" s="83">
        <f>(D10+D11)/2</f>
        <v>2605315.5</v>
      </c>
    </row>
    <row r="13" spans="1:4" x14ac:dyDescent="0.25">
      <c r="A13" s="76">
        <v>4</v>
      </c>
      <c r="B13" s="81" t="s">
        <v>198</v>
      </c>
      <c r="C13" s="59">
        <f>IncomeStmtSummary!D29</f>
        <v>-266511</v>
      </c>
      <c r="D13" s="59">
        <f>C13</f>
        <v>-266511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-266511</v>
      </c>
      <c r="D15" s="83">
        <f>D13+D14</f>
        <v>-266511</v>
      </c>
    </row>
    <row r="16" spans="1:4" x14ac:dyDescent="0.25">
      <c r="A16" s="76">
        <v>7</v>
      </c>
      <c r="B16" s="96" t="s">
        <v>199</v>
      </c>
      <c r="C16" s="84">
        <f>C15/C12</f>
        <v>-0.10229509631367104</v>
      </c>
      <c r="D16" s="84">
        <f>D15/D12</f>
        <v>-0.10229509631367104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20361099</v>
      </c>
      <c r="D19" s="80">
        <f>C19</f>
        <v>20361099</v>
      </c>
    </row>
    <row r="20" spans="1:7" x14ac:dyDescent="0.25">
      <c r="A20" s="76">
        <v>9</v>
      </c>
      <c r="B20" s="81" t="s">
        <v>204</v>
      </c>
      <c r="C20" s="86">
        <v>20456157</v>
      </c>
      <c r="D20" s="86">
        <f>C20</f>
        <v>20456157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20408628</v>
      </c>
      <c r="D21" s="83">
        <f t="shared" si="0"/>
        <v>20408628</v>
      </c>
    </row>
    <row r="22" spans="1:7" x14ac:dyDescent="0.25">
      <c r="A22" s="76">
        <v>11</v>
      </c>
      <c r="B22" s="81" t="s">
        <v>205</v>
      </c>
      <c r="C22" s="53">
        <v>95058</v>
      </c>
      <c r="D22" s="53">
        <f>C22</f>
        <v>95058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95058</v>
      </c>
      <c r="D24" s="83">
        <f>D22+D23</f>
        <v>95058</v>
      </c>
    </row>
    <row r="25" spans="1:7" x14ac:dyDescent="0.25">
      <c r="A25" s="93">
        <v>14</v>
      </c>
      <c r="B25" s="99" t="s">
        <v>201</v>
      </c>
      <c r="C25" s="87">
        <f>C24/C21</f>
        <v>4.6577359340373098E-3</v>
      </c>
      <c r="D25" s="87">
        <f>D24/D21</f>
        <v>4.6577359340373098E-3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G31" sqref="G3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1027268</v>
      </c>
      <c r="C10" s="55"/>
      <c r="D10" s="59">
        <f>SUM(B10:C10)</f>
        <v>1027268</v>
      </c>
      <c r="E10" s="18"/>
      <c r="F10" s="18" t="s">
        <v>78</v>
      </c>
      <c r="G10" s="53">
        <v>35311</v>
      </c>
      <c r="H10" s="55"/>
      <c r="I10" s="59">
        <f>SUM(G10:H10)</f>
        <v>35311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193300</v>
      </c>
      <c r="H14" s="55"/>
      <c r="I14" s="59">
        <f t="shared" si="0"/>
        <v>193300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32326</v>
      </c>
      <c r="C17" s="55"/>
      <c r="D17" s="59">
        <f>SUM(B17:C17)</f>
        <v>32326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>
        <v>288915</v>
      </c>
      <c r="C18" s="55"/>
      <c r="D18" s="59">
        <f t="shared" ref="D18:D24" si="2">SUM(B18:C18)</f>
        <v>288915</v>
      </c>
      <c r="E18" s="18"/>
      <c r="F18" s="18" t="s">
        <v>88</v>
      </c>
      <c r="G18" s="53">
        <v>16516</v>
      </c>
      <c r="H18" s="55"/>
      <c r="I18" s="59">
        <f t="shared" si="0"/>
        <v>16516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85990</v>
      </c>
      <c r="H19" s="120"/>
      <c r="I19" s="60">
        <f t="shared" si="0"/>
        <v>85990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331117</v>
      </c>
      <c r="H20" s="59">
        <f>SUM(H10:H19)</f>
        <v>0</v>
      </c>
      <c r="I20" s="59">
        <f t="shared" ref="I20" si="3">SUM(I10:I19)</f>
        <v>331117</v>
      </c>
    </row>
    <row r="21" spans="1:9" x14ac:dyDescent="0.25">
      <c r="A21" s="18" t="s">
        <v>49</v>
      </c>
      <c r="B21" s="53">
        <v>42517</v>
      </c>
      <c r="C21" s="55"/>
      <c r="D21" s="59">
        <f t="shared" si="2"/>
        <v>42517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>
        <v>617555</v>
      </c>
      <c r="H23" s="55"/>
      <c r="I23" s="59">
        <f t="shared" ref="I23:I31" si="4">SUM(G23:H23)</f>
        <v>617555</v>
      </c>
    </row>
    <row r="24" spans="1:9" x14ac:dyDescent="0.25">
      <c r="A24" s="18" t="s">
        <v>52</v>
      </c>
      <c r="B24" s="54">
        <v>39545</v>
      </c>
      <c r="C24" s="120"/>
      <c r="D24" s="60">
        <f t="shared" si="2"/>
        <v>39545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1430571</v>
      </c>
      <c r="C25" s="59">
        <f>C10+C11+C13+C14+C15+C17+C18+C19+C20+C21+C22+C23+C24</f>
        <v>0</v>
      </c>
      <c r="D25" s="59">
        <f t="shared" ref="D25" si="5">D10+D11+D13+D14+D15+D17+D18+D19+D20+D21+D22+D23+D24</f>
        <v>1430571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2603424</v>
      </c>
      <c r="H30" s="55"/>
      <c r="I30" s="59">
        <f t="shared" si="4"/>
        <v>2603424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3220979</v>
      </c>
      <c r="H32" s="59">
        <f>SUM(H22:H31)</f>
        <v>0</v>
      </c>
      <c r="I32" s="59">
        <f t="shared" ref="I32" si="6">SUM(I22:I31)</f>
        <v>3220979</v>
      </c>
    </row>
    <row r="33" spans="1:9" x14ac:dyDescent="0.25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/>
      <c r="C34" s="70">
        <f>-1*(C25+C29+C30+C32+C33+C35+C36+C37+C46)</f>
        <v>3335</v>
      </c>
      <c r="D34" s="59">
        <f t="shared" si="7"/>
        <v>3335</v>
      </c>
      <c r="E34" s="18"/>
      <c r="F34" s="18" t="s">
        <v>103</v>
      </c>
      <c r="G34" s="53"/>
      <c r="H34" s="55"/>
      <c r="I34" s="59">
        <f>SUM(G34:H34)</f>
        <v>0</v>
      </c>
    </row>
    <row r="35" spans="1:9" x14ac:dyDescent="0.25">
      <c r="A35" s="18" t="s">
        <v>62</v>
      </c>
      <c r="B35" s="53">
        <v>5379</v>
      </c>
      <c r="C35" s="55"/>
      <c r="D35" s="59">
        <f t="shared" si="7"/>
        <v>5379</v>
      </c>
      <c r="E35" s="18"/>
      <c r="F35" s="18" t="s">
        <v>147</v>
      </c>
      <c r="G35" s="53"/>
      <c r="H35" s="121"/>
      <c r="I35" s="59">
        <f t="shared" ref="I35:I36" si="8">SUM(G35:H35)</f>
        <v>0</v>
      </c>
    </row>
    <row r="36" spans="1:9" x14ac:dyDescent="0.25">
      <c r="A36" s="18" t="s">
        <v>63</v>
      </c>
      <c r="B36" s="53">
        <v>510396</v>
      </c>
      <c r="C36" s="55">
        <v>-973</v>
      </c>
      <c r="D36" s="59">
        <f t="shared" si="7"/>
        <v>509423</v>
      </c>
      <c r="E36" s="18"/>
      <c r="F36" s="18" t="s">
        <v>104</v>
      </c>
      <c r="G36" s="54"/>
      <c r="H36" s="120"/>
      <c r="I36" s="60">
        <f t="shared" si="8"/>
        <v>0</v>
      </c>
    </row>
    <row r="37" spans="1:9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9" x14ac:dyDescent="0.25">
      <c r="A38" s="18" t="s">
        <v>65</v>
      </c>
      <c r="B38" s="59">
        <f>B29+B30+B32+B33+B34+B35+B36+B37</f>
        <v>515775</v>
      </c>
      <c r="C38" s="59">
        <f>C29+C30+C32+C33+C34+C35+C36+C37</f>
        <v>2362</v>
      </c>
      <c r="D38" s="59">
        <f t="shared" ref="D38" si="10">D29+D30+D32+D33+D34+D35+D36+D37</f>
        <v>518137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59">
        <f>SUM(G39:H39)</f>
        <v>35000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9" x14ac:dyDescent="0.25">
      <c r="A41" s="18" t="s">
        <v>180</v>
      </c>
      <c r="B41" s="53">
        <v>17910928</v>
      </c>
      <c r="C41" s="53">
        <v>-34404</v>
      </c>
      <c r="D41" s="59">
        <f>SUM(B41:C41)</f>
        <v>17876524</v>
      </c>
      <c r="E41" s="18"/>
      <c r="F41" s="18" t="s">
        <v>109</v>
      </c>
      <c r="G41" s="53"/>
      <c r="H41" s="23"/>
      <c r="I41" s="59">
        <f t="shared" si="11"/>
        <v>0</v>
      </c>
    </row>
    <row r="42" spans="1:9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 x14ac:dyDescent="0.25">
      <c r="A43" s="18" t="s">
        <v>69</v>
      </c>
      <c r="B43" s="53">
        <v>85301</v>
      </c>
      <c r="C43" s="53"/>
      <c r="D43" s="59">
        <f t="shared" si="12"/>
        <v>85301</v>
      </c>
      <c r="E43" s="18"/>
      <c r="F43" s="18" t="s">
        <v>111</v>
      </c>
      <c r="G43" s="53"/>
      <c r="H43" s="23"/>
      <c r="I43" s="59">
        <f t="shared" si="11"/>
        <v>0</v>
      </c>
    </row>
    <row r="44" spans="1:9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 x14ac:dyDescent="0.25">
      <c r="A45" s="18" t="s">
        <v>121</v>
      </c>
      <c r="B45" s="54">
        <v>-15585604</v>
      </c>
      <c r="C45" s="54">
        <v>32042</v>
      </c>
      <c r="D45" s="60">
        <f t="shared" si="12"/>
        <v>-15553562</v>
      </c>
      <c r="E45" s="18"/>
      <c r="F45" s="18" t="s">
        <v>172</v>
      </c>
      <c r="G45" s="54">
        <v>769875</v>
      </c>
      <c r="H45" s="102">
        <f>-1*(H20+H32+H37)</f>
        <v>0</v>
      </c>
      <c r="I45" s="60">
        <f t="shared" si="11"/>
        <v>769875</v>
      </c>
    </row>
    <row r="46" spans="1:9" x14ac:dyDescent="0.25">
      <c r="A46" s="18" t="s">
        <v>71</v>
      </c>
      <c r="B46" s="59">
        <f>B41+B42+B43+B44+B45</f>
        <v>2410625</v>
      </c>
      <c r="C46" s="59">
        <f t="shared" ref="C46:D46" si="13">C41+C42+C43+C44+C45</f>
        <v>-2362</v>
      </c>
      <c r="D46" s="59">
        <f t="shared" si="13"/>
        <v>2408263</v>
      </c>
      <c r="E46" s="18"/>
      <c r="F46" s="18" t="s">
        <v>114</v>
      </c>
      <c r="G46" s="59">
        <f>SUM(G39:G45)</f>
        <v>804875</v>
      </c>
      <c r="H46" s="62">
        <f t="shared" ref="H46:I46" si="14">SUM(H39:H45)</f>
        <v>0</v>
      </c>
      <c r="I46" s="59">
        <f t="shared" si="14"/>
        <v>804875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4356971</v>
      </c>
      <c r="C48" s="61">
        <f t="shared" ref="C48:D48" si="15">C25+C38+C46</f>
        <v>0</v>
      </c>
      <c r="D48" s="61">
        <f t="shared" si="15"/>
        <v>4356971</v>
      </c>
      <c r="E48" s="18"/>
      <c r="F48" s="22" t="s">
        <v>115</v>
      </c>
      <c r="G48" s="61">
        <f>G20+G32+G37+G46</f>
        <v>4356971</v>
      </c>
      <c r="H48" s="61">
        <f t="shared" ref="H48:I48" si="16">H20+H32+H37+H46</f>
        <v>0</v>
      </c>
      <c r="I48" s="61">
        <f t="shared" si="16"/>
        <v>4356971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13" zoomScaleNormal="100" workbookViewId="0">
      <selection activeCell="C36" sqref="C3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Kalama Telephone Company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790080</v>
      </c>
      <c r="C10" s="55"/>
      <c r="D10" s="59">
        <f>SUM(B10:C10)</f>
        <v>790080</v>
      </c>
      <c r="E10" s="18"/>
      <c r="F10" s="18" t="s">
        <v>78</v>
      </c>
      <c r="G10" s="53">
        <v>61711</v>
      </c>
      <c r="H10" s="55"/>
      <c r="I10" s="59">
        <f>SUM(G10:H10)</f>
        <v>61711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/>
      <c r="H13" s="55"/>
      <c r="I13" s="59">
        <f t="shared" si="0"/>
        <v>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161233</v>
      </c>
      <c r="C17" s="55"/>
      <c r="D17" s="59">
        <f>SUM(B17:C17)</f>
        <v>161233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16168</v>
      </c>
      <c r="H18" s="55"/>
      <c r="I18" s="59">
        <f t="shared" si="0"/>
        <v>16168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186912</v>
      </c>
      <c r="H19" s="120"/>
      <c r="I19" s="60">
        <f t="shared" si="0"/>
        <v>186912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264791</v>
      </c>
      <c r="H20" s="59">
        <f>SUM(H10:H19)</f>
        <v>0</v>
      </c>
      <c r="I20" s="59">
        <f t="shared" ref="I20" si="3">SUM(I10:I19)</f>
        <v>264791</v>
      </c>
    </row>
    <row r="21" spans="1:9" x14ac:dyDescent="0.25">
      <c r="A21" s="18" t="s">
        <v>49</v>
      </c>
      <c r="B21" s="53">
        <v>42346</v>
      </c>
      <c r="C21" s="55"/>
      <c r="D21" s="59">
        <f t="shared" si="2"/>
        <v>42346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43327</v>
      </c>
      <c r="C24" s="120"/>
      <c r="D24" s="60">
        <f t="shared" si="2"/>
        <v>43327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1036986</v>
      </c>
      <c r="C25" s="59">
        <f>C10+C11+C13+C14+C15+C17+C18+C19+C20+C21+C22+C23+C24</f>
        <v>0</v>
      </c>
      <c r="D25" s="59">
        <f t="shared" ref="D25" si="5">D10+D11+D13+D14+D15+D17+D18+D19+D20+D21+D22+D23+D24</f>
        <v>1036986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>
        <v>2809877</v>
      </c>
      <c r="H30" s="55"/>
      <c r="I30" s="59">
        <f t="shared" si="4"/>
        <v>2809877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2809877</v>
      </c>
      <c r="H32" s="59">
        <f>SUM(H22:H31)</f>
        <v>0</v>
      </c>
      <c r="I32" s="59">
        <f t="shared" ref="I32" si="6">SUM(I22:I31)</f>
        <v>2809877</v>
      </c>
    </row>
    <row r="33" spans="1:11" x14ac:dyDescent="0.25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/>
      <c r="C34" s="70">
        <f>-1*(C25+C29+C30+C32+C33+C35+C36+C37+C46)</f>
        <v>4744</v>
      </c>
      <c r="D34" s="59">
        <f t="shared" si="7"/>
        <v>4744</v>
      </c>
      <c r="E34" s="18"/>
      <c r="F34" s="18" t="s">
        <v>103</v>
      </c>
      <c r="G34" s="53"/>
      <c r="H34" s="55"/>
      <c r="I34" s="59">
        <f>SUM(G34:H34)</f>
        <v>0</v>
      </c>
    </row>
    <row r="35" spans="1:11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/>
      <c r="H35" s="121"/>
      <c r="I35" s="59">
        <f t="shared" ref="I35:I36" si="8">SUM(G35:H35)</f>
        <v>0</v>
      </c>
    </row>
    <row r="36" spans="1:11" x14ac:dyDescent="0.25">
      <c r="A36" s="18" t="s">
        <v>63</v>
      </c>
      <c r="B36" s="53">
        <v>601189</v>
      </c>
      <c r="C36" s="55">
        <f>-27-1311</f>
        <v>-1338</v>
      </c>
      <c r="D36" s="59">
        <f t="shared" si="7"/>
        <v>599851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0</v>
      </c>
      <c r="H37" s="59">
        <f t="shared" ref="H37:I37" si="9">SUM(H34:H36)</f>
        <v>0</v>
      </c>
      <c r="I37" s="59">
        <f t="shared" si="9"/>
        <v>0</v>
      </c>
    </row>
    <row r="38" spans="1:11" x14ac:dyDescent="0.25">
      <c r="A38" s="18" t="s">
        <v>65</v>
      </c>
      <c r="B38" s="59">
        <f>B29+B30+B32+B33+B34+B35+B36+B37</f>
        <v>601189</v>
      </c>
      <c r="C38" s="59">
        <f>C29+C30+C32+C33+C34+C35+C36+C37</f>
        <v>3406</v>
      </c>
      <c r="D38" s="59">
        <f t="shared" ref="D38" si="10">D29+D30+D32+D33+D34+D35+D36+D37</f>
        <v>604595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59">
        <f>SUM(G39:H39)</f>
        <v>35000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 x14ac:dyDescent="0.25">
      <c r="A41" s="18" t="s">
        <v>180</v>
      </c>
      <c r="B41" s="53">
        <v>18263610</v>
      </c>
      <c r="C41" s="53">
        <v>-40206</v>
      </c>
      <c r="D41" s="59">
        <f>SUM(B41:C41)</f>
        <v>18223404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>
        <v>144836</v>
      </c>
      <c r="C43" s="53"/>
      <c r="D43" s="59">
        <f t="shared" si="12"/>
        <v>144836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-16566580</v>
      </c>
      <c r="C45" s="54">
        <v>36800</v>
      </c>
      <c r="D45" s="60">
        <f t="shared" si="12"/>
        <v>-16529780</v>
      </c>
      <c r="E45" s="18"/>
      <c r="F45" s="18" t="s">
        <v>172</v>
      </c>
      <c r="G45" s="54">
        <v>370373</v>
      </c>
      <c r="H45" s="102">
        <f>-1*(H20+H32+H37)</f>
        <v>0</v>
      </c>
      <c r="I45" s="60">
        <f t="shared" si="11"/>
        <v>370373</v>
      </c>
    </row>
    <row r="46" spans="1:11" x14ac:dyDescent="0.25">
      <c r="A46" s="18" t="s">
        <v>71</v>
      </c>
      <c r="B46" s="59">
        <f>B41+B42+B43+B44+B45</f>
        <v>1841866</v>
      </c>
      <c r="C46" s="59">
        <f t="shared" ref="C46:D46" si="13">C41+C42+C43+C44+C45</f>
        <v>-3406</v>
      </c>
      <c r="D46" s="59">
        <f t="shared" si="13"/>
        <v>1838460</v>
      </c>
      <c r="E46" s="18"/>
      <c r="F46" s="18" t="s">
        <v>114</v>
      </c>
      <c r="G46" s="59">
        <f>SUM(G39:G45)</f>
        <v>405373</v>
      </c>
      <c r="H46" s="62">
        <f t="shared" ref="H46:I46" si="14">SUM(H39:H45)</f>
        <v>0</v>
      </c>
      <c r="I46" s="59">
        <f t="shared" si="14"/>
        <v>405373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3480041</v>
      </c>
      <c r="C48" s="61">
        <f t="shared" ref="C48:D48" si="15">C25+C38+C46</f>
        <v>0</v>
      </c>
      <c r="D48" s="61">
        <f t="shared" si="15"/>
        <v>3480041</v>
      </c>
      <c r="E48" s="18"/>
      <c r="F48" s="22" t="s">
        <v>115</v>
      </c>
      <c r="G48" s="61">
        <f>G20+G32+G37+G46</f>
        <v>3480041</v>
      </c>
      <c r="H48" s="61">
        <f t="shared" ref="H48:I48" si="16">H20+H32+H37+H46</f>
        <v>0</v>
      </c>
      <c r="I48" s="61">
        <f t="shared" si="16"/>
        <v>3480041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Kalama Telephone Company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F19" sqref="F1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Kalama Telephone Company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1027268</v>
      </c>
      <c r="C10" s="33">
        <f>'CurrentYearBalanceSheet '!D10</f>
        <v>790080</v>
      </c>
      <c r="D10" s="18"/>
      <c r="E10" s="18" t="s">
        <v>78</v>
      </c>
      <c r="F10" s="33">
        <f>PriorYearBalanceSheet!I10</f>
        <v>35311</v>
      </c>
      <c r="G10" s="33">
        <f>'CurrentYearBalanceSheet '!I10</f>
        <v>61711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193300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32326</v>
      </c>
      <c r="C17" s="33">
        <f>'CurrentYearBalanceSheet '!D17</f>
        <v>161233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288915</v>
      </c>
      <c r="C18" s="33">
        <f>'CurrentYearBalanceSheet '!D18</f>
        <v>0</v>
      </c>
      <c r="D18" s="18"/>
      <c r="E18" s="18" t="s">
        <v>88</v>
      </c>
      <c r="F18" s="33">
        <f>PriorYearBalanceSheet!I18</f>
        <v>16516</v>
      </c>
      <c r="G18" s="33">
        <f>'CurrentYearBalanceSheet '!I18</f>
        <v>16168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85990</v>
      </c>
      <c r="G19" s="33">
        <f>'CurrentYearBalanceSheet '!I19</f>
        <v>186912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331117</v>
      </c>
      <c r="G20" s="36">
        <f>SUM(G10:G19)</f>
        <v>264791</v>
      </c>
    </row>
    <row r="21" spans="1:7" x14ac:dyDescent="0.25">
      <c r="A21" s="18" t="s">
        <v>49</v>
      </c>
      <c r="B21" s="33">
        <f>PriorYearBalanceSheet!D21</f>
        <v>42517</v>
      </c>
      <c r="C21" s="33">
        <f>'CurrentYearBalanceSheet '!D21</f>
        <v>42346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617555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39545</v>
      </c>
      <c r="C24" s="34">
        <f>'CurrentYearBalanceSheet '!D24</f>
        <v>43327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1430571</v>
      </c>
      <c r="C25" s="33">
        <f>C10+C11+C13+C14+C15+C17+C18+C19+C20+C21+C22+C23+C24</f>
        <v>1036986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2603424</v>
      </c>
      <c r="G30" s="33">
        <f>'CurrentYearBalanceSheet '!I30</f>
        <v>2809877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3220979</v>
      </c>
      <c r="G32" s="33">
        <f>SUM(G22:G31)</f>
        <v>2809877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3335</v>
      </c>
      <c r="C34" s="33">
        <f>'CurrentYearBalanceSheet '!D34</f>
        <v>4744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5379</v>
      </c>
      <c r="C35" s="33">
        <f>'CurrentYearBalanceSheet '!D35</f>
        <v>0</v>
      </c>
      <c r="D35" s="18"/>
      <c r="E35" s="18" t="s">
        <v>212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509423</v>
      </c>
      <c r="C36" s="33">
        <f>'CurrentYearBalanceSheet '!D36</f>
        <v>599851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 x14ac:dyDescent="0.25">
      <c r="A38" s="18" t="s">
        <v>65</v>
      </c>
      <c r="B38" s="33">
        <f>B29+B30+B32+B33+B34+B35+B36+B37</f>
        <v>518137</v>
      </c>
      <c r="C38" s="33">
        <f>C29+C30+C32+C33+C34+C35+C36+C37</f>
        <v>604595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35000</v>
      </c>
      <c r="G39" s="33">
        <f>'CurrentYearBalanceSheet '!I39</f>
        <v>35000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17876524</v>
      </c>
      <c r="C41" s="33">
        <f>'CurrentYearBalanceSheet '!D41</f>
        <v>18223404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85301</v>
      </c>
      <c r="C43" s="33">
        <f>'CurrentYearBalanceSheet '!D43</f>
        <v>144836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-15553562</v>
      </c>
      <c r="C45" s="34">
        <f>'CurrentYearBalanceSheet '!D45</f>
        <v>-16529780</v>
      </c>
      <c r="D45" s="18"/>
      <c r="E45" s="18" t="s">
        <v>113</v>
      </c>
      <c r="F45" s="34">
        <f>PriorYearBalanceSheet!I45</f>
        <v>769875</v>
      </c>
      <c r="G45" s="34">
        <f>'CurrentYearBalanceSheet '!I45</f>
        <v>370373</v>
      </c>
    </row>
    <row r="46" spans="1:7" x14ac:dyDescent="0.25">
      <c r="A46" s="18" t="s">
        <v>71</v>
      </c>
      <c r="B46" s="33">
        <f>SUM(B41:B45)</f>
        <v>2408263</v>
      </c>
      <c r="C46" s="33">
        <f>SUM(C41:C45)</f>
        <v>1838460</v>
      </c>
      <c r="D46" s="18"/>
      <c r="E46" s="18" t="s">
        <v>114</v>
      </c>
      <c r="F46" s="33">
        <f>SUM(F39:F45)</f>
        <v>804875</v>
      </c>
      <c r="G46" s="33">
        <f>SUM(G39:G45)</f>
        <v>405373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4356971</v>
      </c>
      <c r="C48" s="35">
        <f>C25+C38+C46</f>
        <v>3480041</v>
      </c>
      <c r="D48" s="18"/>
      <c r="E48" s="22" t="s">
        <v>115</v>
      </c>
      <c r="F48" s="35">
        <f>F20+F32+F37+F46</f>
        <v>4356971</v>
      </c>
      <c r="G48" s="35">
        <f>G20+G32+G37+G46</f>
        <v>3480041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6" sqref="E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Kalama Telephone Company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17876524</v>
      </c>
      <c r="E10" s="59">
        <f>'BalanceSheet(Summary)'!C41</f>
        <v>18223404</v>
      </c>
      <c r="F10" s="59">
        <f>(D10+E10)/2</f>
        <v>18049964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-15553562</v>
      </c>
      <c r="E12" s="59">
        <f>'BalanceSheet(Summary)'!C45</f>
        <v>-16529780</v>
      </c>
      <c r="F12" s="59">
        <f t="shared" ref="F12:F15" si="0">(D12+E12)/2</f>
        <v>-16041671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42517</v>
      </c>
      <c r="E13" s="59">
        <f>'BalanceSheet(Summary)'!C21</f>
        <v>42346</v>
      </c>
      <c r="F13" s="59">
        <f t="shared" si="0"/>
        <v>42431.5</v>
      </c>
    </row>
    <row r="14" spans="1:6" x14ac:dyDescent="0.25">
      <c r="A14" s="11">
        <v>5</v>
      </c>
      <c r="B14" s="18" t="s">
        <v>130</v>
      </c>
      <c r="C14" s="20"/>
      <c r="D14" s="53">
        <v>509331</v>
      </c>
      <c r="E14" s="53">
        <v>599851</v>
      </c>
      <c r="F14" s="59">
        <f t="shared" si="0"/>
        <v>554591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2874810</v>
      </c>
      <c r="E15" s="63">
        <f>SUM(E10:E14)</f>
        <v>2335821</v>
      </c>
      <c r="F15" s="64">
        <f t="shared" si="0"/>
        <v>2605315.5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Kalama Telephone Company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1734</v>
      </c>
      <c r="D10" s="53">
        <v>1713</v>
      </c>
      <c r="E10" s="33">
        <f>D10-C10</f>
        <v>-21</v>
      </c>
      <c r="F10" s="39">
        <f>E10/C10</f>
        <v>-1.2110726643598616E-2</v>
      </c>
    </row>
    <row r="11" spans="1:6" x14ac:dyDescent="0.25">
      <c r="A11" s="11">
        <v>2</v>
      </c>
      <c r="B11" s="20" t="s">
        <v>138</v>
      </c>
      <c r="C11" s="53">
        <v>518</v>
      </c>
      <c r="D11" s="53">
        <v>518</v>
      </c>
      <c r="E11" s="33">
        <f>D11-C11</f>
        <v>0</v>
      </c>
      <c r="F11" s="39">
        <f t="shared" ref="F11:F12" si="0">E11/C11</f>
        <v>0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2252</v>
      </c>
      <c r="D12" s="35">
        <f t="shared" ref="D12:E12" si="1">SUM(D10:D11)</f>
        <v>2231</v>
      </c>
      <c r="E12" s="35">
        <f t="shared" si="1"/>
        <v>-21</v>
      </c>
      <c r="F12" s="40">
        <f t="shared" si="0"/>
        <v>-9.3250444049733563E-3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40" zoomScaleNormal="100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Kalama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529241</v>
      </c>
      <c r="D9" s="53"/>
      <c r="E9" s="59">
        <f>SUM(C9:D9)</f>
        <v>529241</v>
      </c>
    </row>
    <row r="10" spans="1:6" x14ac:dyDescent="0.25">
      <c r="A10" s="11">
        <v>2</v>
      </c>
      <c r="B10" s="15" t="s">
        <v>2</v>
      </c>
      <c r="C10" s="53">
        <v>2573580</v>
      </c>
      <c r="D10" s="53"/>
      <c r="E10" s="59">
        <f t="shared" ref="E10:E14" si="0">SUM(C10:D10)</f>
        <v>2573580</v>
      </c>
    </row>
    <row r="11" spans="1:6" x14ac:dyDescent="0.25">
      <c r="A11" s="11">
        <v>3</v>
      </c>
      <c r="B11" s="15" t="s">
        <v>3</v>
      </c>
      <c r="C11" s="53"/>
      <c r="D11" s="53"/>
      <c r="E11" s="59">
        <f t="shared" si="0"/>
        <v>0</v>
      </c>
    </row>
    <row r="12" spans="1:6" x14ac:dyDescent="0.25">
      <c r="A12" s="11">
        <v>4</v>
      </c>
      <c r="B12" s="15" t="s">
        <v>4</v>
      </c>
      <c r="C12" s="53">
        <v>12540</v>
      </c>
      <c r="D12" s="53"/>
      <c r="E12" s="59">
        <f t="shared" si="0"/>
        <v>12540</v>
      </c>
    </row>
    <row r="13" spans="1:6" x14ac:dyDescent="0.25">
      <c r="A13" s="11">
        <v>5</v>
      </c>
      <c r="B13" s="15" t="s">
        <v>5</v>
      </c>
      <c r="C13" s="53">
        <v>33979</v>
      </c>
      <c r="D13" s="53"/>
      <c r="E13" s="59">
        <f t="shared" si="0"/>
        <v>33979</v>
      </c>
    </row>
    <row r="14" spans="1:6" x14ac:dyDescent="0.25">
      <c r="A14" s="11">
        <v>6</v>
      </c>
      <c r="B14" s="15" t="s">
        <v>152</v>
      </c>
      <c r="C14" s="53">
        <v>-4183</v>
      </c>
      <c r="D14" s="53"/>
      <c r="E14" s="59">
        <f t="shared" si="0"/>
        <v>-4183</v>
      </c>
    </row>
    <row r="15" spans="1:6" x14ac:dyDescent="0.25">
      <c r="A15" s="11">
        <v>7</v>
      </c>
      <c r="B15" s="95" t="s">
        <v>151</v>
      </c>
      <c r="C15" s="104">
        <f>SUM(C9:C14)</f>
        <v>3145157</v>
      </c>
      <c r="D15" s="104">
        <f t="shared" ref="D15:E15" si="1">SUM(D9:D14)</f>
        <v>0</v>
      </c>
      <c r="E15" s="104">
        <f t="shared" si="1"/>
        <v>3145157</v>
      </c>
      <c r="F15" s="1"/>
    </row>
    <row r="16" spans="1:6" x14ac:dyDescent="0.25">
      <c r="A16" s="11">
        <v>8</v>
      </c>
      <c r="B16" s="15" t="s">
        <v>6</v>
      </c>
      <c r="C16" s="53">
        <v>1017579</v>
      </c>
      <c r="D16" s="53">
        <v>-8766</v>
      </c>
      <c r="E16" s="42">
        <f>SUM(C16:D16)</f>
        <v>1008813</v>
      </c>
    </row>
    <row r="17" spans="1:6" x14ac:dyDescent="0.25">
      <c r="A17" s="11">
        <v>9</v>
      </c>
      <c r="B17" s="15" t="s">
        <v>40</v>
      </c>
      <c r="C17" s="53">
        <v>580629</v>
      </c>
      <c r="D17" s="53"/>
      <c r="E17" s="42">
        <f t="shared" ref="E17:E21" si="2">SUM(C17:D17)</f>
        <v>580629</v>
      </c>
    </row>
    <row r="18" spans="1:6" x14ac:dyDescent="0.25">
      <c r="A18" s="11">
        <v>10</v>
      </c>
      <c r="B18" s="15" t="s">
        <v>7</v>
      </c>
      <c r="C18" s="53">
        <v>1105895</v>
      </c>
      <c r="D18" s="53">
        <v>-1542</v>
      </c>
      <c r="E18" s="42">
        <f t="shared" si="2"/>
        <v>1104353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234006</v>
      </c>
      <c r="D20" s="53">
        <v>-3136</v>
      </c>
      <c r="E20" s="42">
        <f t="shared" si="2"/>
        <v>230870</v>
      </c>
    </row>
    <row r="21" spans="1:6" x14ac:dyDescent="0.25">
      <c r="A21" s="11">
        <v>13</v>
      </c>
      <c r="B21" s="15" t="s">
        <v>10</v>
      </c>
      <c r="C21" s="53">
        <v>594132</v>
      </c>
      <c r="D21" s="53">
        <v>-5266</v>
      </c>
      <c r="E21" s="42">
        <f t="shared" si="2"/>
        <v>588866</v>
      </c>
    </row>
    <row r="22" spans="1:6" x14ac:dyDescent="0.25">
      <c r="A22" s="11">
        <v>14</v>
      </c>
      <c r="B22" s="90" t="s">
        <v>150</v>
      </c>
      <c r="C22" s="104">
        <f>C16+C17+C18+C19+C20+C21</f>
        <v>3532241</v>
      </c>
      <c r="D22" s="104">
        <f>D16+D17+D18+D19+D20+D21</f>
        <v>-18710</v>
      </c>
      <c r="E22" s="105">
        <f>E16+E17+E18+E19+E20+E21</f>
        <v>3513531</v>
      </c>
      <c r="F22" s="1"/>
    </row>
    <row r="23" spans="1:6" x14ac:dyDescent="0.25">
      <c r="A23" s="11">
        <v>15</v>
      </c>
      <c r="B23" s="15" t="s">
        <v>14</v>
      </c>
      <c r="C23" s="59">
        <f>C15-C22</f>
        <v>-387084</v>
      </c>
      <c r="D23" s="59">
        <f>D15-D22</f>
        <v>18710</v>
      </c>
      <c r="E23" s="59">
        <f>E15-E22</f>
        <v>-368374</v>
      </c>
    </row>
    <row r="24" spans="1:6" x14ac:dyDescent="0.25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>
        <v>86455</v>
      </c>
      <c r="D25" s="53">
        <v>-132</v>
      </c>
      <c r="E25" s="59">
        <f t="shared" ref="E25:E27" si="3">SUM(C25:D25)</f>
        <v>86323</v>
      </c>
    </row>
    <row r="26" spans="1:6" x14ac:dyDescent="0.25">
      <c r="A26" s="11">
        <v>18</v>
      </c>
      <c r="B26" s="15" t="s">
        <v>229</v>
      </c>
      <c r="C26" s="53">
        <v>-169076</v>
      </c>
      <c r="D26" s="125">
        <f>5777+178</f>
        <v>5955</v>
      </c>
      <c r="E26" s="59">
        <f t="shared" si="3"/>
        <v>-163121</v>
      </c>
    </row>
    <row r="27" spans="1:6" x14ac:dyDescent="0.25">
      <c r="A27" s="11">
        <v>19</v>
      </c>
      <c r="B27" s="15" t="s">
        <v>13</v>
      </c>
      <c r="C27" s="53"/>
      <c r="D27" s="121"/>
      <c r="E27" s="59">
        <f t="shared" si="3"/>
        <v>0</v>
      </c>
    </row>
    <row r="28" spans="1:6" x14ac:dyDescent="0.25">
      <c r="A28" s="11">
        <v>20</v>
      </c>
      <c r="B28" s="95" t="s">
        <v>12</v>
      </c>
      <c r="C28" s="83">
        <f>SUM(C25:C27)</f>
        <v>-82621</v>
      </c>
      <c r="D28" s="83">
        <f t="shared" ref="D28:E28" si="4">SUM(D25:D27)</f>
        <v>5823</v>
      </c>
      <c r="E28" s="106">
        <f t="shared" si="4"/>
        <v>-76798</v>
      </c>
    </row>
    <row r="29" spans="1:6" x14ac:dyDescent="0.25">
      <c r="A29" s="11">
        <v>21</v>
      </c>
      <c r="B29" s="95" t="s">
        <v>23</v>
      </c>
      <c r="C29" s="83">
        <f>C23+C24-C28</f>
        <v>-304463</v>
      </c>
      <c r="D29" s="83">
        <f>D23+D24-D28</f>
        <v>12887</v>
      </c>
      <c r="E29" s="106">
        <f>E23+E24-E28</f>
        <v>-291576</v>
      </c>
    </row>
    <row r="30" spans="1:6" x14ac:dyDescent="0.25">
      <c r="A30" s="11">
        <v>22</v>
      </c>
      <c r="B30" s="15" t="s">
        <v>15</v>
      </c>
      <c r="C30" s="53">
        <v>58993</v>
      </c>
      <c r="D30" s="126">
        <v>-88</v>
      </c>
      <c r="E30" s="59">
        <f>SUM(C30:D30)</f>
        <v>58905</v>
      </c>
    </row>
    <row r="31" spans="1:6" x14ac:dyDescent="0.25">
      <c r="A31" s="11">
        <v>23</v>
      </c>
      <c r="B31" s="15" t="s">
        <v>16</v>
      </c>
      <c r="C31" s="53"/>
      <c r="D31" s="126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1344</v>
      </c>
      <c r="D32" s="126"/>
      <c r="E32" s="59">
        <f t="shared" si="5"/>
        <v>1344</v>
      </c>
    </row>
    <row r="33" spans="1:10" x14ac:dyDescent="0.25">
      <c r="A33" s="11">
        <v>25</v>
      </c>
      <c r="B33" s="15" t="s">
        <v>167</v>
      </c>
      <c r="C33" s="53"/>
      <c r="D33" s="126"/>
      <c r="E33" s="60">
        <f t="shared" si="5"/>
        <v>0</v>
      </c>
    </row>
    <row r="34" spans="1:10" x14ac:dyDescent="0.25">
      <c r="A34" s="11">
        <v>26</v>
      </c>
      <c r="B34" s="95" t="s">
        <v>18</v>
      </c>
      <c r="C34" s="83">
        <f>SUM(C30:C33)</f>
        <v>60337</v>
      </c>
      <c r="D34" s="107">
        <f t="shared" ref="D34" si="6">SUM(D30:D33)</f>
        <v>-88</v>
      </c>
      <c r="E34" s="83">
        <f>SUM(E30:E33)</f>
        <v>60249</v>
      </c>
    </row>
    <row r="35" spans="1:10" x14ac:dyDescent="0.25">
      <c r="A35" s="11">
        <v>27</v>
      </c>
      <c r="B35" s="15" t="s">
        <v>19</v>
      </c>
      <c r="C35" s="53">
        <v>8263</v>
      </c>
      <c r="D35" s="55"/>
      <c r="E35" s="33">
        <f>SUM(C35:D35)</f>
        <v>8263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24264</v>
      </c>
      <c r="D38" s="70">
        <f>-1*(D29-D34)</f>
        <v>-12975</v>
      </c>
      <c r="E38" s="33">
        <f t="shared" si="7"/>
        <v>11289</v>
      </c>
    </row>
    <row r="39" spans="1:10" x14ac:dyDescent="0.25">
      <c r="A39" s="11">
        <v>31</v>
      </c>
      <c r="B39" s="95" t="s">
        <v>22</v>
      </c>
      <c r="C39" s="83">
        <f>C29-C34+C35+C36+C37+C38</f>
        <v>-332273</v>
      </c>
      <c r="D39" s="83">
        <f t="shared" ref="D39:E39" si="8">D29-D34+D35+D36+D37+D38</f>
        <v>0</v>
      </c>
      <c r="E39" s="83">
        <f t="shared" si="8"/>
        <v>-332273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1102148</v>
      </c>
      <c r="D41" s="55"/>
      <c r="E41" s="59">
        <f t="shared" ref="E41:E46" si="9">SUM(C41:D41)</f>
        <v>1102148</v>
      </c>
    </row>
    <row r="42" spans="1:10" x14ac:dyDescent="0.25">
      <c r="A42" s="11">
        <v>34</v>
      </c>
      <c r="B42" s="15" t="s">
        <v>26</v>
      </c>
      <c r="C42" s="53"/>
      <c r="D42" s="55"/>
      <c r="E42" s="59">
        <f t="shared" si="9"/>
        <v>0</v>
      </c>
    </row>
    <row r="43" spans="1:10" x14ac:dyDescent="0.25">
      <c r="A43" s="11">
        <v>35</v>
      </c>
      <c r="B43" s="15" t="s">
        <v>27</v>
      </c>
      <c r="C43" s="53"/>
      <c r="D43" s="55"/>
      <c r="E43" s="59">
        <f t="shared" si="9"/>
        <v>0</v>
      </c>
    </row>
    <row r="44" spans="1:10" x14ac:dyDescent="0.25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769875</v>
      </c>
      <c r="D47" s="107">
        <f t="shared" ref="D47:E47" si="10">(D39+D41+D42)-(D43+D44+D45+D46)</f>
        <v>0</v>
      </c>
      <c r="E47" s="106">
        <f t="shared" si="10"/>
        <v>769875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240484</v>
      </c>
      <c r="D52" s="109"/>
      <c r="E52" s="33">
        <f>C52</f>
        <v>240484</v>
      </c>
    </row>
    <row r="53" spans="1:7" x14ac:dyDescent="0.25">
      <c r="A53" s="11">
        <v>45</v>
      </c>
      <c r="B53" s="15" t="s">
        <v>36</v>
      </c>
      <c r="C53" s="110">
        <f>((C22+C28-C18-C19)/C15)</f>
        <v>0.74518537548364039</v>
      </c>
      <c r="D53" s="110" t="e">
        <f>((D22+D28-D18-D19)/D15)</f>
        <v>#DIV/0!</v>
      </c>
      <c r="E53" s="110">
        <f>((E22+E28-E18-E19)/E15)</f>
        <v>0.74157824235801262</v>
      </c>
    </row>
    <row r="54" spans="1:7" x14ac:dyDescent="0.25">
      <c r="A54" s="11">
        <v>46</v>
      </c>
      <c r="B54" s="15" t="s">
        <v>37</v>
      </c>
      <c r="C54" s="110">
        <f>((C22+C28+C34)/C15)</f>
        <v>1.1159878505270167</v>
      </c>
      <c r="D54" s="110" t="e">
        <f>((D22+D28+D34)/D15)</f>
        <v>#DIV/0!</v>
      </c>
      <c r="E54" s="110">
        <f>((E22+E28+E34)/E15)</f>
        <v>1.1118624602841767</v>
      </c>
    </row>
    <row r="55" spans="1:7" x14ac:dyDescent="0.25">
      <c r="A55" s="11">
        <v>47</v>
      </c>
      <c r="B55" s="15" t="s">
        <v>38</v>
      </c>
      <c r="C55" s="110">
        <f>((C39+C34)/C34)</f>
        <v>-4.5069526161393503</v>
      </c>
      <c r="D55" s="110">
        <f t="shared" ref="D55:E55" si="13">((D39+D34)/D34)</f>
        <v>1</v>
      </c>
      <c r="E55" s="110">
        <f t="shared" si="13"/>
        <v>-4.5149960995203235</v>
      </c>
    </row>
    <row r="56" spans="1:7" x14ac:dyDescent="0.25">
      <c r="A56" s="11">
        <v>48</v>
      </c>
      <c r="B56" s="15" t="s">
        <v>39</v>
      </c>
      <c r="C56" s="110">
        <f>(C39+C34+C18+C19)/C52</f>
        <v>3.467835698009015</v>
      </c>
      <c r="D56" s="110" t="e">
        <f>(D39+D34+D18+D19)/D52</f>
        <v>#DIV/0!</v>
      </c>
      <c r="E56" s="110">
        <f>(E39+E34+E18+E19)/E52</f>
        <v>3.4610577003043863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25" zoomScaleNormal="100" workbookViewId="0">
      <selection activeCell="C38" sqref="C3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Kalama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551609</v>
      </c>
      <c r="D9" s="53"/>
      <c r="E9" s="33">
        <f>SUM(C9:D9)</f>
        <v>551609</v>
      </c>
    </row>
    <row r="10" spans="1:6" x14ac:dyDescent="0.25">
      <c r="A10" s="11">
        <v>2</v>
      </c>
      <c r="B10" s="18" t="s">
        <v>2</v>
      </c>
      <c r="C10" s="53">
        <v>2387869</v>
      </c>
      <c r="D10" s="53"/>
      <c r="E10" s="33">
        <f t="shared" ref="E10:E14" si="0">SUM(C10:D10)</f>
        <v>2387869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f>4063+8406</f>
        <v>12469</v>
      </c>
      <c r="D12" s="53"/>
      <c r="E12" s="33">
        <f t="shared" si="0"/>
        <v>12469</v>
      </c>
    </row>
    <row r="13" spans="1:6" x14ac:dyDescent="0.25">
      <c r="A13" s="11">
        <v>5</v>
      </c>
      <c r="B13" s="18" t="s">
        <v>5</v>
      </c>
      <c r="C13" s="53">
        <f>45437-4063-8406</f>
        <v>32968</v>
      </c>
      <c r="D13" s="53"/>
      <c r="E13" s="33">
        <f t="shared" si="0"/>
        <v>32968</v>
      </c>
    </row>
    <row r="14" spans="1:6" x14ac:dyDescent="0.25">
      <c r="A14" s="11">
        <v>6</v>
      </c>
      <c r="B14" s="18" t="s">
        <v>152</v>
      </c>
      <c r="C14" s="53">
        <v>-2471</v>
      </c>
      <c r="D14" s="53"/>
      <c r="E14" s="33">
        <f t="shared" si="0"/>
        <v>-2471</v>
      </c>
    </row>
    <row r="15" spans="1:6" x14ac:dyDescent="0.25">
      <c r="A15" s="11">
        <v>7</v>
      </c>
      <c r="B15" s="90" t="s">
        <v>151</v>
      </c>
      <c r="C15" s="41">
        <f>SUM(C9:C14)</f>
        <v>2982444</v>
      </c>
      <c r="D15" s="41">
        <f t="shared" ref="D15:E15" si="1">SUM(D9:D14)</f>
        <v>0</v>
      </c>
      <c r="E15" s="41">
        <f t="shared" si="1"/>
        <v>2982444</v>
      </c>
      <c r="F15" s="1"/>
    </row>
    <row r="16" spans="1:6" x14ac:dyDescent="0.25">
      <c r="A16" s="11">
        <v>8</v>
      </c>
      <c r="B16" s="18" t="s">
        <v>6</v>
      </c>
      <c r="C16" s="53">
        <v>964939</v>
      </c>
      <c r="D16" s="53">
        <v>-8553</v>
      </c>
      <c r="E16" s="42">
        <f>SUM(C16:D16)</f>
        <v>956386</v>
      </c>
    </row>
    <row r="17" spans="1:6" x14ac:dyDescent="0.25">
      <c r="A17" s="11">
        <v>9</v>
      </c>
      <c r="B17" s="18" t="s">
        <v>40</v>
      </c>
      <c r="C17" s="53">
        <v>593422</v>
      </c>
      <c r="D17" s="53"/>
      <c r="E17" s="42">
        <f t="shared" ref="E17:E21" si="2">SUM(C17:D17)</f>
        <v>593422</v>
      </c>
    </row>
    <row r="18" spans="1:6" x14ac:dyDescent="0.25">
      <c r="A18" s="11">
        <v>10</v>
      </c>
      <c r="B18" s="18" t="s">
        <v>7</v>
      </c>
      <c r="C18" s="53">
        <v>1058748</v>
      </c>
      <c r="D18" s="53">
        <v>-954</v>
      </c>
      <c r="E18" s="42">
        <f t="shared" si="2"/>
        <v>1057794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211196</v>
      </c>
      <c r="D20" s="53">
        <v>-4311</v>
      </c>
      <c r="E20" s="42">
        <f t="shared" si="2"/>
        <v>206885</v>
      </c>
    </row>
    <row r="21" spans="1:6" x14ac:dyDescent="0.25">
      <c r="A21" s="11">
        <v>13</v>
      </c>
      <c r="B21" s="18" t="s">
        <v>10</v>
      </c>
      <c r="C21" s="53">
        <v>556210</v>
      </c>
      <c r="D21" s="53">
        <v>-4878</v>
      </c>
      <c r="E21" s="42">
        <f t="shared" si="2"/>
        <v>551332</v>
      </c>
    </row>
    <row r="22" spans="1:6" x14ac:dyDescent="0.25">
      <c r="A22" s="11">
        <v>14</v>
      </c>
      <c r="B22" s="90" t="s">
        <v>150</v>
      </c>
      <c r="C22" s="41">
        <f>C16+C17+C18+C19+C20+C21</f>
        <v>3384515</v>
      </c>
      <c r="D22" s="41">
        <f>D16+D17+D18+D19+D20+D21</f>
        <v>-18696</v>
      </c>
      <c r="E22" s="43">
        <f>E16+E17+E18+E19+E20+E21</f>
        <v>3365819</v>
      </c>
      <c r="F22" s="1"/>
    </row>
    <row r="23" spans="1:6" x14ac:dyDescent="0.25">
      <c r="A23" s="11">
        <v>15</v>
      </c>
      <c r="B23" s="18" t="s">
        <v>14</v>
      </c>
      <c r="C23" s="33">
        <f>C15-C22</f>
        <v>-402071</v>
      </c>
      <c r="D23" s="33">
        <f>D15-D22</f>
        <v>18696</v>
      </c>
      <c r="E23" s="33">
        <f>E15-E22</f>
        <v>-383375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91320</v>
      </c>
      <c r="D25" s="121">
        <v>-160</v>
      </c>
      <c r="E25" s="33">
        <f t="shared" ref="E25:E27" si="3">SUM(C25:D25)</f>
        <v>91160</v>
      </c>
    </row>
    <row r="26" spans="1:6" x14ac:dyDescent="0.25">
      <c r="A26" s="11">
        <v>18</v>
      </c>
      <c r="B26" s="18" t="s">
        <v>229</v>
      </c>
      <c r="C26" s="53">
        <f>-218527</f>
        <v>-218527</v>
      </c>
      <c r="D26" s="55">
        <v>10503</v>
      </c>
      <c r="E26" s="33">
        <f t="shared" si="3"/>
        <v>-208024</v>
      </c>
    </row>
    <row r="27" spans="1:6" x14ac:dyDescent="0.25">
      <c r="A27" s="11">
        <v>19</v>
      </c>
      <c r="B27" s="18" t="s">
        <v>13</v>
      </c>
      <c r="C27" s="53"/>
      <c r="D27" s="121"/>
      <c r="E27" s="33">
        <f t="shared" si="3"/>
        <v>0</v>
      </c>
    </row>
    <row r="28" spans="1:6" x14ac:dyDescent="0.25">
      <c r="A28" s="11">
        <v>20</v>
      </c>
      <c r="B28" s="90" t="s">
        <v>12</v>
      </c>
      <c r="C28" s="38">
        <f>SUM(C25:C27)</f>
        <v>-127207</v>
      </c>
      <c r="D28" s="38">
        <f t="shared" ref="D28:E28" si="4">SUM(D25:D27)</f>
        <v>10343</v>
      </c>
      <c r="E28" s="44">
        <f t="shared" si="4"/>
        <v>-116864</v>
      </c>
    </row>
    <row r="29" spans="1:6" x14ac:dyDescent="0.25">
      <c r="A29" s="11">
        <v>21</v>
      </c>
      <c r="B29" s="90" t="s">
        <v>23</v>
      </c>
      <c r="C29" s="38">
        <f>C23+C24-C28</f>
        <v>-274864</v>
      </c>
      <c r="D29" s="38">
        <f>D23+D24-D28</f>
        <v>8353</v>
      </c>
      <c r="E29" s="44">
        <f>E23+E24-E28</f>
        <v>-266511</v>
      </c>
    </row>
    <row r="30" spans="1:6" x14ac:dyDescent="0.25">
      <c r="A30" s="11">
        <v>22</v>
      </c>
      <c r="B30" s="18" t="s">
        <v>15</v>
      </c>
      <c r="C30" s="53">
        <v>151721</v>
      </c>
      <c r="D30" s="55">
        <v>-262</v>
      </c>
      <c r="E30" s="33">
        <f>SUM(C30:D30)</f>
        <v>151459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90" t="s">
        <v>18</v>
      </c>
      <c r="C34" s="38">
        <f>SUM(C30:C33)</f>
        <v>151721</v>
      </c>
      <c r="D34" s="65">
        <f t="shared" ref="D34" si="6">SUM(D30:D33)</f>
        <v>-262</v>
      </c>
      <c r="E34" s="38">
        <f>SUM(E30:E33)</f>
        <v>151459</v>
      </c>
    </row>
    <row r="35" spans="1:5" x14ac:dyDescent="0.25">
      <c r="A35" s="11">
        <v>27</v>
      </c>
      <c r="B35" s="18" t="s">
        <v>19</v>
      </c>
      <c r="C35" s="53">
        <v>557</v>
      </c>
      <c r="D35" s="55"/>
      <c r="E35" s="33">
        <f>SUM(C35:D35)</f>
        <v>557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26526</v>
      </c>
      <c r="D38" s="70">
        <f>-1*(D29-D34)</f>
        <v>-8615</v>
      </c>
      <c r="E38" s="33">
        <f t="shared" si="7"/>
        <v>17911</v>
      </c>
    </row>
    <row r="39" spans="1:5" x14ac:dyDescent="0.25">
      <c r="A39" s="11">
        <v>31</v>
      </c>
      <c r="B39" s="90" t="s">
        <v>22</v>
      </c>
      <c r="C39" s="38">
        <f>C29-C34+C35+C36+C37+C38</f>
        <v>-399502</v>
      </c>
      <c r="D39" s="38">
        <f t="shared" ref="D39:E39" si="8">D29-D34+D35+D36+D37+D38</f>
        <v>0</v>
      </c>
      <c r="E39" s="38">
        <f t="shared" si="8"/>
        <v>-399502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769875</v>
      </c>
      <c r="D41" s="55"/>
      <c r="E41" s="33">
        <f t="shared" ref="E41:E46" si="9">SUM(C41:D41)</f>
        <v>769875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370373</v>
      </c>
      <c r="D47" s="65">
        <f t="shared" ref="D47:E47" si="10">(D39+D41+D42)-(D43+D44+D45+D46)</f>
        <v>0</v>
      </c>
      <c r="E47" s="44">
        <f t="shared" si="10"/>
        <v>370373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223034</v>
      </c>
      <c r="D52" s="103"/>
      <c r="E52" s="33">
        <f>C52</f>
        <v>223034</v>
      </c>
    </row>
    <row r="53" spans="1:7" x14ac:dyDescent="0.25">
      <c r="A53" s="11">
        <v>45</v>
      </c>
      <c r="B53" s="18" t="s">
        <v>36</v>
      </c>
      <c r="C53" s="47">
        <f>((C22+C28-C18-C19)/C15)</f>
        <v>0.73716723599839595</v>
      </c>
      <c r="D53" s="47" t="e">
        <f>((D22+D28-D18-D19)/D15)</f>
        <v>#DIV/0!</v>
      </c>
      <c r="E53" s="47">
        <f>((E22+E28-E18-E19)/E15)</f>
        <v>0.73468638472340131</v>
      </c>
    </row>
    <row r="54" spans="1:7" x14ac:dyDescent="0.25">
      <c r="A54" s="11">
        <v>46</v>
      </c>
      <c r="B54" s="18" t="s">
        <v>37</v>
      </c>
      <c r="C54" s="47">
        <f>((C22+C28+C34)/C15)</f>
        <v>1.1430320234009423</v>
      </c>
      <c r="D54" s="47" t="e">
        <f>((D22+D28+D34)/D15)</f>
        <v>#DIV/0!</v>
      </c>
      <c r="E54" s="47">
        <f>((E22+E28+E34)/E15)</f>
        <v>1.1401434528192316</v>
      </c>
    </row>
    <row r="55" spans="1:7" x14ac:dyDescent="0.25">
      <c r="A55" s="11">
        <v>47</v>
      </c>
      <c r="B55" s="18" t="s">
        <v>38</v>
      </c>
      <c r="C55" s="47">
        <f>((C39+C34)/C34)</f>
        <v>-1.6331358216726755</v>
      </c>
      <c r="D55" s="47">
        <f t="shared" ref="D55:E55" si="13">((D39+D34)/D34)</f>
        <v>1</v>
      </c>
      <c r="E55" s="47">
        <f t="shared" si="13"/>
        <v>-1.6376907281838649</v>
      </c>
    </row>
    <row r="56" spans="1:7" x14ac:dyDescent="0.25">
      <c r="A56" s="11">
        <v>48</v>
      </c>
      <c r="B56" s="18" t="s">
        <v>39</v>
      </c>
      <c r="C56" s="47">
        <f>(C39+C34+C18+C19)/C52</f>
        <v>3.6360689401615898</v>
      </c>
      <c r="D56" s="47" t="e">
        <f>(D39+D34+D18+D19)/D52</f>
        <v>#DIV/0!</v>
      </c>
      <c r="E56" s="47">
        <f>(E39+E34+E18+E19)/E52</f>
        <v>3.630616856622757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Kalama Telephone Company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529241</v>
      </c>
      <c r="D9" s="42">
        <f>'CurrentYearIncomeStmt '!E9</f>
        <v>551609</v>
      </c>
    </row>
    <row r="10" spans="1:5" x14ac:dyDescent="0.25">
      <c r="A10" s="11">
        <v>2</v>
      </c>
      <c r="B10" s="18" t="s">
        <v>2</v>
      </c>
      <c r="C10" s="33">
        <f>PriorYearIncomeStmt!E10</f>
        <v>2573580</v>
      </c>
      <c r="D10" s="42">
        <f>'CurrentYearIncomeStmt '!E10</f>
        <v>2387869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12540</v>
      </c>
      <c r="D12" s="42">
        <f>'CurrentYearIncomeStmt '!E12</f>
        <v>12469</v>
      </c>
    </row>
    <row r="13" spans="1:5" x14ac:dyDescent="0.25">
      <c r="A13" s="11">
        <v>5</v>
      </c>
      <c r="B13" s="18" t="s">
        <v>5</v>
      </c>
      <c r="C13" s="33">
        <f>PriorYearIncomeStmt!E13</f>
        <v>33979</v>
      </c>
      <c r="D13" s="42">
        <f>'CurrentYearIncomeStmt '!E13</f>
        <v>32968</v>
      </c>
    </row>
    <row r="14" spans="1:5" x14ac:dyDescent="0.25">
      <c r="A14" s="11">
        <v>6</v>
      </c>
      <c r="B14" s="18" t="s">
        <v>152</v>
      </c>
      <c r="C14" s="33">
        <f>PriorYearIncomeStmt!E14</f>
        <v>-4183</v>
      </c>
      <c r="D14" s="42">
        <f>'CurrentYearIncomeStmt '!E14</f>
        <v>-2471</v>
      </c>
    </row>
    <row r="15" spans="1:5" x14ac:dyDescent="0.25">
      <c r="A15" s="11">
        <v>7</v>
      </c>
      <c r="B15" s="90" t="s">
        <v>151</v>
      </c>
      <c r="C15" s="41">
        <f>SUM(C9:C14)</f>
        <v>3145157</v>
      </c>
      <c r="D15" s="43">
        <f t="shared" ref="D15" si="0">SUM(D9:D14)</f>
        <v>2982444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1008813</v>
      </c>
      <c r="D16" s="42">
        <f>'CurrentYearIncomeStmt '!E16</f>
        <v>956386</v>
      </c>
    </row>
    <row r="17" spans="1:5" x14ac:dyDescent="0.25">
      <c r="A17" s="11">
        <v>9</v>
      </c>
      <c r="B17" s="18" t="s">
        <v>40</v>
      </c>
      <c r="C17" s="33">
        <f>PriorYearIncomeStmt!E17</f>
        <v>580629</v>
      </c>
      <c r="D17" s="42">
        <f>'CurrentYearIncomeStmt '!E17</f>
        <v>593422</v>
      </c>
    </row>
    <row r="18" spans="1:5" x14ac:dyDescent="0.25">
      <c r="A18" s="11">
        <v>10</v>
      </c>
      <c r="B18" s="18" t="s">
        <v>7</v>
      </c>
      <c r="C18" s="33">
        <f>PriorYearIncomeStmt!E18</f>
        <v>1104353</v>
      </c>
      <c r="D18" s="42">
        <f>'CurrentYearIncomeStmt '!E18</f>
        <v>1057794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230870</v>
      </c>
      <c r="D20" s="42">
        <f>'CurrentYearIncomeStmt '!E20</f>
        <v>206885</v>
      </c>
    </row>
    <row r="21" spans="1:5" x14ac:dyDescent="0.25">
      <c r="A21" s="11">
        <v>13</v>
      </c>
      <c r="B21" s="18" t="s">
        <v>10</v>
      </c>
      <c r="C21" s="33">
        <f>PriorYearIncomeStmt!E21</f>
        <v>588866</v>
      </c>
      <c r="D21" s="42">
        <f>'CurrentYearIncomeStmt '!E21</f>
        <v>551332</v>
      </c>
    </row>
    <row r="22" spans="1:5" x14ac:dyDescent="0.25">
      <c r="A22" s="11">
        <v>14</v>
      </c>
      <c r="B22" s="90" t="s">
        <v>150</v>
      </c>
      <c r="C22" s="41">
        <f>C16+C17+C18+C19+C20+C21</f>
        <v>3513531</v>
      </c>
      <c r="D22" s="43">
        <f>D16+D17+D18+D19+D20+D21</f>
        <v>3365819</v>
      </c>
      <c r="E22" s="1"/>
    </row>
    <row r="23" spans="1:5" x14ac:dyDescent="0.25">
      <c r="A23" s="11">
        <v>15</v>
      </c>
      <c r="B23" s="18" t="s">
        <v>14</v>
      </c>
      <c r="C23" s="33">
        <f>C15-C22</f>
        <v>-368374</v>
      </c>
      <c r="D23" s="42">
        <f>D15-D22</f>
        <v>-383375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86323</v>
      </c>
      <c r="D25" s="42">
        <f>'CurrentYearIncomeStmt '!E25</f>
        <v>91160</v>
      </c>
    </row>
    <row r="26" spans="1:5" x14ac:dyDescent="0.25">
      <c r="A26" s="11">
        <v>18</v>
      </c>
      <c r="B26" s="18" t="s">
        <v>214</v>
      </c>
      <c r="C26" s="33">
        <f>PriorYearIncomeStmt!E26</f>
        <v>-163121</v>
      </c>
      <c r="D26" s="42">
        <f>'CurrentYearIncomeStmt '!E26</f>
        <v>-208024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90" t="s">
        <v>12</v>
      </c>
      <c r="C28" s="38">
        <f>SUM(C25:C27)</f>
        <v>-76798</v>
      </c>
      <c r="D28" s="44">
        <f t="shared" ref="D28" si="1">SUM(D25:D27)</f>
        <v>-116864</v>
      </c>
    </row>
    <row r="29" spans="1:5" x14ac:dyDescent="0.25">
      <c r="A29" s="11">
        <v>21</v>
      </c>
      <c r="B29" s="90" t="s">
        <v>23</v>
      </c>
      <c r="C29" s="38">
        <f>C23+C24-C28</f>
        <v>-291576</v>
      </c>
      <c r="D29" s="44">
        <f>D23+D24-D28</f>
        <v>-266511</v>
      </c>
    </row>
    <row r="30" spans="1:5" x14ac:dyDescent="0.25">
      <c r="A30" s="11">
        <v>22</v>
      </c>
      <c r="B30" s="18" t="s">
        <v>15</v>
      </c>
      <c r="C30" s="33">
        <f>PriorYearIncomeStmt!E30</f>
        <v>58905</v>
      </c>
      <c r="D30" s="42">
        <f>'CurrentYearIncomeStmt '!E30</f>
        <v>151459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1344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90" t="s">
        <v>18</v>
      </c>
      <c r="C34" s="38">
        <f>SUM(C30:C33)</f>
        <v>60249</v>
      </c>
      <c r="D34" s="44">
        <f t="shared" ref="D34" si="2">SUM(D30:D33)</f>
        <v>151459</v>
      </c>
    </row>
    <row r="35" spans="1:4" x14ac:dyDescent="0.25">
      <c r="A35" s="11">
        <v>27</v>
      </c>
      <c r="B35" s="18" t="s">
        <v>19</v>
      </c>
      <c r="C35" s="33">
        <f>PriorYearIncomeStmt!E35</f>
        <v>8263</v>
      </c>
      <c r="D35" s="42">
        <f>'CurrentYearIncomeStmt '!E35</f>
        <v>557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11289</v>
      </c>
      <c r="D38" s="42">
        <f>'CurrentYearIncomeStmt '!E38</f>
        <v>17911</v>
      </c>
    </row>
    <row r="39" spans="1:4" x14ac:dyDescent="0.25">
      <c r="A39" s="11">
        <v>31</v>
      </c>
      <c r="B39" s="90" t="s">
        <v>22</v>
      </c>
      <c r="C39" s="38">
        <f>C29-C34+C35+C36+C37+C38</f>
        <v>-332273</v>
      </c>
      <c r="D39" s="44">
        <f t="shared" ref="D39" si="3">D29-D34+D35+D36+D37+D38</f>
        <v>-399502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1102148</v>
      </c>
      <c r="D41" s="42">
        <f>'CurrentYearIncomeStmt '!E41</f>
        <v>769875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769875</v>
      </c>
      <c r="D47" s="44">
        <f t="shared" ref="D47" si="4">(D39+D41+D42)-(D43+D44+D45+D46)</f>
        <v>370373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240484</v>
      </c>
      <c r="D52" s="42">
        <f>'CurrentYearIncomeStmt '!E52</f>
        <v>223034</v>
      </c>
    </row>
    <row r="53" spans="1:8" x14ac:dyDescent="0.25">
      <c r="A53" s="11">
        <v>45</v>
      </c>
      <c r="B53" s="18" t="s">
        <v>36</v>
      </c>
      <c r="C53" s="50">
        <f>((C22+C28-C18-C19)/C15)</f>
        <v>0.74157824235801262</v>
      </c>
      <c r="D53" s="50">
        <f>((D22+D28-D18-D19)/D15)</f>
        <v>0.73468638472340131</v>
      </c>
    </row>
    <row r="54" spans="1:8" x14ac:dyDescent="0.25">
      <c r="A54" s="11">
        <v>46</v>
      </c>
      <c r="B54" s="18" t="s">
        <v>37</v>
      </c>
      <c r="C54" s="50">
        <f>((C22+C28+C34)/C15)</f>
        <v>1.1118624602841767</v>
      </c>
      <c r="D54" s="50">
        <f>((D22+D28+D34)/D15)</f>
        <v>1.1401434528192316</v>
      </c>
    </row>
    <row r="55" spans="1:8" x14ac:dyDescent="0.25">
      <c r="A55" s="11">
        <v>47</v>
      </c>
      <c r="B55" s="18" t="s">
        <v>38</v>
      </c>
      <c r="C55" s="50">
        <f>((C39+C34)/C34)</f>
        <v>-4.5149960995203235</v>
      </c>
      <c r="D55" s="50">
        <f t="shared" ref="D55" si="6">((D39+D34)/D34)</f>
        <v>-1.6376907281838649</v>
      </c>
    </row>
    <row r="56" spans="1:8" x14ac:dyDescent="0.25">
      <c r="A56" s="11">
        <v>48</v>
      </c>
      <c r="B56" s="18" t="s">
        <v>39</v>
      </c>
      <c r="C56" s="46">
        <f>(C39+C34+C18+C19)/C52</f>
        <v>3.4610577003043863</v>
      </c>
      <c r="D56" s="50">
        <f>(D39+D34+D18+D19)/D52</f>
        <v>3.630616856622757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3C1E5A71296474EB313FDB9E07C2DAD" ma:contentTypeVersion="104" ma:contentTypeDescription="" ma:contentTypeScope="" ma:versionID="6e6a0b42efb0ffb58dd29bb59a0041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Kalama Telephone Company</CaseCompanyNames>
    <DocketNumber xmlns="dc463f71-b30c-4ab2-9473-d307f9d35888">160966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A523730-F0E9-4CA5-B9DF-61EF37CA69BA}"/>
</file>

<file path=customXml/itemProps2.xml><?xml version="1.0" encoding="utf-8"?>
<ds:datastoreItem xmlns:ds="http://schemas.openxmlformats.org/officeDocument/2006/customXml" ds:itemID="{6A76298E-4954-4A0E-9435-52A7EDC40CB0}"/>
</file>

<file path=customXml/itemProps3.xml><?xml version="1.0" encoding="utf-8"?>
<ds:datastoreItem xmlns:ds="http://schemas.openxmlformats.org/officeDocument/2006/customXml" ds:itemID="{B082D021-F5CA-44AD-AFFF-C053D8E34968}"/>
</file>

<file path=customXml/itemProps4.xml><?xml version="1.0" encoding="utf-8"?>
<ds:datastoreItem xmlns:ds="http://schemas.openxmlformats.org/officeDocument/2006/customXml" ds:itemID="{68C812BF-F96F-4F82-BD13-7BCE02077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2016-05-11T18:16:56Z</cp:lastPrinted>
  <dcterms:created xsi:type="dcterms:W3CDTF">2014-05-21T17:51:51Z</dcterms:created>
  <dcterms:modified xsi:type="dcterms:W3CDTF">2016-07-27T18:59:28Z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0x0101006E56B4D1795A2E4DB2F0B01679ED314A00B3C1E5A71296474EB313FDB9E07C2DAD</vt:lpwstr>
  </property>
  <property fmtid="{D5CDD505-2E9C-101B-9397-08002B2CF9AE}" pid="3" name="_docset_NoMedatataSyncRequired">
    <vt:lpwstr>False</vt:lpwstr>
  </property>
</Properties>
</file>