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9120" activeTab="0"/>
  </bookViews>
  <sheets>
    <sheet name="County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<sst xmlns="http://schemas.openxmlformats.org/spreadsheetml/2006/main" count="25" uniqueCount="22">
  <si>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--Residential Garbage Tonnage--</t>
  </si>
  <si>
    <t>--Residential Customers--</t>
  </si>
  <si>
    <t>--Garbage Pounds per Customer--</t>
  </si>
  <si>
    <t>--Residential Recycle Tonnage--</t>
  </si>
  <si>
    <t>--Recycle Pounds per Customer--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</si>
  <si>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</si>
  <si>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</si>
  <si>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</si>
  <si>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</si>
  <si>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</si>
  <si>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</si>
  <si>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</si>
  <si>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</si>
  <si>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</si>
  <si>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</si>
  <si>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</si>
  <si>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</si>
  <si>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4 Yr Total:</t>
  </si>
  <si>
    <t>4 Yr Average:</t>
  </si>
  <si>
    <t>Harold Lemay Enterprises, Inc.</t>
  </si>
  <si>
    <t>Pierce County Regulated Baseline Recycle Data</t>
  </si>
  <si>
    <t>2001-2004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</si>
</sst>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* #,##0.0_);_(* \(#,##0.0\);_(* &quot;-&quot;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dd\-mmm\-yy"/>
    <numFmt numFmtId="173" formatCode="&quot;$&quot;#,##0.00;\(&quot;$&quot;#,##0.00\)"/>
    <numFmt numFmtId="174" formatCode="_(* #,##0.000_);_(* \(#,##0.000\);_(* &quot;-&quot;??_);_(@_)"/>
    <numFmt numFmtId="175" formatCode="_(* #,##0.0000_);_(* \(#,##0.0000\);_(* &quot;-&quot;??_);_(@_)"/>
    <numFmt numFmtId="176" formatCode="_(* #,##0.000_);_(* \(#,##0.000\);_(* &quot;-&quot;?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_);_(* \(#,##0.000000\);_(* &quot;-&quot;??????_);_(@_)"/>
    <numFmt numFmtId="181" formatCode="#,##0.00_);\-#,##0.00"/>
    <numFmt numFmtId="182" formatCode="m/d/yy"/>
    <numFmt numFmtId="183" formatCode="0.0"/>
    <numFmt numFmtId="184" formatCode="#,##0.00;[Red]\(#,##0.00\)"/>
    <numFmt numFmtId="185" formatCode="m/d/yyyy"/>
    <numFmt numFmtId="186" formatCode="mmm\-yyyy"/>
    <numFmt numFmtId="187" formatCode="&quot;$&quot;#,##0.00;[Red]\(&quot;$&quot;#,##0.00\)"/>
    <numFmt numFmtId="188" formatCode="0.0%;[Red]\(0.0%\)"/>
    <numFmt numFmtId="189" formatCode="#,##0.0"/>
    <numFmt numFmtId="190" formatCode="#,##0;[Red]#,##0"/>
    <numFmt numFmtId="191" formatCode="0_);\(0\)"/>
    <numFmt numFmtId="192" formatCode="General_)"/>
    <numFmt numFmtId="193" formatCode="0_)"/>
    <numFmt numFmtId="194" formatCode="dd\-mmm\-yy_)"/>
    <numFmt numFmtId="195" formatCode="mm/dd/yy_)"/>
    <numFmt numFmtId="196" formatCode="#,##0.0_);\(#,##0.0\)"/>
    <numFmt numFmtId="197" formatCode="_(&quot;$&quot;* #,##0.0_);_(&quot;$&quot;* \(#,##0.0\);_(&quot;$&quot;* &quot;-&quot;??_);_(@_)"/>
    <numFmt numFmtId="198" formatCode="_(&quot;$&quot;* #,##0_);_(&quot;$&quot;* \(#,##0\);_(&quot;$&quot;* &quot;-&quot;??_);_(@_)"/>
    <numFmt numFmtId="199" formatCode="mm/dd/yy"/>
    <numFmt numFmtId="200" formatCode="_(* #,##0.00000000_);_(* \(#,##0.00000000\);_(* &quot;-&quot;??_);_(@_)"/>
    <numFmt numFmtId="201" formatCode="#,##0.000"/>
    <numFmt numFmtId="202" formatCode="#,##0.0000"/>
    <numFmt numFmtId="203" formatCode="0.000"/>
    <numFmt numFmtId="204" formatCode="0.0000"/>
    <numFmt numFmtId="205" formatCode="0.00000"/>
    <numFmt numFmtId="206" formatCode="0.000000"/>
    <numFmt numFmtId="207" formatCode="0.0000000"/>
    <numFmt numFmtId="208" formatCode="0.00000000"/>
    <numFmt numFmtId="209" formatCode="0.000000000"/>
    <numFmt numFmtId="210" formatCode="0.0000000000"/>
    <numFmt numFmtId="211" formatCode="#,##0.0000_);\(#,##0.0000\)"/>
    <numFmt numFmtId="212" formatCode="#,##0.000_);\(#,##0.000\)"/>
    <numFmt numFmtId="213" formatCode="0.0000%"/>
    <numFmt numFmtId="214" formatCode="#,##0.000000_);\(#,##0.000000\)"/>
    <numFmt numFmtId="215" formatCode="&quot;$&quot;#,##0.0_);[Red]\(&quot;$&quot;#,##0.0\)"/>
    <numFmt numFmtId="216" formatCode="#,##0.00000_);\(#,##0.00000\)"/>
    <numFmt numFmtId="217" formatCode="#,##0;[Red]\(#,##0\)"/>
    <numFmt numFmtId="218" formatCode="&quot;$&quot;#,##0;[Red]\(&quot;$&quot;#,##0\)"/>
    <numFmt numFmtId="219" formatCode="#,###,##0;\(#,###,##0\)"/>
    <numFmt numFmtId="220" formatCode="[$-409]dddd\,\ mmmm\ dd\,\ yyyy"/>
  </numFmts>
  <fonts count="4">
    <font>
      <sz val="10"/>
      <name val="Arial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15" applyNumberForma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9" fontId="0" fillId="0" borderId="0" xfId="21" applyAlignment="1">
      <alignment/>
    </xf>
    <xf numFmtId="9" fontId="0" fillId="0" borderId="0" xfId="21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3" width="7.7109375" style="0" bestFit="1" customWidth="1"/>
    <col min="4" max="4" width="9.57421875" style="0" bestFit="1" customWidth="1"/>
    <col min="5" max="5" width="8.7109375" style="0" bestFit="1" customWidth="1"/>
    <col min="6" max="6" width="3.28125" style="0" customWidth="1"/>
    <col min="7" max="9" width="8.7109375" style="0" bestFit="1" customWidth="1"/>
    <col min="10" max="10" width="10.28125" style="0" bestFit="1" customWidth="1"/>
    <col min="11" max="11" width="3.140625" style="0" customWidth="1"/>
    <col min="16" max="16" width="3.8515625" style="0" customWidth="1"/>
    <col min="17" max="19" width="6.7109375" style="0" bestFit="1" customWidth="1"/>
    <col min="20" max="20" width="7.7109375" style="0" bestFit="1" customWidth="1"/>
    <col min="21" max="21" width="2.57421875" style="0" customWidth="1"/>
  </cols>
  <sheetData>
    <row r="1" ht="12.75">
      <c r="A1" t="s">
        <v>19</v>
      </c>
    </row>
    <row r="2" ht="12.75">
      <c r="A2" t="s">
        <v>20</v>
      </c>
    </row>
    <row r="3" ht="12.75">
      <c r="A3" t="s">
        <v>21</v>
      </c>
    </row>
    <row r="5" spans="2:25" ht="12.75">
      <c r="B5" s="9" t="s">
        <v>0</v>
      </c>
      <c r="C5" s="9"/>
      <c r="D5" s="9"/>
      <c r="E5" s="9"/>
      <c r="G5" s="9" t="s">
        <v>1</v>
      </c>
      <c r="H5" s="9"/>
      <c r="I5" s="9"/>
      <c r="J5" s="9"/>
      <c r="L5" s="9" t="s">
        <v>2</v>
      </c>
      <c r="M5" s="9"/>
      <c r="N5" s="9"/>
      <c r="O5" s="9"/>
      <c r="Q5" s="9" t="s">
        <v>3</v>
      </c>
      <c r="R5" s="9"/>
      <c r="S5" s="9"/>
      <c r="T5" s="9"/>
      <c r="V5" s="9" t="s">
        <v>4</v>
      </c>
      <c r="W5" s="9"/>
      <c r="X5" s="9"/>
      <c r="Y5" s="9"/>
    </row>
    <row r="6" spans="2:25" ht="13.5" thickBot="1">
      <c r="B6" s="1">
        <v>2001</v>
      </c>
      <c r="C6" s="1">
        <v>2002</v>
      </c>
      <c r="D6" s="1">
        <v>2003</v>
      </c>
      <c r="E6" s="1">
        <v>2004</v>
      </c>
      <c r="G6" s="1">
        <v>2001</v>
      </c>
      <c r="H6" s="1">
        <v>2002</v>
      </c>
      <c r="I6" s="1">
        <v>2003</v>
      </c>
      <c r="J6" s="1">
        <v>2004</v>
      </c>
      <c r="L6" s="1">
        <v>2001</v>
      </c>
      <c r="M6" s="1">
        <v>2002</v>
      </c>
      <c r="N6" s="1">
        <v>2003</v>
      </c>
      <c r="O6" s="1">
        <v>2004</v>
      </c>
      <c r="Q6" s="1">
        <v>2001</v>
      </c>
      <c r="R6" s="1">
        <v>2002</v>
      </c>
      <c r="S6" s="1">
        <v>2003</v>
      </c>
      <c r="T6" s="1">
        <v>2004</v>
      </c>
      <c r="V6" s="1">
        <v>2001</v>
      </c>
      <c r="W6" s="1">
        <v>2002</v>
      </c>
      <c r="X6" s="1">
        <v>2003</v>
      </c>
      <c r="Y6" s="1">
        <v>2004</v>
      </c>
    </row>
    <row r="7" spans="1:25" ht="12.75">
      <c r="A7" s="2" t="s">
        <v>5</v>
      </c>
      <c r="B7" s="3">
        <f>1731.52+666+23.44</f>
        <v>2420.96</v>
      </c>
      <c r="C7" s="3">
        <f>2132.98+896.67+61.14</f>
        <v>3090.79</v>
      </c>
      <c r="D7" s="3">
        <f>3261.44+40.09+91.6</f>
        <v>3393.13</v>
      </c>
      <c r="E7" s="3">
        <f>2486.09+527.23+67.38</f>
        <v>3080.7000000000003</v>
      </c>
      <c r="G7" s="3">
        <v>31811</v>
      </c>
      <c r="H7" s="3">
        <v>35587</v>
      </c>
      <c r="I7" s="3">
        <v>36886</v>
      </c>
      <c r="J7" s="3">
        <v>38065</v>
      </c>
      <c r="L7" s="4">
        <f aca="true" t="shared" si="0" ref="L7:L18">+B7*2000/G7</f>
        <v>152.2089843136022</v>
      </c>
      <c r="M7" s="4">
        <f aca="true" t="shared" si="1" ref="M7:M18">+C7*2000/H7</f>
        <v>173.70331862758871</v>
      </c>
      <c r="N7" s="4">
        <f aca="true" t="shared" si="2" ref="N7:N18">+D7*2000/I7</f>
        <v>183.97928753456597</v>
      </c>
      <c r="O7" s="4">
        <f aca="true" t="shared" si="3" ref="O7:O18">+E7*2000/J7</f>
        <v>161.8652305267306</v>
      </c>
      <c r="Q7" s="3">
        <v>495.77</v>
      </c>
      <c r="R7" s="3">
        <v>536.08</v>
      </c>
      <c r="S7" s="3">
        <v>524.04</v>
      </c>
      <c r="T7" s="3">
        <v>532.52</v>
      </c>
      <c r="V7" s="4">
        <f aca="true" t="shared" si="4" ref="V7:V18">+Q7/G7*2000</f>
        <v>31.169721165634527</v>
      </c>
      <c r="W7" s="4">
        <f aca="true" t="shared" si="5" ref="W7:W18">+R7/H7*2000</f>
        <v>30.127855677635093</v>
      </c>
      <c r="X7" s="4">
        <f aca="true" t="shared" si="6" ref="X7:X18">+S7/I7*2000</f>
        <v>28.41403242422599</v>
      </c>
      <c r="Y7" s="4">
        <f aca="true" t="shared" si="7" ref="Y7:Y18">+T7/J7*2000</f>
        <v>27.979508735058452</v>
      </c>
    </row>
    <row r="8" spans="1:25" ht="12.75">
      <c r="A8" s="2" t="s">
        <v>6</v>
      </c>
      <c r="B8" s="3">
        <f>1428.31+477.47+4.73</f>
        <v>1910.51</v>
      </c>
      <c r="C8" s="3">
        <f>1801.01+717.57+60.5</f>
        <v>2579.08</v>
      </c>
      <c r="D8" s="3">
        <f>2634.74+31.96+57.82</f>
        <v>2724.52</v>
      </c>
      <c r="E8" s="3">
        <f>2236.05+550.22+73.75</f>
        <v>2860.0200000000004</v>
      </c>
      <c r="G8" s="3">
        <f>+(G7+G10)/2</f>
        <v>31855.5</v>
      </c>
      <c r="H8" s="3">
        <f>+(H7+H9)/2</f>
        <v>35522.5</v>
      </c>
      <c r="I8" s="3">
        <v>36626</v>
      </c>
      <c r="J8" s="3">
        <v>37828</v>
      </c>
      <c r="L8" s="4">
        <f t="shared" si="0"/>
        <v>119.94851752444633</v>
      </c>
      <c r="M8" s="4">
        <f t="shared" si="1"/>
        <v>145.2082482933352</v>
      </c>
      <c r="N8" s="4">
        <f t="shared" si="2"/>
        <v>148.77518702561022</v>
      </c>
      <c r="O8" s="4">
        <f t="shared" si="3"/>
        <v>151.21180078248918</v>
      </c>
      <c r="Q8" s="3">
        <v>368.13</v>
      </c>
      <c r="R8" s="3">
        <v>387.03</v>
      </c>
      <c r="S8" s="3">
        <v>392.82</v>
      </c>
      <c r="T8" s="3">
        <v>417.65</v>
      </c>
      <c r="V8" s="4">
        <f t="shared" si="4"/>
        <v>23.11249234826011</v>
      </c>
      <c r="W8" s="4">
        <f t="shared" si="5"/>
        <v>21.79069603772257</v>
      </c>
      <c r="X8" s="4">
        <f t="shared" si="6"/>
        <v>21.450335827008136</v>
      </c>
      <c r="Y8" s="4">
        <f t="shared" si="7"/>
        <v>22.081526911282648</v>
      </c>
    </row>
    <row r="9" spans="1:25" ht="12.75">
      <c r="A9" s="2" t="s">
        <v>7</v>
      </c>
      <c r="B9" s="3">
        <f>1713.57+622.02+9.9</f>
        <v>2345.4900000000002</v>
      </c>
      <c r="C9" s="3">
        <f>1985.98+655.68+48.88</f>
        <v>2690.54</v>
      </c>
      <c r="D9" s="3">
        <f>2705.13+88.69+8.28</f>
        <v>2802.1000000000004</v>
      </c>
      <c r="E9" s="3">
        <f>2680.42+706.12+94.02</f>
        <v>3480.56</v>
      </c>
      <c r="G9" s="3">
        <f>+G8</f>
        <v>31855.5</v>
      </c>
      <c r="H9" s="3">
        <v>35458</v>
      </c>
      <c r="I9" s="3">
        <v>36815</v>
      </c>
      <c r="J9" s="3">
        <v>38052</v>
      </c>
      <c r="L9" s="4">
        <f t="shared" si="0"/>
        <v>147.2580873004662</v>
      </c>
      <c r="M9" s="4">
        <f t="shared" si="1"/>
        <v>151.7592644819223</v>
      </c>
      <c r="N9" s="4">
        <f t="shared" si="2"/>
        <v>152.22599483906018</v>
      </c>
      <c r="O9" s="4">
        <f t="shared" si="3"/>
        <v>182.93703353306003</v>
      </c>
      <c r="Q9" s="3">
        <v>434.18</v>
      </c>
      <c r="R9" s="3">
        <v>412.42</v>
      </c>
      <c r="S9" s="3">
        <v>423.36</v>
      </c>
      <c r="T9" s="3">
        <v>495.98</v>
      </c>
      <c r="V9" s="4">
        <f t="shared" si="4"/>
        <v>27.259342970601622</v>
      </c>
      <c r="W9" s="4">
        <f t="shared" si="5"/>
        <v>23.262451350894015</v>
      </c>
      <c r="X9" s="4">
        <f t="shared" si="6"/>
        <v>22.999320928969173</v>
      </c>
      <c r="Y9" s="4">
        <f t="shared" si="7"/>
        <v>26.068537790392096</v>
      </c>
    </row>
    <row r="10" spans="1:25" ht="12.75">
      <c r="A10" s="2" t="s">
        <v>8</v>
      </c>
      <c r="B10" s="3">
        <f>1662.99+604.99+16.67</f>
        <v>2284.65</v>
      </c>
      <c r="C10" s="3">
        <f>2456.6+654.82+48.99</f>
        <v>3160.41</v>
      </c>
      <c r="D10" s="3">
        <f>3065.67+144.94+9.37</f>
        <v>3219.98</v>
      </c>
      <c r="E10" s="3">
        <f>2923+445.56+71.4</f>
        <v>3439.96</v>
      </c>
      <c r="G10" s="3">
        <v>31900</v>
      </c>
      <c r="H10" s="3">
        <v>35659</v>
      </c>
      <c r="I10" s="3">
        <v>36908</v>
      </c>
      <c r="J10" s="3">
        <v>38311</v>
      </c>
      <c r="L10" s="4">
        <f t="shared" si="0"/>
        <v>143.23824451410658</v>
      </c>
      <c r="M10" s="4">
        <f t="shared" si="1"/>
        <v>177.25735438458733</v>
      </c>
      <c r="N10" s="4">
        <f t="shared" si="2"/>
        <v>174.48683212311693</v>
      </c>
      <c r="O10" s="4">
        <f t="shared" si="3"/>
        <v>179.58079924825768</v>
      </c>
      <c r="Q10" s="3">
        <v>443.74</v>
      </c>
      <c r="R10" s="3">
        <v>442.02</v>
      </c>
      <c r="S10" s="3">
        <v>464.19</v>
      </c>
      <c r="T10" s="3">
        <v>467.06</v>
      </c>
      <c r="V10" s="4">
        <f t="shared" si="4"/>
        <v>27.820689655172416</v>
      </c>
      <c r="W10" s="4">
        <f t="shared" si="5"/>
        <v>24.791497237723995</v>
      </c>
      <c r="X10" s="4">
        <f t="shared" si="6"/>
        <v>25.15389617427116</v>
      </c>
      <c r="Y10" s="4">
        <f t="shared" si="7"/>
        <v>24.382553313669703</v>
      </c>
    </row>
    <row r="11" spans="1:25" ht="12.75">
      <c r="A11" s="2" t="s">
        <v>9</v>
      </c>
      <c r="B11" s="3">
        <f>1989.16+831.58+23.39</f>
        <v>2844.13</v>
      </c>
      <c r="C11" s="3">
        <f>2412.28+899.68+87.61</f>
        <v>3399.57</v>
      </c>
      <c r="D11" s="3">
        <f>2855.41+441.65+9.66</f>
        <v>3306.72</v>
      </c>
      <c r="E11" s="3">
        <f>3146.55+10.37+80.97</f>
        <v>3237.89</v>
      </c>
      <c r="G11" s="3">
        <v>31843</v>
      </c>
      <c r="H11" s="3">
        <v>35863</v>
      </c>
      <c r="I11" s="3">
        <v>37147</v>
      </c>
      <c r="J11" s="3">
        <v>38745</v>
      </c>
      <c r="L11" s="4">
        <f t="shared" si="0"/>
        <v>178.63455076468927</v>
      </c>
      <c r="M11" s="4">
        <f t="shared" si="1"/>
        <v>189.58648188941248</v>
      </c>
      <c r="N11" s="4">
        <f t="shared" si="2"/>
        <v>178.03429617465744</v>
      </c>
      <c r="O11" s="4">
        <f t="shared" si="3"/>
        <v>167.1384694799329</v>
      </c>
      <c r="Q11" s="3">
        <v>482.05</v>
      </c>
      <c r="R11" s="3">
        <v>456.63</v>
      </c>
      <c r="S11" s="3">
        <v>455.77</v>
      </c>
      <c r="T11" s="3">
        <v>446.93</v>
      </c>
      <c r="V11" s="4">
        <f t="shared" si="4"/>
        <v>30.276669911754546</v>
      </c>
      <c r="W11" s="4">
        <f t="shared" si="5"/>
        <v>25.4652427292753</v>
      </c>
      <c r="X11" s="4">
        <f t="shared" si="6"/>
        <v>24.538724526879694</v>
      </c>
      <c r="Y11" s="4">
        <f t="shared" si="7"/>
        <v>23.070331655697508</v>
      </c>
    </row>
    <row r="12" spans="1:25" ht="12.75">
      <c r="A12" s="2" t="s">
        <v>10</v>
      </c>
      <c r="B12" s="3">
        <f>1994.51+638.62+36.67</f>
        <v>2669.8</v>
      </c>
      <c r="C12" s="3">
        <f>2287.94+716.35+44.31</f>
        <v>3048.6</v>
      </c>
      <c r="D12" s="3">
        <f>2589.36+25.05+566.18</f>
        <v>3180.59</v>
      </c>
      <c r="E12" s="3">
        <f>3448.25+15.74+129.33</f>
        <v>3593.3199999999997</v>
      </c>
      <c r="G12" s="3">
        <v>32022</v>
      </c>
      <c r="H12" s="3">
        <v>36086</v>
      </c>
      <c r="I12" s="3">
        <v>37334</v>
      </c>
      <c r="J12" s="3">
        <v>38770</v>
      </c>
      <c r="L12" s="4">
        <f t="shared" si="0"/>
        <v>166.7478608456686</v>
      </c>
      <c r="M12" s="4">
        <f t="shared" si="1"/>
        <v>168.96303275508507</v>
      </c>
      <c r="N12" s="4">
        <f t="shared" si="2"/>
        <v>170.3857073980822</v>
      </c>
      <c r="O12" s="4">
        <f t="shared" si="3"/>
        <v>185.366004642765</v>
      </c>
      <c r="Q12" s="3">
        <v>443.38</v>
      </c>
      <c r="R12" s="3">
        <v>400.21</v>
      </c>
      <c r="S12" s="3">
        <v>454.48</v>
      </c>
      <c r="T12" s="3">
        <v>476.79</v>
      </c>
      <c r="V12" s="4">
        <f t="shared" si="4"/>
        <v>27.69221160452189</v>
      </c>
      <c r="W12" s="4">
        <f t="shared" si="5"/>
        <v>22.180901180513217</v>
      </c>
      <c r="X12" s="4">
        <f t="shared" si="6"/>
        <v>24.346708094498315</v>
      </c>
      <c r="Y12" s="4">
        <f t="shared" si="7"/>
        <v>24.595821511477947</v>
      </c>
    </row>
    <row r="13" spans="1:25" ht="12.75">
      <c r="A13" s="2" t="s">
        <v>11</v>
      </c>
      <c r="B13" s="3">
        <f>1958.33+867.09+65.66</f>
        <v>2891.08</v>
      </c>
      <c r="C13" s="3">
        <f>2698+756.98+53.28</f>
        <v>3508.26</v>
      </c>
      <c r="D13" s="3">
        <f>2625.38+695.9+9.08</f>
        <v>3330.36</v>
      </c>
      <c r="E13" s="3">
        <f>3440.79+26.01+75.41</f>
        <v>3542.21</v>
      </c>
      <c r="G13" s="3">
        <v>34543</v>
      </c>
      <c r="H13" s="3">
        <v>36081</v>
      </c>
      <c r="I13" s="3">
        <v>37711</v>
      </c>
      <c r="J13" s="3">
        <v>39136</v>
      </c>
      <c r="L13" s="4">
        <f t="shared" si="0"/>
        <v>167.39020930434532</v>
      </c>
      <c r="M13" s="4">
        <f t="shared" si="1"/>
        <v>194.4657853163715</v>
      </c>
      <c r="N13" s="4">
        <f t="shared" si="2"/>
        <v>176.62538781787808</v>
      </c>
      <c r="O13" s="4">
        <f t="shared" si="3"/>
        <v>181.0205437448896</v>
      </c>
      <c r="Q13" s="3">
        <v>435.97</v>
      </c>
      <c r="R13" s="3">
        <v>453.53</v>
      </c>
      <c r="S13" s="3">
        <v>460.3</v>
      </c>
      <c r="T13" s="3">
        <v>456.53</v>
      </c>
      <c r="V13" s="4">
        <f t="shared" si="4"/>
        <v>25.24216194308543</v>
      </c>
      <c r="W13" s="4">
        <f t="shared" si="5"/>
        <v>25.139547130068454</v>
      </c>
      <c r="X13" s="4">
        <f t="shared" si="6"/>
        <v>24.41197528572565</v>
      </c>
      <c r="Y13" s="4">
        <f t="shared" si="7"/>
        <v>23.330437448896156</v>
      </c>
    </row>
    <row r="14" spans="1:25" ht="12.75">
      <c r="A14" s="2" t="s">
        <v>12</v>
      </c>
      <c r="B14" s="3">
        <f>2275.58+864.22+79.63</f>
        <v>3219.4300000000003</v>
      </c>
      <c r="C14" s="3">
        <f>589.63+52.21+2598.43</f>
        <v>3240.27</v>
      </c>
      <c r="D14" s="3">
        <f>2567.32+622.37+88.68</f>
        <v>3278.37</v>
      </c>
      <c r="E14" s="3">
        <f>3478.89+24.96+104.88</f>
        <v>3608.73</v>
      </c>
      <c r="G14" s="3">
        <v>34710</v>
      </c>
      <c r="H14" s="3">
        <v>36306</v>
      </c>
      <c r="I14" s="3">
        <v>37765</v>
      </c>
      <c r="J14" s="3">
        <v>39051</v>
      </c>
      <c r="L14" s="4">
        <f t="shared" si="0"/>
        <v>185.50446557188133</v>
      </c>
      <c r="M14" s="4">
        <f t="shared" si="1"/>
        <v>178.49776896380763</v>
      </c>
      <c r="N14" s="4">
        <f t="shared" si="2"/>
        <v>173.61948894479016</v>
      </c>
      <c r="O14" s="4">
        <f t="shared" si="3"/>
        <v>184.8213874164554</v>
      </c>
      <c r="Q14" s="3">
        <v>452.58</v>
      </c>
      <c r="R14" s="3">
        <v>433.38</v>
      </c>
      <c r="S14" s="3">
        <v>441.58</v>
      </c>
      <c r="T14" s="3">
        <v>504.75</v>
      </c>
      <c r="V14" s="4">
        <f t="shared" si="4"/>
        <v>26.077787381158167</v>
      </c>
      <c r="W14" s="4">
        <f t="shared" si="5"/>
        <v>23.873739877706164</v>
      </c>
      <c r="X14" s="4">
        <f t="shared" si="6"/>
        <v>23.38567456639746</v>
      </c>
      <c r="Y14" s="4">
        <f t="shared" si="7"/>
        <v>25.8508104786049</v>
      </c>
    </row>
    <row r="15" spans="1:25" ht="12.75">
      <c r="A15" s="2" t="s">
        <v>13</v>
      </c>
      <c r="B15" s="3">
        <f>1909.92+784.14+39.13</f>
        <v>2733.19</v>
      </c>
      <c r="C15" s="3">
        <f>2484.27+532.51+67.95</f>
        <v>3084.7299999999996</v>
      </c>
      <c r="D15" s="3">
        <f>2746.93+658.67+81.86</f>
        <v>3487.46</v>
      </c>
      <c r="E15" s="3">
        <f>3608.05+13.48+125.16</f>
        <v>3746.69</v>
      </c>
      <c r="G15" s="3">
        <v>34785</v>
      </c>
      <c r="H15" s="3">
        <v>36237</v>
      </c>
      <c r="I15" s="3">
        <v>37977</v>
      </c>
      <c r="J15" s="3">
        <v>39032</v>
      </c>
      <c r="L15" s="4">
        <f t="shared" si="0"/>
        <v>157.1476211010493</v>
      </c>
      <c r="M15" s="4">
        <f t="shared" si="1"/>
        <v>170.25305626845486</v>
      </c>
      <c r="N15" s="4">
        <f t="shared" si="2"/>
        <v>183.66168997024513</v>
      </c>
      <c r="O15" s="4">
        <f t="shared" si="3"/>
        <v>191.9804263168682</v>
      </c>
      <c r="Q15" s="3">
        <v>408.14</v>
      </c>
      <c r="R15" s="3">
        <v>432.36</v>
      </c>
      <c r="S15" s="3">
        <v>491.19</v>
      </c>
      <c r="T15" s="3">
        <v>506.55</v>
      </c>
      <c r="V15" s="4">
        <f t="shared" si="4"/>
        <v>23.46643668247808</v>
      </c>
      <c r="W15" s="4">
        <f t="shared" si="5"/>
        <v>23.862902558158787</v>
      </c>
      <c r="X15" s="4">
        <f t="shared" si="6"/>
        <v>25.867762066513944</v>
      </c>
      <c r="Y15" s="4">
        <f t="shared" si="7"/>
        <v>25.955626152900184</v>
      </c>
    </row>
    <row r="16" spans="1:25" ht="12.75">
      <c r="A16" s="2" t="s">
        <v>14</v>
      </c>
      <c r="B16" s="3">
        <f>2275.51+714.34+7.89</f>
        <v>2997.7400000000002</v>
      </c>
      <c r="C16" s="3">
        <f>2564.82+608.59+83.3</f>
        <v>3256.7100000000005</v>
      </c>
      <c r="D16" s="3">
        <f>2814.73+652.83+76.79</f>
        <v>3544.35</v>
      </c>
      <c r="E16" s="3">
        <f>3215.09+7.02+75.5</f>
        <v>3297.61</v>
      </c>
      <c r="G16" s="3">
        <v>35121</v>
      </c>
      <c r="H16" s="3">
        <v>36417</v>
      </c>
      <c r="I16" s="3">
        <v>38056</v>
      </c>
      <c r="J16" s="3">
        <v>39175</v>
      </c>
      <c r="L16" s="4">
        <f t="shared" si="0"/>
        <v>170.7092622647419</v>
      </c>
      <c r="M16" s="4">
        <f t="shared" si="1"/>
        <v>178.85657797182637</v>
      </c>
      <c r="N16" s="4">
        <f t="shared" si="2"/>
        <v>186.27023334034055</v>
      </c>
      <c r="O16" s="4">
        <f t="shared" si="3"/>
        <v>168.35277600510528</v>
      </c>
      <c r="Q16" s="3">
        <v>462.86</v>
      </c>
      <c r="R16" s="3">
        <v>449.95</v>
      </c>
      <c r="S16" s="3">
        <v>493.64</v>
      </c>
      <c r="T16" s="3">
        <v>452.6</v>
      </c>
      <c r="V16" s="4">
        <f t="shared" si="4"/>
        <v>26.358019418581474</v>
      </c>
      <c r="W16" s="4">
        <f t="shared" si="5"/>
        <v>24.710986627124694</v>
      </c>
      <c r="X16" s="4">
        <f t="shared" si="6"/>
        <v>25.94282110573891</v>
      </c>
      <c r="Y16" s="4">
        <f t="shared" si="7"/>
        <v>23.10657306955967</v>
      </c>
    </row>
    <row r="17" spans="1:25" ht="12.75">
      <c r="A17" s="2" t="s">
        <v>15</v>
      </c>
      <c r="B17" s="3">
        <f>2210.96+874.39+42.56</f>
        <v>3127.91</v>
      </c>
      <c r="C17" s="3">
        <f>2357.95+581.22+81.97</f>
        <v>3021.14</v>
      </c>
      <c r="D17" s="3">
        <f>2271.96+611.36+72.26</f>
        <v>2955.5800000000004</v>
      </c>
      <c r="E17" s="3">
        <f>3208.34+31.98+102.53</f>
        <v>3342.8500000000004</v>
      </c>
      <c r="G17" s="3">
        <v>34982</v>
      </c>
      <c r="H17" s="3">
        <v>36331</v>
      </c>
      <c r="I17" s="3">
        <v>37816</v>
      </c>
      <c r="J17" s="3">
        <v>39093</v>
      </c>
      <c r="L17" s="4">
        <f t="shared" si="0"/>
        <v>178.8296838374021</v>
      </c>
      <c r="M17" s="4">
        <f t="shared" si="1"/>
        <v>166.31196498857724</v>
      </c>
      <c r="N17" s="4">
        <f t="shared" si="2"/>
        <v>156.3137296382484</v>
      </c>
      <c r="O17" s="4">
        <f t="shared" si="3"/>
        <v>171.02038728161054</v>
      </c>
      <c r="Q17" s="3">
        <v>481.55</v>
      </c>
      <c r="R17" s="3">
        <v>422.21</v>
      </c>
      <c r="S17" s="3">
        <v>424.78</v>
      </c>
      <c r="T17" s="3">
        <v>498.06</v>
      </c>
      <c r="V17" s="4">
        <f t="shared" si="4"/>
        <v>27.531301812360642</v>
      </c>
      <c r="W17" s="4">
        <f t="shared" si="5"/>
        <v>23.24241006303157</v>
      </c>
      <c r="X17" s="4">
        <f t="shared" si="6"/>
        <v>22.4656230167125</v>
      </c>
      <c r="Y17" s="4">
        <f t="shared" si="7"/>
        <v>25.480776609623206</v>
      </c>
    </row>
    <row r="18" spans="1:25" ht="12.75">
      <c r="A18" s="2" t="s">
        <v>16</v>
      </c>
      <c r="B18" s="3">
        <f>1934.22+809.89+48.29</f>
        <v>2792.4</v>
      </c>
      <c r="C18" s="3">
        <f>2654.02+465.58+81.87</f>
        <v>3201.47</v>
      </c>
      <c r="D18" s="3">
        <f>2647.07+688.44+81.96</f>
        <v>3417.4700000000003</v>
      </c>
      <c r="E18" s="3">
        <v>3415.2</v>
      </c>
      <c r="G18" s="3">
        <v>35067</v>
      </c>
      <c r="H18" s="3">
        <v>36270</v>
      </c>
      <c r="I18" s="3">
        <v>37725</v>
      </c>
      <c r="J18" s="3">
        <v>39119</v>
      </c>
      <c r="L18" s="4">
        <f t="shared" si="0"/>
        <v>159.26084352810335</v>
      </c>
      <c r="M18" s="4">
        <f t="shared" si="1"/>
        <v>176.5354287289771</v>
      </c>
      <c r="N18" s="4">
        <f t="shared" si="2"/>
        <v>181.17799867461898</v>
      </c>
      <c r="O18" s="4">
        <f t="shared" si="3"/>
        <v>174.6056903295074</v>
      </c>
      <c r="Q18" s="3">
        <v>482.74</v>
      </c>
      <c r="R18" s="3">
        <v>510.11</v>
      </c>
      <c r="S18" s="3">
        <v>555.74</v>
      </c>
      <c r="T18" s="3">
        <v>530.81</v>
      </c>
      <c r="V18" s="4">
        <f t="shared" si="4"/>
        <v>27.532437904582654</v>
      </c>
      <c r="W18" s="4">
        <f t="shared" si="5"/>
        <v>28.128480838158257</v>
      </c>
      <c r="X18" s="4">
        <f t="shared" si="6"/>
        <v>29.462690523525513</v>
      </c>
      <c r="Y18" s="4">
        <f t="shared" si="7"/>
        <v>27.138219279633937</v>
      </c>
    </row>
    <row r="19" spans="10:20" ht="12.75">
      <c r="J19" s="3"/>
      <c r="Q19" s="3"/>
      <c r="R19" s="3"/>
      <c r="S19" s="3"/>
      <c r="T19" s="3"/>
    </row>
    <row r="20" spans="2:25" ht="12.75">
      <c r="B20" s="5">
        <f>SUM(B7:B19)</f>
        <v>32237.290000000005</v>
      </c>
      <c r="C20" s="5">
        <f>SUM(C7:C19)</f>
        <v>37281.57</v>
      </c>
      <c r="D20" s="5">
        <f>SUM(D7:D19)</f>
        <v>38640.63</v>
      </c>
      <c r="E20" s="5">
        <f>SUM(E7:E19)</f>
        <v>40645.73999999999</v>
      </c>
      <c r="G20" s="5">
        <f>SUM(G7:G19)</f>
        <v>400495</v>
      </c>
      <c r="H20" s="5">
        <f>SUM(H7:H19)</f>
        <v>431817.5</v>
      </c>
      <c r="I20" s="5">
        <f>SUM(I7:I19)</f>
        <v>448766</v>
      </c>
      <c r="J20" s="5">
        <f>SUM(J7:J19)</f>
        <v>464377</v>
      </c>
      <c r="L20" s="4">
        <f>+B20*2000/G20</f>
        <v>160.9872283049726</v>
      </c>
      <c r="M20" s="4">
        <f>+C20*2000/H20</f>
        <v>172.67280737811691</v>
      </c>
      <c r="N20" s="4">
        <f>+D20*2000/I20</f>
        <v>172.20836694401982</v>
      </c>
      <c r="O20" s="4">
        <f>+E20*2000/J20</f>
        <v>175.0549230474377</v>
      </c>
      <c r="Q20" s="3">
        <f>SUM(Q7:Q19)</f>
        <v>5391.09</v>
      </c>
      <c r="R20" s="3">
        <f>SUM(R7:R19)</f>
        <v>5335.93</v>
      </c>
      <c r="S20" s="3">
        <f>SUM(S7:S19)</f>
        <v>5581.889999999999</v>
      </c>
      <c r="T20" s="3">
        <f>SUM(T7:T19)</f>
        <v>5786.230000000001</v>
      </c>
      <c r="V20" s="4">
        <f>+Q20/G20*2000</f>
        <v>26.922133859349053</v>
      </c>
      <c r="W20" s="4">
        <f>+R20/H20*2000</f>
        <v>24.71382007445275</v>
      </c>
      <c r="X20" s="4">
        <f>+S20/I20*2000</f>
        <v>24.876617212533926</v>
      </c>
      <c r="Y20" s="4">
        <f>+T20/J20*2000</f>
        <v>24.92039872775784</v>
      </c>
    </row>
    <row r="21" spans="12:20" ht="12.75">
      <c r="L21" s="6"/>
      <c r="M21" s="7"/>
      <c r="T21" s="4"/>
    </row>
    <row r="22" spans="4:25" ht="12.75">
      <c r="D22" s="8" t="s">
        <v>17</v>
      </c>
      <c r="E22" s="5">
        <f>SUM(B20:E20)</f>
        <v>148805.22999999998</v>
      </c>
      <c r="I22" s="8" t="s">
        <v>17</v>
      </c>
      <c r="J22" s="5">
        <f>SUM(G20:J20)</f>
        <v>1745455.5</v>
      </c>
      <c r="N22" s="8" t="s">
        <v>18</v>
      </c>
      <c r="O22" s="4">
        <f>+E22*2000/J22</f>
        <v>170.50589946291953</v>
      </c>
      <c r="S22" s="8" t="s">
        <v>17</v>
      </c>
      <c r="T22" s="5">
        <f>SUM(Q20:T20)</f>
        <v>22095.14</v>
      </c>
      <c r="X22" s="8" t="s">
        <v>18</v>
      </c>
      <c r="Y22" s="4">
        <f>+T22/J22*2000</f>
        <v>25.317334071249597</v>
      </c>
    </row>
  </sheetData>
  <mergeCells count="5">
    <mergeCell ref="V5:Y5"/>
    <mergeCell ref="B5:E5"/>
    <mergeCell ref="G5:J5"/>
    <mergeCell ref="L5:O5"/>
    <mergeCell ref="Q5:T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Lloyd</dc:creator>
  <cp:keywords/>
  <dc:description/>
  <cp:lastModifiedBy>Mike Sommerville, Customer Service Specialist 3</cp:lastModifiedBy>
  <dcterms:created xsi:type="dcterms:W3CDTF">2005-09-13T17:55:35Z</dcterms:created>
  <dcterms:modified xsi:type="dcterms:W3CDTF">2005-10-11T15:33:56Z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688583532</vt:i4>
  </property>
  <property fmtid="{D5CDD505-2E9C-101B-9397-08002B2CF9AE}" pid="3" name="_EmailSubject">
    <vt:lpwstr>Recycle Reports</vt:lpwstr>
  </property>
  <property fmtid="{D5CDD505-2E9C-101B-9397-08002B2CF9AE}" pid="4" name="_AuthorEmail">
    <vt:lpwstr>JohnLloyd@Lemayinc.com</vt:lpwstr>
  </property>
  <property fmtid="{D5CDD505-2E9C-101B-9397-08002B2CF9AE}" pid="5" name="_AuthorEmailDisplayName">
    <vt:lpwstr>John Lloyd</vt:lpwstr>
  </property>
  <property fmtid="{D5CDD505-2E9C-101B-9397-08002B2CF9AE}" pid="6" name="_ReviewingToolsShownOnce">
    <vt:lpwstr/>
  </property>
  <property fmtid="{D5CDD505-2E9C-101B-9397-08002B2CF9AE}" pid="7" name="DocumentSetType">
    <vt:lpwstr>Compliance</vt:lpwstr>
  </property>
  <property fmtid="{D5CDD505-2E9C-101B-9397-08002B2CF9AE}" pid="8" name="IsHighlyConfidential">
    <vt:lpwstr>0</vt:lpwstr>
  </property>
  <property fmtid="{D5CDD505-2E9C-101B-9397-08002B2CF9AE}" pid="9" name="DocketNumber">
    <vt:lpwstr>050074</vt:lpwstr>
  </property>
  <property fmtid="{D5CDD505-2E9C-101B-9397-08002B2CF9AE}" pid="10" name="IsConfidential">
    <vt:lpwstr>0</vt:lpwstr>
  </property>
  <property fmtid="{D5CDD505-2E9C-101B-9397-08002B2CF9AE}" pid="11" name="Date1">
    <vt:lpwstr>2005-09-13T00:00:00Z</vt:lpwstr>
  </property>
  <property fmtid="{D5CDD505-2E9C-101B-9397-08002B2CF9AE}" pid="12" name="CaseType">
    <vt:lpwstr>Tariff Revision</vt:lpwstr>
  </property>
  <property fmtid="{D5CDD505-2E9C-101B-9397-08002B2CF9AE}" pid="13" name="OpenedDate">
    <vt:lpwstr>2005-01-14T00:00:00Z</vt:lpwstr>
  </property>
  <property fmtid="{D5CDD505-2E9C-101B-9397-08002B2CF9AE}" pid="14" name="Prefix">
    <vt:lpwstr>TG</vt:lpwstr>
  </property>
  <property fmtid="{D5CDD505-2E9C-101B-9397-08002B2CF9AE}" pid="15" name="CaseCompanyNames">
    <vt:lpwstr>HAROLD LEMAY ENTERPRISES, INC.</vt:lpwstr>
  </property>
  <property fmtid="{D5CDD505-2E9C-101B-9397-08002B2CF9AE}" pid="16" name="IndustryCode">
    <vt:lpwstr>227</vt:lpwstr>
  </property>
  <property fmtid="{D5CDD505-2E9C-101B-9397-08002B2CF9AE}" pid="17" name="CaseStatus">
    <vt:lpwstr>Closed</vt:lpwstr>
  </property>
  <property fmtid="{D5CDD505-2E9C-101B-9397-08002B2CF9AE}" pid="18" name="_docset_NoMedatataSyncRequired">
    <vt:lpwstr>False</vt:lpwstr>
  </property>
  <property fmtid="{D5CDD505-2E9C-101B-9397-08002B2CF9AE}" pid="19" name="Nickname">
    <vt:lpwstr/>
  </property>
  <property fmtid="{D5CDD505-2E9C-101B-9397-08002B2CF9AE}" pid="20" name="Process">
    <vt:lpwstr/>
  </property>
  <property fmtid="{D5CDD505-2E9C-101B-9397-08002B2CF9AE}" pid="21" name="Visibility">
    <vt:lpwstr/>
  </property>
  <property fmtid="{D5CDD505-2E9C-101B-9397-08002B2CF9AE}" pid="22" name="DocumentGroup">
    <vt:lpwstr/>
  </property>
</Properties>
</file>