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2" activeTab="4"/>
  </bookViews>
  <sheets>
    <sheet name="Total KC Waste Stream Report" sheetId="1" r:id="rId1"/>
    <sheet name="Sno-King Waste Stream Report" sheetId="2" r:id="rId2"/>
    <sheet name="SKC Waste Stream Report" sheetId="3" r:id="rId3"/>
    <sheet name="Residential Commodity Revenue" sheetId="4" r:id="rId4"/>
    <sheet name="MF Commodity Revenue" sheetId="5" r:id="rId5"/>
  </sheets>
  <externalReferences>
    <externalReference r:id="rId8"/>
    <externalReference r:id="rId9"/>
  </externalReferences>
  <definedNames>
    <definedName name="_xlnm.Print_Area" localSheetId="4">'MF Commodity Revenue'!$A$1:$S$42</definedName>
    <definedName name="_xlnm.Print_Area" localSheetId="3">'Residential Commodity Revenue'!$A$1:$S$42</definedName>
    <definedName name="_xlnm.Print_Area" localSheetId="2">'SKC Waste Stream Report'!$A$1:$R$74</definedName>
    <definedName name="_xlnm.Print_Area" localSheetId="1">'Sno-King Waste Stream Report'!$A$1:$R$69</definedName>
    <definedName name="_xlnm.Print_Area" localSheetId="0">'Total KC Waste Stream Report'!$A$1:$R$75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<sst xmlns="http://schemas.openxmlformats.org/spreadsheetml/2006/main" count="511" uniqueCount="107">
  <si>
    <t>Aluminum</t>
  </si>
  <si>
    <t>Glass</t>
  </si>
  <si>
    <t>Newspaper</t>
  </si>
  <si>
    <t>Tin Cans</t>
  </si>
  <si>
    <t>Residue</t>
  </si>
  <si>
    <t>Mix Paper</t>
  </si>
  <si>
    <t>PET</t>
  </si>
  <si>
    <t>Jan</t>
  </si>
  <si>
    <t>Feb</t>
  </si>
  <si>
    <t>Mar</t>
  </si>
  <si>
    <t>May</t>
  </si>
  <si>
    <t>June</t>
  </si>
  <si>
    <t>July</t>
  </si>
  <si>
    <t>Aug</t>
  </si>
  <si>
    <t>Total</t>
  </si>
  <si>
    <t xml:space="preserve"> TONS COLLECTED</t>
  </si>
  <si>
    <t>August</t>
  </si>
  <si>
    <t>September</t>
  </si>
  <si>
    <t xml:space="preserve">TOTAL </t>
  </si>
  <si>
    <t xml:space="preserve"> RESIDENTIAL WASTE STREAM</t>
  </si>
  <si>
    <t xml:space="preserve">Residential Yard Waste </t>
  </si>
  <si>
    <t xml:space="preserve">Residential Solid Waste </t>
  </si>
  <si>
    <t>TOTAL RESIDENTIAL</t>
  </si>
  <si>
    <t xml:space="preserve"> MULTI-FAMILY WASTE STREAM</t>
  </si>
  <si>
    <t xml:space="preserve">Multi-Family Recycling </t>
  </si>
  <si>
    <t xml:space="preserve">Multi-Family Yard Waste </t>
  </si>
  <si>
    <t xml:space="preserve">Multi-Family Solid Waste </t>
  </si>
  <si>
    <t>TOTAL MULTI-FAMILY</t>
  </si>
  <si>
    <t xml:space="preserve"> TOTAL WASTE STREAM</t>
  </si>
  <si>
    <t xml:space="preserve"> PARTICIPATION STATISTICS</t>
  </si>
  <si>
    <t xml:space="preserve"> Residential Curbside Recycling </t>
  </si>
  <si>
    <t xml:space="preserve"> Residential Yard Waste </t>
  </si>
  <si>
    <t xml:space="preserve"> WASTE STREAM DIVERSIONS</t>
  </si>
  <si>
    <t xml:space="preserve"> Residential Waste Stream </t>
  </si>
  <si>
    <t xml:space="preserve">From Curbside Recycling </t>
  </si>
  <si>
    <t xml:space="preserve">From Yard Waste </t>
  </si>
  <si>
    <t xml:space="preserve">From all Residential Programs </t>
  </si>
  <si>
    <t xml:space="preserve"> Multi-Family Waste Stream </t>
  </si>
  <si>
    <t xml:space="preserve">From Multi-Family Recycling </t>
  </si>
  <si>
    <t>From Multi-Family Yard Waste</t>
  </si>
  <si>
    <t xml:space="preserve">From All Multi-Family Programs </t>
  </si>
  <si>
    <t>% of</t>
  </si>
  <si>
    <t>Materials</t>
  </si>
  <si>
    <t>Jul</t>
  </si>
  <si>
    <t>Sep</t>
  </si>
  <si>
    <t>Tonnage</t>
  </si>
  <si>
    <t>per ton</t>
  </si>
  <si>
    <t>Revenue</t>
  </si>
  <si>
    <t>1-32gal Can Monthly</t>
  </si>
  <si>
    <t>1-10gal Mini Can</t>
  </si>
  <si>
    <t>1-20gal Mini Can</t>
  </si>
  <si>
    <t>1-32gal Can</t>
  </si>
  <si>
    <t>2-32gal Cans</t>
  </si>
  <si>
    <t>3-32gal Cans</t>
  </si>
  <si>
    <t>4-32gal Cans</t>
  </si>
  <si>
    <t>5-32gal Cans</t>
  </si>
  <si>
    <t>1 35 Gal Cart</t>
  </si>
  <si>
    <t>1 64 Gal Cart</t>
  </si>
  <si>
    <t>1 96 Gal Cart</t>
  </si>
  <si>
    <t>Cans</t>
  </si>
  <si>
    <t>64 Gal Carts</t>
  </si>
  <si>
    <t>96 Gal Carts</t>
  </si>
  <si>
    <t>1 yard</t>
  </si>
  <si>
    <t>1.5 yard</t>
  </si>
  <si>
    <t>2 yard</t>
  </si>
  <si>
    <t>3 yard</t>
  </si>
  <si>
    <t>4 yard</t>
  </si>
  <si>
    <t>6 yard</t>
  </si>
  <si>
    <t>8 yard</t>
  </si>
  <si>
    <t>20 yd comp</t>
  </si>
  <si>
    <t>30 yd comp</t>
  </si>
  <si>
    <t>April</t>
  </si>
  <si>
    <t>October</t>
  </si>
  <si>
    <t>November</t>
  </si>
  <si>
    <t>December</t>
  </si>
  <si>
    <t>Total Customers</t>
  </si>
  <si>
    <t>Average Set-Out %</t>
  </si>
  <si>
    <t xml:space="preserve">Average Lbs. Per Set-out </t>
  </si>
  <si>
    <t xml:space="preserve">Average Set-Out % </t>
  </si>
  <si>
    <t xml:space="preserve">Residential Recycling: </t>
  </si>
  <si>
    <t>Baseline</t>
  </si>
  <si>
    <t>Data</t>
  </si>
  <si>
    <t>N/A</t>
  </si>
  <si>
    <t>Total Setouts</t>
  </si>
  <si>
    <t xml:space="preserve"> TOTAL Residential/MF DIVERSION %</t>
  </si>
  <si>
    <t xml:space="preserve"> TOTAL Residential/MF DIVERSION(w/o Yard Waste) %</t>
  </si>
  <si>
    <t>Average</t>
  </si>
  <si>
    <t xml:space="preserve"> Multi-Family Recycling </t>
  </si>
  <si>
    <t>Total 3rd Quarter</t>
  </si>
  <si>
    <t>Total King County</t>
  </si>
  <si>
    <t>Waste Management - Sno-King(King County North)</t>
  </si>
  <si>
    <t>Waste Management of South Sound(King County South)</t>
  </si>
  <si>
    <t>Multi-Family Commodity Sales Revenue</t>
  </si>
  <si>
    <t>Residential Commodity Sales Revenue</t>
  </si>
  <si>
    <t>Commodity</t>
  </si>
  <si>
    <t>25 yd comp</t>
  </si>
  <si>
    <t>1.25 yard</t>
  </si>
  <si>
    <t>January</t>
  </si>
  <si>
    <t>February</t>
  </si>
  <si>
    <t>March</t>
  </si>
  <si>
    <t>Waste Stream Summary Report - 3 months ended March, 2004</t>
  </si>
  <si>
    <t>Colored HDPE</t>
  </si>
  <si>
    <t>Natural HDPE</t>
  </si>
  <si>
    <t>Mixed Plastics</t>
  </si>
  <si>
    <t>Waste Management of South Sound(King County South)-1st Quarter 2004</t>
  </si>
  <si>
    <t>Waste Management - Sno-King(King County North)-1st Quarter 2004</t>
  </si>
  <si>
    <t>Total 1st Quarter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</si>
</sst>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mmmm\-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&quot;$&quot;#,##0.00"/>
    <numFmt numFmtId="172" formatCode="&quot;$&quot;#,##0"/>
    <numFmt numFmtId="173" formatCode="_(* #,##0.0000_);_(* \(#,##0.0000\);_(* &quot;-&quot;????_);_(@_)"/>
    <numFmt numFmtId="174" formatCode="_(* #,##0.000000_);_(* \(#,##0.000000\);_(* &quot;-&quot;??????_);_(@_)"/>
  </numFmts>
  <fonts count="18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u val="single"/>
      <sz val="10"/>
      <name val="Arial"/>
      <family val="0"/>
    </font>
    <font>
      <b/>
      <u val="double"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2"/>
    </font>
    <font>
      <b/>
      <i/>
      <u val="single"/>
      <sz val="11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double"/>
      <top style="double">
        <color indexed="8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>
        <color indexed="8"/>
      </bottom>
    </border>
    <border>
      <left style="thin"/>
      <right style="double"/>
      <top style="double">
        <color indexed="8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21" applyNumberFormat="1" applyAlignment="1">
      <alignment/>
    </xf>
    <xf numFmtId="0" fontId="1" fillId="0" borderId="0" xfId="0" applyFont="1" applyAlignment="1">
      <alignment horizontal="center"/>
    </xf>
    <xf numFmtId="43" fontId="0" fillId="0" borderId="0" xfId="15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2" xfId="15" applyFont="1" applyBorder="1" applyAlignment="1" applyProtection="1">
      <alignment horizontal="center"/>
      <protection locked="0"/>
    </xf>
    <xf numFmtId="43" fontId="1" fillId="2" borderId="13" xfId="15" applyFont="1" applyFill="1" applyBorder="1" applyAlignment="1">
      <alignment horizontal="center"/>
    </xf>
    <xf numFmtId="43" fontId="1" fillId="2" borderId="14" xfId="15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43" fontId="1" fillId="0" borderId="15" xfId="15" applyFont="1" applyBorder="1" applyAlignment="1" applyProtection="1">
      <alignment horizontal="center"/>
      <protection/>
    </xf>
    <xf numFmtId="43" fontId="0" fillId="0" borderId="12" xfId="15" applyFont="1" applyBorder="1" applyAlignment="1" applyProtection="1">
      <alignment horizontal="center"/>
      <protection/>
    </xf>
    <xf numFmtId="43" fontId="1" fillId="2" borderId="5" xfId="15" applyFont="1" applyFill="1" applyBorder="1" applyAlignment="1">
      <alignment horizontal="center"/>
    </xf>
    <xf numFmtId="43" fontId="0" fillId="0" borderId="16" xfId="15" applyFont="1" applyBorder="1" applyAlignment="1" applyProtection="1">
      <alignment horizontal="center"/>
      <protection locked="0"/>
    </xf>
    <xf numFmtId="0" fontId="11" fillId="0" borderId="6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0" fillId="2" borderId="18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20" xfId="0" applyBorder="1" applyAlignment="1">
      <alignment/>
    </xf>
    <xf numFmtId="10" fontId="0" fillId="0" borderId="16" xfId="0" applyNumberFormat="1" applyBorder="1" applyAlignment="1">
      <alignment horizontal="center"/>
    </xf>
    <xf numFmtId="10" fontId="1" fillId="2" borderId="21" xfId="0" applyNumberFormat="1" applyFont="1" applyFill="1" applyBorder="1" applyAlignment="1">
      <alignment horizontal="center"/>
    </xf>
    <xf numFmtId="0" fontId="10" fillId="0" borderId="4" xfId="0" applyFont="1" applyBorder="1" applyAlignment="1">
      <alignment/>
    </xf>
    <xf numFmtId="10" fontId="0" fillId="0" borderId="22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7" xfId="0" applyBorder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164" fontId="3" fillId="0" borderId="0" xfId="21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4" fontId="0" fillId="0" borderId="0" xfId="17" applyAlignment="1">
      <alignment/>
    </xf>
    <xf numFmtId="44" fontId="4" fillId="0" borderId="0" xfId="17" applyFont="1" applyAlignment="1">
      <alignment/>
    </xf>
    <xf numFmtId="43" fontId="0" fillId="0" borderId="23" xfId="15" applyBorder="1" applyAlignment="1">
      <alignment/>
    </xf>
    <xf numFmtId="44" fontId="12" fillId="0" borderId="0" xfId="17" applyFont="1" applyAlignment="1">
      <alignment/>
    </xf>
    <xf numFmtId="0" fontId="0" fillId="3" borderId="0" xfId="0" applyFill="1" applyAlignment="1">
      <alignment horizontal="left"/>
    </xf>
    <xf numFmtId="0" fontId="0" fillId="0" borderId="0" xfId="0" applyFont="1" applyBorder="1" applyAlignment="1">
      <alignment/>
    </xf>
    <xf numFmtId="166" fontId="1" fillId="2" borderId="13" xfId="15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166" fontId="0" fillId="3" borderId="12" xfId="15" applyNumberFormat="1" applyFill="1" applyBorder="1" applyAlignment="1">
      <alignment horizontal="center"/>
    </xf>
    <xf numFmtId="166" fontId="0" fillId="3" borderId="0" xfId="15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43" fontId="0" fillId="3" borderId="12" xfId="15" applyFont="1" applyFill="1" applyBorder="1" applyAlignment="1" applyProtection="1">
      <alignment horizontal="center"/>
      <protection locked="0"/>
    </xf>
    <xf numFmtId="43" fontId="0" fillId="0" borderId="24" xfId="15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43" fontId="1" fillId="0" borderId="25" xfId="15" applyFont="1" applyBorder="1" applyAlignment="1">
      <alignment/>
    </xf>
    <xf numFmtId="0" fontId="10" fillId="0" borderId="1" xfId="0" applyFont="1" applyFill="1" applyBorder="1" applyAlignment="1">
      <alignment/>
    </xf>
    <xf numFmtId="166" fontId="0" fillId="0" borderId="0" xfId="0" applyNumberFormat="1" applyAlignment="1">
      <alignment/>
    </xf>
    <xf numFmtId="43" fontId="1" fillId="0" borderId="0" xfId="15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43" fontId="11" fillId="0" borderId="28" xfId="15" applyFont="1" applyBorder="1" applyAlignment="1" applyProtection="1">
      <alignment horizontal="center"/>
      <protection/>
    </xf>
    <xf numFmtId="43" fontId="11" fillId="2" borderId="29" xfId="15" applyFont="1" applyFill="1" applyBorder="1" applyAlignment="1">
      <alignment horizontal="center"/>
    </xf>
    <xf numFmtId="43" fontId="10" fillId="0" borderId="15" xfId="15" applyFont="1" applyBorder="1" applyAlignment="1" applyProtection="1">
      <alignment horizontal="center"/>
      <protection/>
    </xf>
    <xf numFmtId="43" fontId="10" fillId="2" borderId="21" xfId="15" applyFont="1" applyFill="1" applyBorder="1" applyAlignment="1">
      <alignment horizontal="center"/>
    </xf>
    <xf numFmtId="10" fontId="11" fillId="0" borderId="30" xfId="0" applyNumberFormat="1" applyFont="1" applyBorder="1" applyAlignment="1">
      <alignment horizontal="center"/>
    </xf>
    <xf numFmtId="10" fontId="11" fillId="0" borderId="31" xfId="0" applyNumberFormat="1" applyFont="1" applyBorder="1" applyAlignment="1">
      <alignment horizontal="center"/>
    </xf>
    <xf numFmtId="10" fontId="11" fillId="2" borderId="29" xfId="0" applyNumberFormat="1" applyFont="1" applyFill="1" applyBorder="1" applyAlignment="1">
      <alignment horizontal="center"/>
    </xf>
    <xf numFmtId="10" fontId="11" fillId="0" borderId="32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10" fontId="10" fillId="0" borderId="18" xfId="21" applyNumberFormat="1" applyFont="1" applyBorder="1" applyAlignment="1">
      <alignment horizontal="center"/>
    </xf>
    <xf numFmtId="10" fontId="11" fillId="0" borderId="33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0" fontId="1" fillId="0" borderId="0" xfId="21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3" borderId="0" xfId="0" applyNumberFormat="1" applyFont="1" applyFill="1" applyBorder="1" applyAlignment="1">
      <alignment/>
    </xf>
    <xf numFmtId="43" fontId="1" fillId="3" borderId="0" xfId="0" applyNumberFormat="1" applyFont="1" applyFill="1" applyBorder="1" applyAlignment="1">
      <alignment horizontal="center"/>
    </xf>
    <xf numFmtId="43" fontId="0" fillId="3" borderId="36" xfId="15" applyFont="1" applyFill="1" applyBorder="1" applyAlignment="1" applyProtection="1">
      <alignment horizontal="center"/>
      <protection locked="0"/>
    </xf>
    <xf numFmtId="43" fontId="1" fillId="0" borderId="35" xfId="15" applyNumberFormat="1" applyFont="1" applyBorder="1" applyAlignment="1">
      <alignment/>
    </xf>
    <xf numFmtId="43" fontId="1" fillId="0" borderId="16" xfId="15" applyFont="1" applyBorder="1" applyAlignment="1" applyProtection="1">
      <alignment horizontal="center"/>
      <protection locked="0"/>
    </xf>
    <xf numFmtId="43" fontId="0" fillId="0" borderId="36" xfId="15" applyFont="1" applyBorder="1" applyAlignment="1" applyProtection="1">
      <alignment horizontal="center"/>
      <protection locked="0"/>
    </xf>
    <xf numFmtId="166" fontId="1" fillId="2" borderId="14" xfId="15" applyNumberFormat="1" applyFont="1" applyFill="1" applyBorder="1" applyAlignment="1">
      <alignment horizontal="center"/>
    </xf>
    <xf numFmtId="43" fontId="0" fillId="0" borderId="36" xfId="15" applyBorder="1" applyAlignment="1">
      <alignment/>
    </xf>
    <xf numFmtId="0" fontId="14" fillId="0" borderId="0" xfId="0" applyFont="1" applyAlignment="1">
      <alignment/>
    </xf>
    <xf numFmtId="169" fontId="0" fillId="0" borderId="0" xfId="0" applyNumberFormat="1" applyAlignment="1">
      <alignment/>
    </xf>
    <xf numFmtId="0" fontId="14" fillId="0" borderId="0" xfId="0" applyFont="1" applyAlignment="1">
      <alignment horizontal="left"/>
    </xf>
    <xf numFmtId="166" fontId="2" fillId="0" borderId="0" xfId="15" applyNumberFormat="1" applyFont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66" fontId="1" fillId="0" borderId="35" xfId="15" applyNumberFormat="1" applyFont="1" applyFill="1" applyBorder="1" applyAlignment="1">
      <alignment/>
    </xf>
    <xf numFmtId="166" fontId="1" fillId="0" borderId="16" xfId="15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10" fillId="3" borderId="2" xfId="0" applyFont="1" applyFill="1" applyBorder="1" applyAlignment="1">
      <alignment/>
    </xf>
    <xf numFmtId="166" fontId="0" fillId="3" borderId="37" xfId="15" applyNumberForma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 horizontal="left"/>
    </xf>
    <xf numFmtId="0" fontId="1" fillId="0" borderId="38" xfId="0" applyFont="1" applyBorder="1" applyAlignment="1">
      <alignment horizontal="center"/>
    </xf>
    <xf numFmtId="169" fontId="0" fillId="0" borderId="0" xfId="17" applyNumberFormat="1" applyAlignment="1">
      <alignment/>
    </xf>
    <xf numFmtId="166" fontId="2" fillId="0" borderId="0" xfId="0" applyNumberFormat="1" applyFont="1" applyAlignment="1">
      <alignment/>
    </xf>
    <xf numFmtId="169" fontId="4" fillId="0" borderId="0" xfId="17" applyNumberFormat="1" applyFont="1" applyAlignment="1">
      <alignment/>
    </xf>
    <xf numFmtId="44" fontId="2" fillId="0" borderId="0" xfId="17" applyFont="1" applyAlignment="1">
      <alignment/>
    </xf>
    <xf numFmtId="169" fontId="4" fillId="0" borderId="0" xfId="0" applyNumberFormat="1" applyFont="1" applyAlignment="1">
      <alignment/>
    </xf>
    <xf numFmtId="43" fontId="1" fillId="0" borderId="24" xfId="15" applyNumberFormat="1" applyFont="1" applyBorder="1" applyAlignment="1">
      <alignment/>
    </xf>
    <xf numFmtId="43" fontId="1" fillId="0" borderId="39" xfId="15" applyNumberFormat="1" applyFont="1" applyBorder="1" applyAlignment="1">
      <alignment/>
    </xf>
    <xf numFmtId="43" fontId="1" fillId="2" borderId="11" xfId="15" applyFont="1" applyFill="1" applyBorder="1" applyAlignment="1">
      <alignment horizontal="center"/>
    </xf>
    <xf numFmtId="43" fontId="1" fillId="0" borderId="0" xfId="15" applyNumberFormat="1" applyFont="1" applyBorder="1" applyAlignment="1">
      <alignment horizontal="center"/>
    </xf>
    <xf numFmtId="43" fontId="0" fillId="0" borderId="23" xfId="15" applyNumberFormat="1" applyFont="1" applyBorder="1" applyAlignment="1">
      <alignment/>
    </xf>
    <xf numFmtId="43" fontId="1" fillId="0" borderId="38" xfId="15" applyNumberFormat="1" applyFont="1" applyBorder="1" applyAlignment="1">
      <alignment/>
    </xf>
    <xf numFmtId="43" fontId="0" fillId="0" borderId="39" xfId="15" applyNumberFormat="1" applyFont="1" applyBorder="1" applyAlignment="1">
      <alignment/>
    </xf>
    <xf numFmtId="43" fontId="1" fillId="3" borderId="0" xfId="15" applyNumberFormat="1" applyFont="1" applyFill="1" applyBorder="1" applyAlignment="1">
      <alignment/>
    </xf>
    <xf numFmtId="43" fontId="0" fillId="3" borderId="40" xfId="15" applyNumberFormat="1" applyFont="1" applyFill="1" applyBorder="1" applyAlignment="1">
      <alignment/>
    </xf>
    <xf numFmtId="43" fontId="0" fillId="3" borderId="23" xfId="15" applyNumberFormat="1" applyFont="1" applyFill="1" applyBorder="1" applyAlignment="1">
      <alignment/>
    </xf>
    <xf numFmtId="43" fontId="1" fillId="3" borderId="0" xfId="15" applyNumberFormat="1" applyFont="1" applyFill="1" applyBorder="1" applyAlignment="1">
      <alignment horizontal="center"/>
    </xf>
    <xf numFmtId="43" fontId="0" fillId="3" borderId="41" xfId="15" applyNumberFormat="1" applyFont="1" applyFill="1" applyBorder="1" applyAlignment="1">
      <alignment/>
    </xf>
    <xf numFmtId="43" fontId="0" fillId="3" borderId="36" xfId="15" applyNumberFormat="1" applyFont="1" applyFill="1" applyBorder="1" applyAlignment="1">
      <alignment/>
    </xf>
    <xf numFmtId="43" fontId="0" fillId="0" borderId="36" xfId="15" applyNumberFormat="1" applyFont="1" applyBorder="1" applyAlignment="1">
      <alignment/>
    </xf>
    <xf numFmtId="43" fontId="0" fillId="0" borderId="24" xfId="15" applyNumberFormat="1" applyFont="1" applyBorder="1" applyAlignment="1">
      <alignment/>
    </xf>
    <xf numFmtId="166" fontId="1" fillId="0" borderId="24" xfId="15" applyNumberFormat="1" applyFont="1" applyFill="1" applyBorder="1" applyAlignment="1">
      <alignment horizontal="center"/>
    </xf>
    <xf numFmtId="166" fontId="0" fillId="3" borderId="23" xfId="15" applyNumberFormat="1" applyFont="1" applyFill="1" applyBorder="1" applyAlignment="1">
      <alignment horizontal="center"/>
    </xf>
    <xf numFmtId="10" fontId="0" fillId="0" borderId="23" xfId="21" applyNumberFormat="1" applyFont="1" applyBorder="1" applyAlignment="1">
      <alignment/>
    </xf>
    <xf numFmtId="43" fontId="0" fillId="0" borderId="23" xfId="15" applyFont="1" applyBorder="1" applyAlignment="1">
      <alignment/>
    </xf>
    <xf numFmtId="43" fontId="0" fillId="0" borderId="36" xfId="15" applyFont="1" applyBorder="1" applyAlignment="1">
      <alignment/>
    </xf>
    <xf numFmtId="166" fontId="1" fillId="0" borderId="35" xfId="15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0" fillId="0" borderId="2" xfId="0" applyFont="1" applyFill="1" applyBorder="1" applyAlignment="1">
      <alignment/>
    </xf>
    <xf numFmtId="0" fontId="7" fillId="0" borderId="0" xfId="0" applyFont="1" applyAlignment="1">
      <alignment horizontal="left"/>
    </xf>
    <xf numFmtId="43" fontId="0" fillId="3" borderId="23" xfId="15" applyFont="1" applyFill="1" applyBorder="1" applyAlignment="1" applyProtection="1">
      <alignment horizontal="center"/>
      <protection locked="0"/>
    </xf>
    <xf numFmtId="0" fontId="0" fillId="0" borderId="22" xfId="0" applyFont="1" applyBorder="1" applyAlignment="1">
      <alignment horizontal="center"/>
    </xf>
    <xf numFmtId="43" fontId="0" fillId="0" borderId="23" xfId="15" applyFont="1" applyBorder="1" applyAlignment="1" applyProtection="1">
      <alignment horizontal="center"/>
      <protection locked="0"/>
    </xf>
    <xf numFmtId="43" fontId="0" fillId="0" borderId="39" xfId="15" applyFont="1" applyBorder="1" applyAlignment="1" applyProtection="1">
      <alignment horizontal="center"/>
      <protection locked="0"/>
    </xf>
    <xf numFmtId="43" fontId="0" fillId="0" borderId="23" xfId="15" applyFont="1" applyBorder="1" applyAlignment="1" applyProtection="1">
      <alignment horizontal="center"/>
      <protection/>
    </xf>
    <xf numFmtId="0" fontId="0" fillId="0" borderId="42" xfId="0" applyFont="1" applyBorder="1" applyAlignment="1">
      <alignment horizontal="center"/>
    </xf>
    <xf numFmtId="43" fontId="0" fillId="0" borderId="36" xfId="15" applyFont="1" applyBorder="1" applyAlignment="1" applyProtection="1">
      <alignment horizontal="center"/>
      <protection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43" fontId="10" fillId="0" borderId="43" xfId="15" applyFont="1" applyBorder="1" applyAlignment="1" applyProtection="1">
      <alignment horizontal="center"/>
      <protection/>
    </xf>
    <xf numFmtId="43" fontId="1" fillId="0" borderId="35" xfId="0" applyNumberFormat="1" applyFont="1" applyFill="1" applyBorder="1" applyAlignment="1">
      <alignment/>
    </xf>
    <xf numFmtId="43" fontId="0" fillId="0" borderId="44" xfId="15" applyFont="1" applyBorder="1" applyAlignment="1" applyProtection="1">
      <alignment horizontal="center"/>
      <protection/>
    </xf>
    <xf numFmtId="10" fontId="0" fillId="0" borderId="12" xfId="21" applyNumberFormat="1" applyFill="1" applyBorder="1" applyAlignment="1">
      <alignment horizontal="center"/>
    </xf>
    <xf numFmtId="166" fontId="1" fillId="0" borderId="24" xfId="15" applyNumberFormat="1" applyFont="1" applyFill="1" applyBorder="1" applyAlignment="1">
      <alignment/>
    </xf>
    <xf numFmtId="166" fontId="1" fillId="0" borderId="39" xfId="15" applyNumberFormat="1" applyFont="1" applyFill="1" applyBorder="1" applyAlignment="1">
      <alignment/>
    </xf>
    <xf numFmtId="10" fontId="1" fillId="0" borderId="45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66" fontId="1" fillId="0" borderId="39" xfId="15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3" fontId="0" fillId="3" borderId="23" xfId="0" applyNumberFormat="1" applyFill="1" applyBorder="1" applyAlignment="1">
      <alignment horizontal="center"/>
    </xf>
    <xf numFmtId="10" fontId="0" fillId="0" borderId="23" xfId="21" applyNumberFormat="1" applyFill="1" applyBorder="1" applyAlignment="1">
      <alignment horizontal="center"/>
    </xf>
    <xf numFmtId="166" fontId="0" fillId="3" borderId="40" xfId="15" applyNumberFormat="1" applyFill="1" applyBorder="1" applyAlignment="1">
      <alignment horizontal="center"/>
    </xf>
    <xf numFmtId="166" fontId="0" fillId="3" borderId="23" xfId="15" applyNumberFormat="1" applyFill="1" applyBorder="1" applyAlignment="1">
      <alignment horizontal="center"/>
    </xf>
    <xf numFmtId="0" fontId="0" fillId="0" borderId="23" xfId="0" applyBorder="1" applyAlignment="1">
      <alignment horizontal="center"/>
    </xf>
    <xf numFmtId="166" fontId="0" fillId="3" borderId="41" xfId="15" applyNumberFormat="1" applyFill="1" applyBorder="1" applyAlignment="1">
      <alignment horizontal="center"/>
    </xf>
    <xf numFmtId="166" fontId="0" fillId="3" borderId="36" xfId="15" applyNumberFormat="1" applyFill="1" applyBorder="1" applyAlignment="1">
      <alignment horizontal="center"/>
    </xf>
    <xf numFmtId="10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3" fontId="0" fillId="3" borderId="36" xfId="0" applyNumberFormat="1" applyFill="1" applyBorder="1" applyAlignment="1">
      <alignment horizontal="center"/>
    </xf>
    <xf numFmtId="166" fontId="0" fillId="3" borderId="32" xfId="15" applyNumberFormat="1" applyFill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3" fontId="1" fillId="0" borderId="16" xfId="15" applyFont="1" applyBorder="1" applyAlignment="1">
      <alignment horizontal="center"/>
    </xf>
    <xf numFmtId="43" fontId="0" fillId="3" borderId="41" xfId="15" applyFont="1" applyFill="1" applyBorder="1" applyAlignment="1" applyProtection="1">
      <alignment horizontal="center"/>
      <protection locked="0"/>
    </xf>
    <xf numFmtId="43" fontId="10" fillId="0" borderId="46" xfId="15" applyFont="1" applyBorder="1" applyAlignment="1" applyProtection="1">
      <alignment horizontal="center"/>
      <protection/>
    </xf>
    <xf numFmtId="43" fontId="10" fillId="2" borderId="9" xfId="15" applyFont="1" applyFill="1" applyBorder="1" applyAlignment="1" applyProtection="1">
      <alignment horizontal="center"/>
      <protection/>
    </xf>
    <xf numFmtId="43" fontId="11" fillId="0" borderId="47" xfId="15" applyFont="1" applyBorder="1" applyAlignment="1" applyProtection="1">
      <alignment horizontal="center"/>
      <protection/>
    </xf>
    <xf numFmtId="10" fontId="1" fillId="2" borderId="13" xfId="21" applyNumberFormat="1" applyFont="1" applyFill="1" applyBorder="1" applyAlignment="1">
      <alignment horizontal="right"/>
    </xf>
    <xf numFmtId="10" fontId="1" fillId="0" borderId="48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0" fontId="1" fillId="0" borderId="49" xfId="0" applyNumberFormat="1" applyFont="1" applyBorder="1" applyAlignment="1">
      <alignment horizontal="center"/>
    </xf>
    <xf numFmtId="10" fontId="1" fillId="0" borderId="50" xfId="0" applyNumberFormat="1" applyFon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43" fontId="1" fillId="0" borderId="39" xfId="15" applyFont="1" applyBorder="1" applyAlignment="1" applyProtection="1">
      <alignment horizontal="center"/>
      <protection locked="0"/>
    </xf>
    <xf numFmtId="43" fontId="1" fillId="0" borderId="16" xfId="15" applyNumberFormat="1" applyFont="1" applyBorder="1" applyAlignment="1">
      <alignment/>
    </xf>
    <xf numFmtId="0" fontId="0" fillId="4" borderId="0" xfId="0" applyFill="1" applyAlignment="1">
      <alignment/>
    </xf>
    <xf numFmtId="166" fontId="0" fillId="3" borderId="40" xfId="15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6" fontId="1" fillId="2" borderId="11" xfId="15" applyNumberFormat="1" applyFont="1" applyFill="1" applyBorder="1" applyAlignment="1">
      <alignment horizontal="center"/>
    </xf>
    <xf numFmtId="10" fontId="1" fillId="2" borderId="11" xfId="21" applyNumberFormat="1" applyFont="1" applyFill="1" applyBorder="1" applyAlignment="1">
      <alignment horizontal="right"/>
    </xf>
    <xf numFmtId="10" fontId="0" fillId="0" borderId="36" xfId="21" applyNumberFormat="1" applyFont="1" applyBorder="1" applyAlignment="1">
      <alignment/>
    </xf>
    <xf numFmtId="0" fontId="0" fillId="3" borderId="0" xfId="0" applyFill="1" applyBorder="1" applyAlignment="1">
      <alignment horizontal="left"/>
    </xf>
    <xf numFmtId="10" fontId="0" fillId="2" borderId="36" xfId="0" applyNumberFormat="1" applyFill="1" applyBorder="1" applyAlignment="1">
      <alignment horizontal="center"/>
    </xf>
    <xf numFmtId="10" fontId="0" fillId="2" borderId="24" xfId="0" applyNumberFormat="1" applyFill="1" applyBorder="1" applyAlignment="1">
      <alignment horizontal="center"/>
    </xf>
    <xf numFmtId="10" fontId="1" fillId="2" borderId="45" xfId="0" applyNumberFormat="1" applyFont="1" applyFill="1" applyBorder="1" applyAlignment="1">
      <alignment horizontal="center"/>
    </xf>
    <xf numFmtId="10" fontId="0" fillId="2" borderId="42" xfId="0" applyNumberFormat="1" applyFill="1" applyBorder="1" applyAlignment="1">
      <alignment horizontal="center"/>
    </xf>
    <xf numFmtId="10" fontId="11" fillId="0" borderId="37" xfId="0" applyNumberFormat="1" applyFont="1" applyBorder="1" applyAlignment="1">
      <alignment horizontal="center"/>
    </xf>
    <xf numFmtId="10" fontId="0" fillId="2" borderId="13" xfId="0" applyNumberFormat="1" applyFill="1" applyBorder="1" applyAlignment="1">
      <alignment horizontal="center"/>
    </xf>
    <xf numFmtId="10" fontId="0" fillId="2" borderId="14" xfId="0" applyNumberFormat="1" applyFill="1" applyBorder="1" applyAlignment="1">
      <alignment horizontal="center"/>
    </xf>
    <xf numFmtId="10" fontId="11" fillId="2" borderId="9" xfId="0" applyNumberFormat="1" applyFont="1" applyFill="1" applyBorder="1" applyAlignment="1">
      <alignment horizontal="center"/>
    </xf>
    <xf numFmtId="10" fontId="0" fillId="0" borderId="23" xfId="0" applyNumberFormat="1" applyFill="1" applyBorder="1" applyAlignment="1">
      <alignment horizontal="center"/>
    </xf>
    <xf numFmtId="166" fontId="1" fillId="2" borderId="9" xfId="15" applyNumberFormat="1" applyFont="1" applyFill="1" applyBorder="1" applyAlignment="1">
      <alignment horizontal="center"/>
    </xf>
    <xf numFmtId="166" fontId="0" fillId="3" borderId="8" xfId="15" applyNumberFormat="1" applyFill="1" applyBorder="1" applyAlignment="1">
      <alignment horizontal="center"/>
    </xf>
    <xf numFmtId="10" fontId="0" fillId="0" borderId="23" xfId="21" applyNumberFormat="1" applyFont="1" applyFill="1" applyBorder="1" applyAlignment="1">
      <alignment horizontal="center"/>
    </xf>
    <xf numFmtId="9" fontId="0" fillId="0" borderId="0" xfId="21" applyNumberFormat="1" applyAlignment="1">
      <alignment/>
    </xf>
    <xf numFmtId="10" fontId="0" fillId="0" borderId="12" xfId="0" applyNumberFormat="1" applyBorder="1" applyAlignment="1">
      <alignment/>
    </xf>
    <xf numFmtId="10" fontId="0" fillId="0" borderId="12" xfId="21" applyNumberFormat="1" applyFill="1" applyBorder="1" applyAlignment="1">
      <alignment/>
    </xf>
    <xf numFmtId="41" fontId="13" fillId="0" borderId="0" xfId="16" applyFont="1" applyBorder="1" applyAlignment="1">
      <alignment/>
    </xf>
    <xf numFmtId="41" fontId="0" fillId="0" borderId="0" xfId="0" applyNumberForma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weinst\My%20Documents\Recycling%20Reports\3rd%20Quarter%20Recycling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ing%20County%20Recycling%20Reports%20-%206%20months%20ended%20December,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no-King Waste Stream Report"/>
      <sheetName val="SKC Waste Stream Report"/>
      <sheetName val="MF Commodity Revenue"/>
      <sheetName val="Residential Commodity Revenue"/>
      <sheetName val="Sorting Study"/>
      <sheetName val="Total KC Waste Stream Report"/>
      <sheetName val="Costs"/>
      <sheetName val="Complaints"/>
      <sheetName val="Prices"/>
      <sheetName val="MF customers"/>
      <sheetName val="Customer Counts"/>
      <sheetName val="Composition Summary"/>
      <sheetName val="Tonnage"/>
      <sheetName val="YW Custom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KC Waste Stream Report"/>
      <sheetName val="Sno-King Waste Stream Report"/>
      <sheetName val="SKC Waste Stream Report"/>
      <sheetName val="Residential Commodity Revenue"/>
      <sheetName val="MF Commodity Revenue"/>
      <sheetName val="Complaints"/>
      <sheetName val="SS MF Yardage"/>
      <sheetName val="SK MF Yardage"/>
      <sheetName val="4th Qtr SK"/>
      <sheetName val="Costs"/>
      <sheetName val="4th Qtr Composition"/>
      <sheetName val="Prices"/>
      <sheetName val="MF customers"/>
      <sheetName val="Customer Counts"/>
      <sheetName val="Composition Summary"/>
      <sheetName val="Tonnage"/>
      <sheetName val="YW Customers"/>
      <sheetName val="SK Baseline Data"/>
      <sheetName val="SKC Baseline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workbookViewId="0" topLeftCell="A1">
      <selection activeCell="C12" sqref="C12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6" width="12.00390625" style="0" bestFit="1" customWidth="1"/>
    <col min="7" max="7" width="9.8515625" style="0" bestFit="1" customWidth="1"/>
    <col min="8" max="8" width="11.00390625" style="0" bestFit="1" customWidth="1"/>
    <col min="9" max="17" width="11.00390625" style="0" customWidth="1"/>
    <col min="18" max="18" width="10.28125" style="4" bestFit="1" customWidth="1"/>
    <col min="20" max="20" width="25.28125" style="0" customWidth="1"/>
    <col min="21" max="21" width="10.28125" style="0" bestFit="1" customWidth="1"/>
  </cols>
  <sheetData>
    <row r="1" ht="18.75">
      <c r="A1" s="9" t="s">
        <v>89</v>
      </c>
    </row>
    <row r="2" spans="1:5" ht="15">
      <c r="A2" s="10" t="s">
        <v>100</v>
      </c>
      <c r="B2" s="1"/>
      <c r="C2" s="1"/>
      <c r="D2" s="1"/>
      <c r="E2" s="1"/>
    </row>
    <row r="3" spans="1:3" ht="13.5" thickBot="1">
      <c r="A3" s="11"/>
      <c r="C3" s="12"/>
    </row>
    <row r="4" spans="1:18" ht="14.25" thickBot="1" thickTop="1">
      <c r="A4" s="13"/>
      <c r="B4" s="13"/>
      <c r="C4" s="13"/>
      <c r="D4" s="14"/>
      <c r="E4" s="15" t="s">
        <v>80</v>
      </c>
      <c r="F4" s="15">
        <v>2004</v>
      </c>
      <c r="G4" s="15">
        <v>2004</v>
      </c>
      <c r="H4" s="15">
        <v>2004</v>
      </c>
      <c r="I4" s="15">
        <v>2004</v>
      </c>
      <c r="J4" s="15">
        <v>2004</v>
      </c>
      <c r="K4" s="15">
        <v>2004</v>
      </c>
      <c r="L4" s="15">
        <v>2004</v>
      </c>
      <c r="M4" s="15">
        <v>2004</v>
      </c>
      <c r="N4" s="15">
        <v>2004</v>
      </c>
      <c r="O4" s="15">
        <v>2004</v>
      </c>
      <c r="P4" s="15">
        <v>2004</v>
      </c>
      <c r="Q4" s="174">
        <v>2004</v>
      </c>
      <c r="R4" s="17" t="s">
        <v>86</v>
      </c>
    </row>
    <row r="5" spans="1:18" ht="14.25" thickBot="1" thickTop="1">
      <c r="A5" s="18" t="s">
        <v>15</v>
      </c>
      <c r="B5" s="19"/>
      <c r="C5" s="19"/>
      <c r="D5" s="20"/>
      <c r="E5" s="21" t="s">
        <v>81</v>
      </c>
      <c r="F5" s="21" t="s">
        <v>97</v>
      </c>
      <c r="G5" s="21" t="s">
        <v>98</v>
      </c>
      <c r="H5" s="21" t="s">
        <v>99</v>
      </c>
      <c r="I5" s="21" t="s">
        <v>71</v>
      </c>
      <c r="J5" s="21" t="s">
        <v>10</v>
      </c>
      <c r="K5" s="21" t="s">
        <v>11</v>
      </c>
      <c r="L5" s="21" t="s">
        <v>12</v>
      </c>
      <c r="M5" s="21" t="s">
        <v>16</v>
      </c>
      <c r="N5" s="21" t="s">
        <v>17</v>
      </c>
      <c r="O5" s="21" t="s">
        <v>72</v>
      </c>
      <c r="P5" s="21" t="s">
        <v>73</v>
      </c>
      <c r="Q5" s="175" t="s">
        <v>74</v>
      </c>
      <c r="R5" s="22" t="s">
        <v>18</v>
      </c>
    </row>
    <row r="6" spans="1:18" ht="13.5" thickTop="1">
      <c r="A6" s="23" t="s">
        <v>19</v>
      </c>
      <c r="B6" s="24"/>
      <c r="C6" s="24"/>
      <c r="D6" s="25"/>
      <c r="E6" s="24"/>
      <c r="F6" s="26"/>
      <c r="G6" s="26"/>
      <c r="H6" s="27"/>
      <c r="I6" s="168"/>
      <c r="J6" s="168"/>
      <c r="K6" s="168"/>
      <c r="L6" s="168"/>
      <c r="M6" s="168"/>
      <c r="N6" s="168"/>
      <c r="O6" s="168"/>
      <c r="P6" s="168"/>
      <c r="Q6" s="172"/>
      <c r="R6" s="17"/>
    </row>
    <row r="7" spans="1:27" ht="12.75">
      <c r="A7" s="28"/>
      <c r="B7" s="2" t="s">
        <v>79</v>
      </c>
      <c r="C7" s="2"/>
      <c r="D7" s="29"/>
      <c r="E7" s="112">
        <f>+'Sno-King Waste Stream Report'!E7+'SKC Waste Stream Report'!E7</f>
        <v>1793.1985548425982</v>
      </c>
      <c r="F7" s="213">
        <f>+'Sno-King Waste Stream Report'!F7+'SKC Waste Stream Report'!F7</f>
        <v>2191.29</v>
      </c>
      <c r="G7" s="144">
        <f>+'Sno-King Waste Stream Report'!G7+'SKC Waste Stream Report'!G7</f>
        <v>1684.5</v>
      </c>
      <c r="H7" s="144">
        <f>+'Sno-King Waste Stream Report'!H7+'SKC Waste Stream Report'!H7</f>
        <v>1941.8</v>
      </c>
      <c r="I7" s="144"/>
      <c r="J7" s="144"/>
      <c r="K7" s="144"/>
      <c r="L7" s="144"/>
      <c r="M7" s="144"/>
      <c r="N7" s="144"/>
      <c r="O7" s="144"/>
      <c r="P7" s="144"/>
      <c r="Q7" s="143"/>
      <c r="R7" s="32">
        <f>AVERAGE(F7:Q7)</f>
        <v>1939.1966666666667</v>
      </c>
      <c r="U7" s="5">
        <f>+F7</f>
        <v>2191.29</v>
      </c>
      <c r="V7" s="5">
        <f>+G7</f>
        <v>1684.5</v>
      </c>
      <c r="W7" s="5">
        <f>+H7</f>
        <v>1941.8</v>
      </c>
      <c r="X7" s="5">
        <f>+I7</f>
        <v>0</v>
      </c>
      <c r="Y7" s="5">
        <f>+J7</f>
        <v>0</v>
      </c>
      <c r="Z7" s="5">
        <f>+Q7</f>
        <v>0</v>
      </c>
      <c r="AA7" s="5">
        <f>+R7</f>
        <v>1939.1966666666667</v>
      </c>
    </row>
    <row r="8" spans="1:18" ht="12.75">
      <c r="A8" s="28"/>
      <c r="B8" s="2"/>
      <c r="C8" s="83" t="s">
        <v>5</v>
      </c>
      <c r="D8" s="29"/>
      <c r="E8" s="150">
        <f>+'Sno-King Waste Stream Report'!E8+'SKC Waste Stream Report'!E8</f>
        <v>875.5824080216582</v>
      </c>
      <c r="F8" s="151">
        <f>+'Sno-King Waste Stream Report'!F8+'SKC Waste Stream Report'!F8</f>
        <v>1082.305956937446</v>
      </c>
      <c r="G8" s="151">
        <f>+'Sno-King Waste Stream Report'!G8+'SKC Waste Stream Report'!G8</f>
        <v>785.0978937973191</v>
      </c>
      <c r="H8" s="151">
        <f>+'Sno-King Waste Stream Report'!H8+'SKC Waste Stream Report'!H8</f>
        <v>790.741020606986</v>
      </c>
      <c r="I8" s="151"/>
      <c r="J8" s="151"/>
      <c r="K8" s="151"/>
      <c r="L8" s="151"/>
      <c r="M8" s="151"/>
      <c r="N8" s="151"/>
      <c r="O8" s="151"/>
      <c r="P8" s="151"/>
      <c r="Q8" s="154"/>
      <c r="R8" s="31">
        <f>AVERAGE(F8:Q8)</f>
        <v>886.0482904472505</v>
      </c>
    </row>
    <row r="9" spans="1:18" ht="12.75">
      <c r="A9" s="28"/>
      <c r="B9" s="2"/>
      <c r="C9" s="83" t="s">
        <v>2</v>
      </c>
      <c r="D9" s="29"/>
      <c r="E9" s="150">
        <f>+'Sno-King Waste Stream Report'!E9+'SKC Waste Stream Report'!E9</f>
        <v>357.5942733685921</v>
      </c>
      <c r="F9" s="152">
        <f>+'Sno-King Waste Stream Report'!F9+'SKC Waste Stream Report'!F9</f>
        <v>483.5546485753338</v>
      </c>
      <c r="G9" s="152">
        <f>+'Sno-King Waste Stream Report'!G9+'SKC Waste Stream Report'!G9</f>
        <v>405.31197921777095</v>
      </c>
      <c r="H9" s="152">
        <f>+'Sno-King Waste Stream Report'!H9+'SKC Waste Stream Report'!H9</f>
        <v>544.1413096297254</v>
      </c>
      <c r="I9" s="152"/>
      <c r="J9" s="152"/>
      <c r="K9" s="152"/>
      <c r="L9" s="152"/>
      <c r="M9" s="152"/>
      <c r="N9" s="152"/>
      <c r="O9" s="152"/>
      <c r="P9" s="152"/>
      <c r="Q9" s="155"/>
      <c r="R9" s="145">
        <f aca="true" t="shared" si="0" ref="R9:R19">AVERAGE(F9:Q9)</f>
        <v>477.6693124742767</v>
      </c>
    </row>
    <row r="10" spans="1:18" ht="12.75">
      <c r="A10" s="28"/>
      <c r="B10" s="2"/>
      <c r="C10" s="83" t="s">
        <v>0</v>
      </c>
      <c r="D10" s="29"/>
      <c r="E10" s="150">
        <f>+'Sno-King Waste Stream Report'!E10+'SKC Waste Stream Report'!E10</f>
        <v>23.126146478949202</v>
      </c>
      <c r="F10" s="152">
        <f>+'Sno-King Waste Stream Report'!F10+'SKC Waste Stream Report'!F10</f>
        <v>19.269212476739874</v>
      </c>
      <c r="G10" s="152">
        <f>+'Sno-King Waste Stream Report'!G10+'SKC Waste Stream Report'!G10</f>
        <v>15.273473412725897</v>
      </c>
      <c r="H10" s="152">
        <f>+'Sno-King Waste Stream Report'!H10+'SKC Waste Stream Report'!H10</f>
        <v>13.262593867701831</v>
      </c>
      <c r="I10" s="152"/>
      <c r="J10" s="152"/>
      <c r="K10" s="152"/>
      <c r="L10" s="152"/>
      <c r="M10" s="152"/>
      <c r="N10" s="152"/>
      <c r="O10" s="152"/>
      <c r="P10" s="152"/>
      <c r="Q10" s="155"/>
      <c r="R10" s="145">
        <f t="shared" si="0"/>
        <v>15.935093252389201</v>
      </c>
    </row>
    <row r="11" spans="1:18" ht="12.75">
      <c r="A11" s="28"/>
      <c r="B11" s="2"/>
      <c r="C11" s="83" t="s">
        <v>3</v>
      </c>
      <c r="D11" s="29"/>
      <c r="E11" s="150">
        <f>+'Sno-King Waste Stream Report'!E11+'SKC Waste Stream Report'!E11</f>
        <v>58.76340371197236</v>
      </c>
      <c r="F11" s="152">
        <f>+'Sno-King Waste Stream Report'!F11+'SKC Waste Stream Report'!F11</f>
        <v>40.230547094231994</v>
      </c>
      <c r="G11" s="152">
        <f>+'Sno-King Waste Stream Report'!G11+'SKC Waste Stream Report'!G11</f>
        <v>31.27547479244039</v>
      </c>
      <c r="H11" s="152">
        <f>+'Sno-King Waste Stream Report'!H11+'SKC Waste Stream Report'!H11</f>
        <v>26.49373818350178</v>
      </c>
      <c r="I11" s="152"/>
      <c r="J11" s="152"/>
      <c r="K11" s="152"/>
      <c r="L11" s="152"/>
      <c r="M11" s="152"/>
      <c r="N11" s="152"/>
      <c r="O11" s="152"/>
      <c r="P11" s="152"/>
      <c r="Q11" s="155"/>
      <c r="R11" s="145">
        <f t="shared" si="0"/>
        <v>32.666586690058054</v>
      </c>
    </row>
    <row r="12" spans="1:18" ht="12.75">
      <c r="A12" s="28"/>
      <c r="B12" s="2"/>
      <c r="C12" s="83" t="s">
        <v>1</v>
      </c>
      <c r="D12" s="29"/>
      <c r="E12" s="150">
        <f>+'Sno-King Waste Stream Report'!E12+'SKC Waste Stream Report'!E12</f>
        <v>446.2368777590313</v>
      </c>
      <c r="F12" s="152">
        <f>+'Sno-King Waste Stream Report'!F12+'SKC Waste Stream Report'!F12</f>
        <v>371.31928682556855</v>
      </c>
      <c r="G12" s="152">
        <f>+'Sno-King Waste Stream Report'!G12+'SKC Waste Stream Report'!G12</f>
        <v>288.3558805507515</v>
      </c>
      <c r="H12" s="152">
        <f>+'Sno-King Waste Stream Report'!H12+'SKC Waste Stream Report'!H12</f>
        <v>385.24312992899837</v>
      </c>
      <c r="I12" s="152"/>
      <c r="J12" s="152"/>
      <c r="K12" s="152"/>
      <c r="L12" s="152"/>
      <c r="M12" s="152"/>
      <c r="N12" s="152"/>
      <c r="O12" s="152"/>
      <c r="P12" s="152"/>
      <c r="Q12" s="155"/>
      <c r="R12" s="145">
        <f t="shared" si="0"/>
        <v>348.3060991017728</v>
      </c>
    </row>
    <row r="13" spans="1:18" ht="12.75">
      <c r="A13" s="28"/>
      <c r="B13" s="2"/>
      <c r="C13" s="83" t="s">
        <v>6</v>
      </c>
      <c r="D13" s="29"/>
      <c r="E13" s="150">
        <f>+'Sno-King Waste Stream Report'!E13+'SKC Waste Stream Report'!E13</f>
        <v>14.630379746774238</v>
      </c>
      <c r="F13" s="152">
        <f>+'Sno-King Waste Stream Report'!F13+'SKC Waste Stream Report'!F13</f>
        <v>21.114368549908807</v>
      </c>
      <c r="G13" s="152">
        <f>+'Sno-King Waste Stream Report'!G13+'SKC Waste Stream Report'!G13</f>
        <v>15.62200805663649</v>
      </c>
      <c r="H13" s="152">
        <f>+'Sno-King Waste Stream Report'!H13+'SKC Waste Stream Report'!H13</f>
        <v>18.68275610265836</v>
      </c>
      <c r="I13" s="152"/>
      <c r="J13" s="152"/>
      <c r="K13" s="152"/>
      <c r="L13" s="152"/>
      <c r="M13" s="152"/>
      <c r="N13" s="152"/>
      <c r="O13" s="152"/>
      <c r="P13" s="152"/>
      <c r="Q13" s="155"/>
      <c r="R13" s="145">
        <f t="shared" si="0"/>
        <v>18.47304423640122</v>
      </c>
    </row>
    <row r="14" spans="1:18" ht="12.75">
      <c r="A14" s="28"/>
      <c r="B14" s="2"/>
      <c r="C14" s="83" t="s">
        <v>101</v>
      </c>
      <c r="D14" s="29"/>
      <c r="E14" s="150">
        <f>+'Sno-King Waste Stream Report'!E14+'SKC Waste Stream Report'!E14</f>
        <v>17.265065755620547</v>
      </c>
      <c r="F14" s="152">
        <f>+'Sno-King Waste Stream Report'!F14+'SKC Waste Stream Report'!F14</f>
        <v>15.909014300521182</v>
      </c>
      <c r="G14" s="152">
        <f>+'Sno-King Waste Stream Report'!G14+'SKC Waste Stream Report'!G14</f>
        <v>15.475750675575345</v>
      </c>
      <c r="H14" s="152">
        <f>+'Sno-King Waste Stream Report'!H14+'SKC Waste Stream Report'!H14</f>
        <v>13.185174375240786</v>
      </c>
      <c r="I14" s="152"/>
      <c r="J14" s="152"/>
      <c r="K14" s="152"/>
      <c r="L14" s="152"/>
      <c r="M14" s="152"/>
      <c r="N14" s="152"/>
      <c r="O14" s="152"/>
      <c r="P14" s="152"/>
      <c r="Q14" s="155"/>
      <c r="R14" s="145">
        <f t="shared" si="0"/>
        <v>14.856646450445771</v>
      </c>
    </row>
    <row r="15" spans="1:18" ht="12.75">
      <c r="A15" s="28"/>
      <c r="B15" s="2"/>
      <c r="C15" s="83" t="s">
        <v>102</v>
      </c>
      <c r="D15" s="29"/>
      <c r="E15" s="153" t="s">
        <v>82</v>
      </c>
      <c r="F15" s="152">
        <f>+'Sno-King Waste Stream Report'!F15+'SKC Waste Stream Report'!F15</f>
        <v>12.416551323186159</v>
      </c>
      <c r="G15" s="152">
        <f>+'Sno-King Waste Stream Report'!G15+'SKC Waste Stream Report'!G15</f>
        <v>11.418934726917058</v>
      </c>
      <c r="H15" s="152">
        <f>+'Sno-King Waste Stream Report'!H15+'SKC Waste Stream Report'!H15</f>
        <v>12.789181787437148</v>
      </c>
      <c r="I15" s="152"/>
      <c r="J15" s="152"/>
      <c r="K15" s="152"/>
      <c r="L15" s="152"/>
      <c r="M15" s="152"/>
      <c r="N15" s="152"/>
      <c r="O15" s="152"/>
      <c r="P15" s="152"/>
      <c r="Q15" s="155"/>
      <c r="R15" s="145">
        <f t="shared" si="0"/>
        <v>12.208222612513454</v>
      </c>
    </row>
    <row r="16" spans="1:18" ht="12.75">
      <c r="A16" s="28"/>
      <c r="B16" s="2"/>
      <c r="C16" s="83" t="s">
        <v>103</v>
      </c>
      <c r="D16" s="29"/>
      <c r="E16" s="153" t="s">
        <v>82</v>
      </c>
      <c r="F16" s="152">
        <f>+'Sno-King Waste Stream Report'!F16+'SKC Waste Stream Report'!F16</f>
        <v>5.560413917063661</v>
      </c>
      <c r="G16" s="152">
        <f>+'Sno-King Waste Stream Report'!G16+'SKC Waste Stream Report'!G16</f>
        <v>9.738604769862956</v>
      </c>
      <c r="H16" s="152">
        <f>+'Sno-King Waste Stream Report'!H16+'SKC Waste Stream Report'!H16</f>
        <v>5.431095517750464</v>
      </c>
      <c r="I16" s="152"/>
      <c r="J16" s="152"/>
      <c r="K16" s="152"/>
      <c r="L16" s="152"/>
      <c r="M16" s="152"/>
      <c r="N16" s="152"/>
      <c r="O16" s="152"/>
      <c r="P16" s="152"/>
      <c r="Q16" s="155"/>
      <c r="R16" s="145">
        <f t="shared" si="0"/>
        <v>6.910038068225693</v>
      </c>
    </row>
    <row r="17" spans="1:18" ht="12.75">
      <c r="A17" s="28"/>
      <c r="B17" s="2"/>
      <c r="C17" s="83" t="s">
        <v>4</v>
      </c>
      <c r="D17" s="29"/>
      <c r="E17" s="153" t="s">
        <v>82</v>
      </c>
      <c r="F17" s="152">
        <f>+'Sno-King Waste Stream Report'!F17+'SKC Waste Stream Report'!F17</f>
        <v>139.61</v>
      </c>
      <c r="G17" s="152">
        <f>+'Sno-King Waste Stream Report'!G17+'SKC Waste Stream Report'!G17</f>
        <v>106.93</v>
      </c>
      <c r="H17" s="152">
        <f>+'Sno-King Waste Stream Report'!H17+'SKC Waste Stream Report'!H17</f>
        <v>131.83</v>
      </c>
      <c r="I17" s="152"/>
      <c r="J17" s="152"/>
      <c r="K17" s="152"/>
      <c r="L17" s="152"/>
      <c r="M17" s="152"/>
      <c r="N17" s="152"/>
      <c r="O17" s="152"/>
      <c r="P17" s="152"/>
      <c r="Q17" s="155"/>
      <c r="R17" s="145">
        <f t="shared" si="0"/>
        <v>126.12333333333333</v>
      </c>
    </row>
    <row r="18" spans="1:18" ht="12.75">
      <c r="A18" s="28"/>
      <c r="B18" s="2" t="s">
        <v>20</v>
      </c>
      <c r="C18" s="2"/>
      <c r="D18" s="29"/>
      <c r="E18" s="146" t="s">
        <v>82</v>
      </c>
      <c r="F18" s="147">
        <f>+'Sno-King Waste Stream Report'!F18+'SKC Waste Stream Report'!F18</f>
        <v>744.3</v>
      </c>
      <c r="G18" s="147">
        <f>+'Sno-King Waste Stream Report'!G18+'SKC Waste Stream Report'!G18</f>
        <v>890.4300000000001</v>
      </c>
      <c r="H18" s="147">
        <f>+'Sno-King Waste Stream Report'!H18+'SKC Waste Stream Report'!H18</f>
        <v>2284.99</v>
      </c>
      <c r="I18" s="147"/>
      <c r="J18" s="147"/>
      <c r="K18" s="147"/>
      <c r="L18" s="147"/>
      <c r="M18" s="147"/>
      <c r="N18" s="147"/>
      <c r="O18" s="147"/>
      <c r="P18" s="147"/>
      <c r="Q18" s="156"/>
      <c r="R18" s="145">
        <f t="shared" si="0"/>
        <v>1306.5733333333333</v>
      </c>
    </row>
    <row r="19" spans="1:18" ht="12.75">
      <c r="A19" s="28"/>
      <c r="B19" s="2" t="s">
        <v>21</v>
      </c>
      <c r="C19" s="2"/>
      <c r="D19" s="29"/>
      <c r="E19" s="112">
        <f>+'Sno-King Waste Stream Report'!E19+'SKC Waste Stream Report'!E19</f>
        <v>3935.3850690811914</v>
      </c>
      <c r="F19" s="149">
        <f>+'Sno-King Waste Stream Report'!F19+'SKC Waste Stream Report'!F19</f>
        <v>4174.74</v>
      </c>
      <c r="G19" s="149">
        <f>+'Sno-King Waste Stream Report'!G19+'SKC Waste Stream Report'!G19</f>
        <v>3430.38</v>
      </c>
      <c r="H19" s="149">
        <f>+'Sno-King Waste Stream Report'!H19+'SKC Waste Stream Report'!H19</f>
        <v>3701.87</v>
      </c>
      <c r="I19" s="149"/>
      <c r="J19" s="149"/>
      <c r="K19" s="149"/>
      <c r="L19" s="149"/>
      <c r="M19" s="149"/>
      <c r="N19" s="149"/>
      <c r="O19" s="149"/>
      <c r="P19" s="149"/>
      <c r="Q19" s="157"/>
      <c r="R19" s="32">
        <f t="shared" si="0"/>
        <v>3768.9966666666664</v>
      </c>
    </row>
    <row r="20" spans="1:18" s="1" customFormat="1" ht="13.5" thickBot="1">
      <c r="A20" s="33"/>
      <c r="B20" s="34" t="s">
        <v>22</v>
      </c>
      <c r="C20" s="34"/>
      <c r="D20" s="35"/>
      <c r="E20" s="148">
        <f>+'Sno-King Waste Stream Report'!E20+'SKC Waste Stream Report'!E20</f>
        <v>5728.58362392379</v>
      </c>
      <c r="F20" s="96">
        <f aca="true" t="shared" si="1" ref="F20:R20">+F19+F18+F7</f>
        <v>7110.33</v>
      </c>
      <c r="G20" s="96">
        <f t="shared" si="1"/>
        <v>6005.31</v>
      </c>
      <c r="H20" s="96">
        <f t="shared" si="1"/>
        <v>7928.66</v>
      </c>
      <c r="I20" s="177">
        <f t="shared" si="1"/>
        <v>0</v>
      </c>
      <c r="J20" s="177">
        <f t="shared" si="1"/>
        <v>0</v>
      </c>
      <c r="K20" s="177">
        <f t="shared" si="1"/>
        <v>0</v>
      </c>
      <c r="L20" s="177">
        <f t="shared" si="1"/>
        <v>0</v>
      </c>
      <c r="M20" s="177">
        <f t="shared" si="1"/>
        <v>0</v>
      </c>
      <c r="N20" s="177">
        <f t="shared" si="1"/>
        <v>0</v>
      </c>
      <c r="O20" s="177">
        <f t="shared" si="1"/>
        <v>0</v>
      </c>
      <c r="P20" s="177">
        <f t="shared" si="1"/>
        <v>0</v>
      </c>
      <c r="Q20" s="203">
        <f t="shared" si="1"/>
        <v>0</v>
      </c>
      <c r="R20" s="204">
        <f t="shared" si="1"/>
        <v>7014.766666666666</v>
      </c>
    </row>
    <row r="21" spans="1:18" ht="13.5" thickTop="1">
      <c r="A21" s="23" t="s">
        <v>23</v>
      </c>
      <c r="B21" s="24"/>
      <c r="C21" s="24"/>
      <c r="D21" s="25"/>
      <c r="E21" s="24"/>
      <c r="F21" s="37"/>
      <c r="G21" s="37"/>
      <c r="H21" s="171"/>
      <c r="I21" s="171"/>
      <c r="J21" s="171"/>
      <c r="K21" s="171"/>
      <c r="L21" s="171"/>
      <c r="M21" s="171"/>
      <c r="N21" s="171"/>
      <c r="O21" s="171"/>
      <c r="P21" s="171"/>
      <c r="Q21" s="173"/>
      <c r="R21" s="38"/>
    </row>
    <row r="22" spans="1:18" ht="12.75">
      <c r="A22" s="28"/>
      <c r="B22" s="2" t="s">
        <v>24</v>
      </c>
      <c r="C22" s="2"/>
      <c r="D22" s="29"/>
      <c r="E22" s="6" t="s">
        <v>82</v>
      </c>
      <c r="F22" s="147">
        <f>+'Sno-King Waste Stream Report'!F22+'SKC Waste Stream Report'!F22</f>
        <v>73.75999999999999</v>
      </c>
      <c r="G22" s="147">
        <f>+'Sno-King Waste Stream Report'!G22+'SKC Waste Stream Report'!G22</f>
        <v>74.50999999999999</v>
      </c>
      <c r="H22" s="147">
        <f>+'Sno-King Waste Stream Report'!H22+'SKC Waste Stream Report'!H22</f>
        <v>94.74000000000001</v>
      </c>
      <c r="I22" s="147"/>
      <c r="J22" s="147"/>
      <c r="K22" s="147"/>
      <c r="L22" s="147"/>
      <c r="M22" s="147"/>
      <c r="N22" s="147"/>
      <c r="O22" s="147"/>
      <c r="P22" s="147"/>
      <c r="Q22" s="156"/>
      <c r="R22" s="145">
        <f>AVERAGE(F22:Q22)</f>
        <v>81.00333333333333</v>
      </c>
    </row>
    <row r="23" spans="1:18" ht="12.75">
      <c r="A23" s="28"/>
      <c r="B23" s="2" t="s">
        <v>25</v>
      </c>
      <c r="C23" s="2"/>
      <c r="D23" s="29"/>
      <c r="E23" s="6" t="s">
        <v>82</v>
      </c>
      <c r="F23" s="147">
        <f>+'Sno-King Waste Stream Report'!F23+'SKC Waste Stream Report'!F23</f>
        <v>4.84</v>
      </c>
      <c r="G23" s="147">
        <f>+'Sno-King Waste Stream Report'!G23+'SKC Waste Stream Report'!G23</f>
        <v>3.96</v>
      </c>
      <c r="H23" s="147">
        <f>+'Sno-King Waste Stream Report'!H23+'SKC Waste Stream Report'!H23</f>
        <v>22.73</v>
      </c>
      <c r="I23" s="147"/>
      <c r="J23" s="147"/>
      <c r="K23" s="147"/>
      <c r="L23" s="147"/>
      <c r="M23" s="147"/>
      <c r="N23" s="147"/>
      <c r="O23" s="147"/>
      <c r="P23" s="147"/>
      <c r="Q23" s="156"/>
      <c r="R23" s="145">
        <f>AVERAGE(F23:Q23)</f>
        <v>10.51</v>
      </c>
    </row>
    <row r="24" spans="1:18" ht="12.75">
      <c r="A24" s="28"/>
      <c r="B24" s="2" t="s">
        <v>26</v>
      </c>
      <c r="C24" s="2"/>
      <c r="D24" s="29"/>
      <c r="E24" s="107" t="s">
        <v>82</v>
      </c>
      <c r="F24" s="149">
        <f>+'Sno-King Waste Stream Report'!F24+'SKC Waste Stream Report'!F24</f>
        <v>989.69</v>
      </c>
      <c r="G24" s="149">
        <f>+'Sno-King Waste Stream Report'!G24+'SKC Waste Stream Report'!G24</f>
        <v>937.33</v>
      </c>
      <c r="H24" s="149">
        <f>+'Sno-King Waste Stream Report'!H24+'SKC Waste Stream Report'!H24</f>
        <v>1026.1100000000001</v>
      </c>
      <c r="I24" s="149"/>
      <c r="J24" s="149"/>
      <c r="K24" s="149"/>
      <c r="L24" s="149"/>
      <c r="M24" s="149"/>
      <c r="N24" s="149"/>
      <c r="O24" s="149"/>
      <c r="P24" s="149"/>
      <c r="Q24" s="157"/>
      <c r="R24" s="32">
        <f>AVERAGE(F24:Q24)</f>
        <v>984.3766666666667</v>
      </c>
    </row>
    <row r="25" spans="1:18" s="1" customFormat="1" ht="13.5" thickBot="1">
      <c r="A25" s="33"/>
      <c r="B25" s="24" t="s">
        <v>27</v>
      </c>
      <c r="C25" s="24"/>
      <c r="D25" s="25"/>
      <c r="E25" s="36"/>
      <c r="F25" s="96">
        <f aca="true" t="shared" si="2" ref="F25:R25">SUM(F22:F24)</f>
        <v>1068.29</v>
      </c>
      <c r="G25" s="96">
        <f t="shared" si="2"/>
        <v>1015.8000000000001</v>
      </c>
      <c r="H25" s="96">
        <f t="shared" si="2"/>
        <v>1143.5800000000002</v>
      </c>
      <c r="I25" s="96">
        <f t="shared" si="2"/>
        <v>0</v>
      </c>
      <c r="J25" s="96">
        <f t="shared" si="2"/>
        <v>0</v>
      </c>
      <c r="K25" s="96">
        <f t="shared" si="2"/>
        <v>0</v>
      </c>
      <c r="L25" s="96">
        <f t="shared" si="2"/>
        <v>0</v>
      </c>
      <c r="M25" s="96">
        <f t="shared" si="2"/>
        <v>0</v>
      </c>
      <c r="N25" s="96">
        <f t="shared" si="2"/>
        <v>0</v>
      </c>
      <c r="O25" s="96">
        <f t="shared" si="2"/>
        <v>0</v>
      </c>
      <c r="P25" s="96">
        <f t="shared" si="2"/>
        <v>0</v>
      </c>
      <c r="Q25" s="96">
        <f t="shared" si="2"/>
        <v>0</v>
      </c>
      <c r="R25" s="97">
        <f t="shared" si="2"/>
        <v>1075.89</v>
      </c>
    </row>
    <row r="26" spans="1:19" ht="14.25" thickBot="1" thickTop="1">
      <c r="A26" s="40" t="s">
        <v>28</v>
      </c>
      <c r="B26" s="41"/>
      <c r="C26" s="41"/>
      <c r="D26" s="14"/>
      <c r="E26" s="93" t="s">
        <v>82</v>
      </c>
      <c r="F26" s="94">
        <f aca="true" t="shared" si="3" ref="F26:R26">+F25+F20</f>
        <v>8178.62</v>
      </c>
      <c r="G26" s="94">
        <f t="shared" si="3"/>
        <v>7021.110000000001</v>
      </c>
      <c r="H26" s="94">
        <f t="shared" si="3"/>
        <v>9072.24</v>
      </c>
      <c r="I26" s="94">
        <f t="shared" si="3"/>
        <v>0</v>
      </c>
      <c r="J26" s="94">
        <f t="shared" si="3"/>
        <v>0</v>
      </c>
      <c r="K26" s="94">
        <f aca="true" t="shared" si="4" ref="K26:P26">+K25+K20</f>
        <v>0</v>
      </c>
      <c r="L26" s="94">
        <f t="shared" si="4"/>
        <v>0</v>
      </c>
      <c r="M26" s="94">
        <f t="shared" si="4"/>
        <v>0</v>
      </c>
      <c r="N26" s="94">
        <f t="shared" si="4"/>
        <v>0</v>
      </c>
      <c r="O26" s="94">
        <f t="shared" si="4"/>
        <v>0</v>
      </c>
      <c r="P26" s="94">
        <f t="shared" si="4"/>
        <v>0</v>
      </c>
      <c r="Q26" s="94">
        <f t="shared" si="3"/>
        <v>0</v>
      </c>
      <c r="R26" s="95">
        <f t="shared" si="3"/>
        <v>8090.656666666667</v>
      </c>
      <c r="S26" s="1"/>
    </row>
    <row r="27" spans="1:19" ht="14.25" thickBot="1" thickTop="1">
      <c r="A27" s="42"/>
      <c r="B27" s="2"/>
      <c r="C27" s="2"/>
      <c r="D27" s="2"/>
      <c r="E27" s="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1"/>
    </row>
    <row r="28" spans="1:18" ht="14.25" thickBot="1" thickTop="1">
      <c r="A28" s="45" t="s">
        <v>29</v>
      </c>
      <c r="B28" s="46"/>
      <c r="C28" s="46"/>
      <c r="D28" s="20"/>
      <c r="E28" s="88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spans="1:18" ht="13.5" thickTop="1">
      <c r="A29" s="49" t="s">
        <v>30</v>
      </c>
      <c r="B29" s="24"/>
      <c r="C29" s="24"/>
      <c r="D29" s="50"/>
      <c r="E29" s="24"/>
      <c r="F29" s="51"/>
      <c r="G29" s="51"/>
      <c r="H29" s="52"/>
      <c r="I29" s="184"/>
      <c r="J29" s="184"/>
      <c r="K29" s="184"/>
      <c r="L29" s="184"/>
      <c r="M29" s="184"/>
      <c r="N29" s="184"/>
      <c r="O29" s="184"/>
      <c r="P29" s="184"/>
      <c r="Q29" s="184"/>
      <c r="R29" s="17"/>
    </row>
    <row r="30" spans="1:18" ht="12.75">
      <c r="A30" s="23"/>
      <c r="B30" s="121" t="s">
        <v>75</v>
      </c>
      <c r="C30" s="122"/>
      <c r="D30" s="123"/>
      <c r="E30" s="124">
        <f>+'Sno-King Waste Stream Report'!E30+'SKC Waste Stream Report'!E30</f>
        <v>54089.3</v>
      </c>
      <c r="F30" s="125">
        <f>+'Sno-King Waste Stream Report'!F30+'SKC Waste Stream Report'!F30</f>
        <v>55778</v>
      </c>
      <c r="G30" s="125">
        <f>+'Sno-King Waste Stream Report'!G30+'SKC Waste Stream Report'!G30</f>
        <v>56154</v>
      </c>
      <c r="H30" s="125">
        <f>+'Sno-King Waste Stream Report'!H30+'SKC Waste Stream Report'!H30</f>
        <v>56238</v>
      </c>
      <c r="I30" s="185"/>
      <c r="J30" s="185"/>
      <c r="K30" s="185"/>
      <c r="L30" s="185"/>
      <c r="M30" s="185"/>
      <c r="N30" s="185"/>
      <c r="O30" s="185"/>
      <c r="P30" s="185"/>
      <c r="Q30" s="185">
        <f>+'Sno-King Waste Stream Report'!Q30+'SKC Waste Stream Report'!Q30</f>
        <v>0</v>
      </c>
      <c r="R30" s="115">
        <f aca="true" t="shared" si="5" ref="R30:R43">AVERAGE(F30:Q30)</f>
        <v>42042.5</v>
      </c>
    </row>
    <row r="31" spans="1:18" ht="12.75">
      <c r="A31" s="23"/>
      <c r="B31" s="79"/>
      <c r="C31" s="76" t="s">
        <v>48</v>
      </c>
      <c r="D31" s="123"/>
      <c r="E31" s="6" t="s">
        <v>82</v>
      </c>
      <c r="F31" s="159">
        <f>+'Sno-King Waste Stream Report'!F31+'SKC Waste Stream Report'!F31</f>
        <v>506</v>
      </c>
      <c r="G31" s="159">
        <f>+'Sno-King Waste Stream Report'!G31+'SKC Waste Stream Report'!G31</f>
        <v>506</v>
      </c>
      <c r="H31" s="159">
        <f>+'Sno-King Waste Stream Report'!H31+'SKC Waste Stream Report'!H31</f>
        <v>506</v>
      </c>
      <c r="I31" s="215"/>
      <c r="J31" s="215"/>
      <c r="K31" s="215"/>
      <c r="L31" s="215"/>
      <c r="M31" s="215"/>
      <c r="N31" s="215"/>
      <c r="O31" s="215"/>
      <c r="P31" s="215"/>
      <c r="Q31" s="215">
        <f>+'Sno-King Waste Stream Report'!Q31+'SKC Waste Stream Report'!Q31</f>
        <v>0</v>
      </c>
      <c r="R31" s="78">
        <f t="shared" si="5"/>
        <v>379.5</v>
      </c>
    </row>
    <row r="32" spans="1:18" ht="12.75">
      <c r="A32" s="23"/>
      <c r="B32" s="79"/>
      <c r="C32" s="76" t="s">
        <v>49</v>
      </c>
      <c r="D32" s="123"/>
      <c r="E32" s="6" t="s">
        <v>82</v>
      </c>
      <c r="F32" s="159">
        <f>+'Sno-King Waste Stream Report'!F32+'SKC Waste Stream Report'!F32</f>
        <v>239</v>
      </c>
      <c r="G32" s="159">
        <f>+'Sno-King Waste Stream Report'!G32+'SKC Waste Stream Report'!G32</f>
        <v>239</v>
      </c>
      <c r="H32" s="159">
        <f>+'Sno-King Waste Stream Report'!H32+'SKC Waste Stream Report'!H32</f>
        <v>239</v>
      </c>
      <c r="I32" s="159"/>
      <c r="J32" s="159"/>
      <c r="K32" s="159"/>
      <c r="L32" s="159"/>
      <c r="M32" s="159"/>
      <c r="N32" s="159"/>
      <c r="O32" s="159"/>
      <c r="P32" s="159"/>
      <c r="Q32" s="159">
        <f>+'Sno-King Waste Stream Report'!Q32+'SKC Waste Stream Report'!Q32</f>
        <v>0</v>
      </c>
      <c r="R32" s="78">
        <f t="shared" si="5"/>
        <v>179.25</v>
      </c>
    </row>
    <row r="33" spans="1:18" ht="12.75">
      <c r="A33" s="23"/>
      <c r="B33" s="79"/>
      <c r="C33" s="76" t="s">
        <v>50</v>
      </c>
      <c r="D33" s="123"/>
      <c r="E33" s="6" t="s">
        <v>82</v>
      </c>
      <c r="F33" s="159">
        <f>+'Sno-King Waste Stream Report'!F33+'SKC Waste Stream Report'!F33</f>
        <v>4237</v>
      </c>
      <c r="G33" s="159">
        <f>+'Sno-King Waste Stream Report'!G33+'SKC Waste Stream Report'!G33</f>
        <v>4303</v>
      </c>
      <c r="H33" s="159">
        <f>+'Sno-King Waste Stream Report'!H33+'SKC Waste Stream Report'!H33</f>
        <v>4303</v>
      </c>
      <c r="I33" s="159"/>
      <c r="J33" s="159"/>
      <c r="K33" s="159"/>
      <c r="L33" s="159"/>
      <c r="M33" s="159"/>
      <c r="N33" s="159"/>
      <c r="O33" s="159"/>
      <c r="P33" s="159"/>
      <c r="Q33" s="159">
        <f>+'Sno-King Waste Stream Report'!Q33+'SKC Waste Stream Report'!Q33</f>
        <v>0</v>
      </c>
      <c r="R33" s="78">
        <f t="shared" si="5"/>
        <v>3210.75</v>
      </c>
    </row>
    <row r="34" spans="1:18" ht="12.75">
      <c r="A34" s="23"/>
      <c r="B34" s="79"/>
      <c r="C34" s="76" t="s">
        <v>51</v>
      </c>
      <c r="D34" s="123"/>
      <c r="E34" s="6" t="s">
        <v>82</v>
      </c>
      <c r="F34" s="159">
        <f>+'Sno-King Waste Stream Report'!F34+'SKC Waste Stream Report'!F34</f>
        <v>28039</v>
      </c>
      <c r="G34" s="159">
        <f>+'Sno-King Waste Stream Report'!G34+'SKC Waste Stream Report'!G34</f>
        <v>28253</v>
      </c>
      <c r="H34" s="159">
        <f>+'Sno-King Waste Stream Report'!H34+'SKC Waste Stream Report'!H34</f>
        <v>28325</v>
      </c>
      <c r="I34" s="159"/>
      <c r="J34" s="159"/>
      <c r="K34" s="159"/>
      <c r="L34" s="159"/>
      <c r="M34" s="159"/>
      <c r="N34" s="159"/>
      <c r="O34" s="159"/>
      <c r="P34" s="159"/>
      <c r="Q34" s="159">
        <f>+'Sno-King Waste Stream Report'!Q34+'SKC Waste Stream Report'!Q34</f>
        <v>0</v>
      </c>
      <c r="R34" s="78">
        <f t="shared" si="5"/>
        <v>21154.25</v>
      </c>
    </row>
    <row r="35" spans="1:18" ht="12.75">
      <c r="A35" s="23"/>
      <c r="B35" s="79"/>
      <c r="C35" s="76" t="s">
        <v>52</v>
      </c>
      <c r="D35" s="123"/>
      <c r="E35" s="6" t="s">
        <v>82</v>
      </c>
      <c r="F35" s="159">
        <f>+'Sno-King Waste Stream Report'!F35+'SKC Waste Stream Report'!F35</f>
        <v>4599</v>
      </c>
      <c r="G35" s="159">
        <f>+'Sno-King Waste Stream Report'!G35+'SKC Waste Stream Report'!G35</f>
        <v>4613</v>
      </c>
      <c r="H35" s="159">
        <f>+'Sno-King Waste Stream Report'!H35+'SKC Waste Stream Report'!H35</f>
        <v>4613</v>
      </c>
      <c r="I35" s="159"/>
      <c r="J35" s="159"/>
      <c r="K35" s="159"/>
      <c r="L35" s="159"/>
      <c r="M35" s="159"/>
      <c r="N35" s="159"/>
      <c r="O35" s="159"/>
      <c r="P35" s="159"/>
      <c r="Q35" s="159">
        <f>+'Sno-King Waste Stream Report'!Q35+'SKC Waste Stream Report'!Q35</f>
        <v>0</v>
      </c>
      <c r="R35" s="78">
        <f t="shared" si="5"/>
        <v>3456.25</v>
      </c>
    </row>
    <row r="36" spans="1:18" ht="12.75">
      <c r="A36" s="23"/>
      <c r="B36" s="79"/>
      <c r="C36" s="76" t="s">
        <v>53</v>
      </c>
      <c r="D36" s="123"/>
      <c r="E36" s="6" t="s">
        <v>82</v>
      </c>
      <c r="F36" s="159">
        <f>+'Sno-King Waste Stream Report'!F36+'SKC Waste Stream Report'!F36</f>
        <v>238</v>
      </c>
      <c r="G36" s="159">
        <f>+'Sno-King Waste Stream Report'!G36+'SKC Waste Stream Report'!G36</f>
        <v>238</v>
      </c>
      <c r="H36" s="159">
        <f>+'Sno-King Waste Stream Report'!H36+'SKC Waste Stream Report'!H36</f>
        <v>238</v>
      </c>
      <c r="I36" s="159"/>
      <c r="J36" s="159"/>
      <c r="K36" s="159"/>
      <c r="L36" s="159"/>
      <c r="M36" s="159"/>
      <c r="N36" s="159"/>
      <c r="O36" s="159"/>
      <c r="P36" s="159"/>
      <c r="Q36" s="159">
        <f>+'Sno-King Waste Stream Report'!Q36+'SKC Waste Stream Report'!Q36</f>
        <v>0</v>
      </c>
      <c r="R36" s="78">
        <f t="shared" si="5"/>
        <v>178.5</v>
      </c>
    </row>
    <row r="37" spans="1:18" ht="12.75">
      <c r="A37" s="23"/>
      <c r="B37" s="79"/>
      <c r="C37" s="76" t="s">
        <v>54</v>
      </c>
      <c r="D37" s="123"/>
      <c r="E37" s="6" t="s">
        <v>82</v>
      </c>
      <c r="F37" s="159">
        <f>+'Sno-King Waste Stream Report'!F37+'SKC Waste Stream Report'!F37</f>
        <v>26</v>
      </c>
      <c r="G37" s="159">
        <f>+'Sno-King Waste Stream Report'!G37+'SKC Waste Stream Report'!G37</f>
        <v>26</v>
      </c>
      <c r="H37" s="159">
        <f>+'Sno-King Waste Stream Report'!H37+'SKC Waste Stream Report'!H37</f>
        <v>26</v>
      </c>
      <c r="I37" s="159"/>
      <c r="J37" s="159"/>
      <c r="K37" s="159"/>
      <c r="L37" s="159"/>
      <c r="M37" s="159"/>
      <c r="N37" s="159"/>
      <c r="O37" s="159"/>
      <c r="P37" s="159"/>
      <c r="Q37" s="159">
        <f>+'Sno-King Waste Stream Report'!Q37+'SKC Waste Stream Report'!Q37</f>
        <v>0</v>
      </c>
      <c r="R37" s="78">
        <f t="shared" si="5"/>
        <v>19.5</v>
      </c>
    </row>
    <row r="38" spans="1:18" ht="12.75">
      <c r="A38" s="23"/>
      <c r="B38" s="79"/>
      <c r="C38" s="76" t="s">
        <v>55</v>
      </c>
      <c r="D38" s="123"/>
      <c r="E38" s="6" t="s">
        <v>82</v>
      </c>
      <c r="F38" s="159">
        <f>+'Sno-King Waste Stream Report'!F38+'SKC Waste Stream Report'!F38</f>
        <v>3</v>
      </c>
      <c r="G38" s="159">
        <f>+'Sno-King Waste Stream Report'!G38+'SKC Waste Stream Report'!G38</f>
        <v>3</v>
      </c>
      <c r="H38" s="159">
        <f>+'Sno-King Waste Stream Report'!H38+'SKC Waste Stream Report'!H38</f>
        <v>3</v>
      </c>
      <c r="I38" s="159"/>
      <c r="J38" s="159"/>
      <c r="K38" s="159"/>
      <c r="L38" s="159"/>
      <c r="M38" s="159"/>
      <c r="N38" s="159"/>
      <c r="O38" s="159"/>
      <c r="P38" s="159"/>
      <c r="Q38" s="159">
        <f>+'Sno-King Waste Stream Report'!Q38+'SKC Waste Stream Report'!Q38</f>
        <v>0</v>
      </c>
      <c r="R38" s="78">
        <f t="shared" si="5"/>
        <v>2.25</v>
      </c>
    </row>
    <row r="39" spans="1:18" ht="12.75">
      <c r="A39" s="23"/>
      <c r="B39" s="79"/>
      <c r="C39" s="76" t="s">
        <v>56</v>
      </c>
      <c r="D39" s="123"/>
      <c r="E39" s="6" t="s">
        <v>82</v>
      </c>
      <c r="F39" s="159">
        <f>+'Sno-King Waste Stream Report'!F39+'SKC Waste Stream Report'!F39</f>
        <v>2643</v>
      </c>
      <c r="G39" s="159">
        <f>+'Sno-King Waste Stream Report'!G39+'SKC Waste Stream Report'!G39</f>
        <v>2656</v>
      </c>
      <c r="H39" s="159">
        <f>+'Sno-King Waste Stream Report'!H39+'SKC Waste Stream Report'!H39</f>
        <v>2656</v>
      </c>
      <c r="I39" s="159"/>
      <c r="J39" s="159"/>
      <c r="K39" s="159"/>
      <c r="L39" s="159"/>
      <c r="M39" s="159"/>
      <c r="N39" s="159"/>
      <c r="O39" s="159"/>
      <c r="P39" s="159"/>
      <c r="Q39" s="159">
        <f>+'Sno-King Waste Stream Report'!Q39+'SKC Waste Stream Report'!Q39</f>
        <v>0</v>
      </c>
      <c r="R39" s="78">
        <f t="shared" si="5"/>
        <v>1988.75</v>
      </c>
    </row>
    <row r="40" spans="1:18" ht="12.75">
      <c r="A40" s="23"/>
      <c r="B40" s="79"/>
      <c r="C40" s="76" t="s">
        <v>57</v>
      </c>
      <c r="D40" s="123"/>
      <c r="E40" s="6" t="s">
        <v>82</v>
      </c>
      <c r="F40" s="159">
        <f>+'Sno-King Waste Stream Report'!F40+'SKC Waste Stream Report'!F40</f>
        <v>11403</v>
      </c>
      <c r="G40" s="159">
        <f>+'Sno-King Waste Stream Report'!G40+'SKC Waste Stream Report'!G40</f>
        <v>11451</v>
      </c>
      <c r="H40" s="159">
        <f>+'Sno-King Waste Stream Report'!H40+'SKC Waste Stream Report'!H40</f>
        <v>11463</v>
      </c>
      <c r="I40" s="159"/>
      <c r="J40" s="159"/>
      <c r="K40" s="159"/>
      <c r="L40" s="159"/>
      <c r="M40" s="159"/>
      <c r="N40" s="159"/>
      <c r="O40" s="159"/>
      <c r="P40" s="159"/>
      <c r="Q40" s="159">
        <f>+'Sno-King Waste Stream Report'!Q40+'SKC Waste Stream Report'!Q40</f>
        <v>0</v>
      </c>
      <c r="R40" s="78">
        <f t="shared" si="5"/>
        <v>8579.25</v>
      </c>
    </row>
    <row r="41" spans="1:18" ht="12.75">
      <c r="A41" s="23"/>
      <c r="B41" s="79"/>
      <c r="C41" s="76" t="s">
        <v>58</v>
      </c>
      <c r="D41" s="123"/>
      <c r="E41" s="6" t="s">
        <v>82</v>
      </c>
      <c r="F41" s="159">
        <f>+'Sno-King Waste Stream Report'!F41+'SKC Waste Stream Report'!F41</f>
        <v>3845</v>
      </c>
      <c r="G41" s="159">
        <f>+'Sno-King Waste Stream Report'!G41+'SKC Waste Stream Report'!G41</f>
        <v>3866</v>
      </c>
      <c r="H41" s="159">
        <f>+'Sno-King Waste Stream Report'!H41+'SKC Waste Stream Report'!H41</f>
        <v>3866</v>
      </c>
      <c r="I41" s="159"/>
      <c r="J41" s="159"/>
      <c r="K41" s="159"/>
      <c r="L41" s="159"/>
      <c r="M41" s="159"/>
      <c r="N41" s="159"/>
      <c r="O41" s="159"/>
      <c r="P41" s="159"/>
      <c r="Q41" s="159">
        <f>+'Sno-King Waste Stream Report'!Q41+'SKC Waste Stream Report'!Q41</f>
        <v>0</v>
      </c>
      <c r="R41" s="78">
        <f t="shared" si="5"/>
        <v>2894.25</v>
      </c>
    </row>
    <row r="42" spans="1:27" ht="12.75">
      <c r="A42" s="28"/>
      <c r="B42" s="2" t="s">
        <v>76</v>
      </c>
      <c r="C42" s="2"/>
      <c r="D42" s="29"/>
      <c r="E42" s="6" t="s">
        <v>82</v>
      </c>
      <c r="F42" s="160">
        <f>(+'Sno-King Waste Stream Report'!F42*'Sno-King Waste Stream Report'!F30+'SKC Waste Stream Report'!F42*'SKC Waste Stream Report'!F30)/'Total KC Waste Stream Report'!F30</f>
        <v>0.7770596184875758</v>
      </c>
      <c r="G42" s="160">
        <f>(+'Sno-King Waste Stream Report'!G42*'Sno-King Waste Stream Report'!G30+'SKC Waste Stream Report'!G42*'SKC Waste Stream Report'!G30)/'Total KC Waste Stream Report'!G30</f>
        <v>0.6843986038394415</v>
      </c>
      <c r="H42" s="160">
        <f>(+'Sno-King Waste Stream Report'!H42*'Sno-King Waste Stream Report'!H30+'SKC Waste Stream Report'!H42*'SKC Waste Stream Report'!H30)/'Total KC Waste Stream Report'!H30</f>
        <v>0.7299915964294604</v>
      </c>
      <c r="I42" s="160"/>
      <c r="J42" s="160"/>
      <c r="K42" s="160"/>
      <c r="L42" s="160"/>
      <c r="M42" s="160"/>
      <c r="N42" s="160"/>
      <c r="O42" s="160"/>
      <c r="P42" s="160"/>
      <c r="Q42" s="160"/>
      <c r="R42" s="206">
        <f t="shared" si="5"/>
        <v>0.7304832729188259</v>
      </c>
      <c r="T42" t="s">
        <v>83</v>
      </c>
      <c r="U42" s="89">
        <f>+'Sno-King Waste Stream Report'!U42+'SKC Waste Stream Report'!U42</f>
        <v>0</v>
      </c>
      <c r="V42" s="89">
        <f>+'Sno-King Waste Stream Report'!V42+'SKC Waste Stream Report'!V42</f>
        <v>0</v>
      </c>
      <c r="W42" s="89">
        <f>+'Sno-King Waste Stream Report'!W42+'SKC Waste Stream Report'!W42</f>
        <v>0</v>
      </c>
      <c r="X42" s="89">
        <f>+'Sno-King Waste Stream Report'!X42+'SKC Waste Stream Report'!X42</f>
        <v>0</v>
      </c>
      <c r="Y42" s="89">
        <f>+'Sno-King Waste Stream Report'!Y42+'SKC Waste Stream Report'!Y42</f>
        <v>0</v>
      </c>
      <c r="Z42" s="89">
        <f>+'Sno-King Waste Stream Report'!Z42+'SKC Waste Stream Report'!Z42</f>
        <v>0</v>
      </c>
      <c r="AA42" s="89">
        <f>+'Sno-King Waste Stream Report'!AA42+'SKC Waste Stream Report'!AA42</f>
        <v>0</v>
      </c>
    </row>
    <row r="43" spans="1:18" ht="12.75">
      <c r="A43" s="28"/>
      <c r="B43" s="2" t="s">
        <v>77</v>
      </c>
      <c r="C43" s="2"/>
      <c r="D43" s="29"/>
      <c r="E43" s="90">
        <f>(+'Sno-King Waste Stream Report'!E43*'Sno-King Waste Stream Report'!E30+'SKC Waste Stream Report'!E43*'SKC Waste Stream Report'!E30)/'Total KC Waste Stream Report'!E30</f>
        <v>20.402025555335637</v>
      </c>
      <c r="F43" s="161">
        <f>(+'Sno-King Waste Stream Report'!F43*'Sno-King Waste Stream Report'!F30+'SKC Waste Stream Report'!F43*'SKC Waste Stream Report'!F30)/'Total KC Waste Stream Report'!F30</f>
        <v>34.66835217475281</v>
      </c>
      <c r="G43" s="161">
        <f>(+'Sno-King Waste Stream Report'!G43*'Sno-King Waste Stream Report'!G30+'SKC Waste Stream Report'!G43*'SKC Waste Stream Report'!G30)/'Total KC Waste Stream Report'!G30</f>
        <v>30.617300384094275</v>
      </c>
      <c r="H43" s="161">
        <f>(+'Sno-King Waste Stream Report'!H43*'Sno-King Waste Stream Report'!H30+'SKC Waste Stream Report'!H43*'SKC Waste Stream Report'!H30)/'Total KC Waste Stream Report'!H30</f>
        <v>33.05571053987774</v>
      </c>
      <c r="I43" s="161"/>
      <c r="J43" s="161"/>
      <c r="K43" s="161"/>
      <c r="L43" s="161"/>
      <c r="M43" s="161"/>
      <c r="N43" s="161"/>
      <c r="O43" s="161"/>
      <c r="P43" s="161"/>
      <c r="Q43" s="162"/>
      <c r="R43" s="31">
        <f t="shared" si="5"/>
        <v>32.78045436624161</v>
      </c>
    </row>
    <row r="44" spans="1:18" ht="12.75">
      <c r="A44" s="23" t="s">
        <v>31</v>
      </c>
      <c r="B44" s="24"/>
      <c r="C44" s="24"/>
      <c r="D44" s="25"/>
      <c r="E44" s="24"/>
      <c r="F44" s="51"/>
      <c r="G44" s="51"/>
      <c r="H44" s="52"/>
      <c r="I44" s="192"/>
      <c r="J44" s="192"/>
      <c r="K44" s="192"/>
      <c r="L44" s="192"/>
      <c r="M44" s="192"/>
      <c r="N44" s="192"/>
      <c r="O44" s="192"/>
      <c r="P44" s="192"/>
      <c r="Q44" s="196"/>
      <c r="R44" s="216"/>
    </row>
    <row r="45" spans="1:27" ht="12.75">
      <c r="A45" s="23"/>
      <c r="B45" s="126" t="s">
        <v>75</v>
      </c>
      <c r="C45" s="24"/>
      <c r="D45" s="25"/>
      <c r="E45" s="6" t="s">
        <v>82</v>
      </c>
      <c r="F45" s="131">
        <f>+'Sno-King Waste Stream Report'!F45+'SKC Waste Stream Report'!F45</f>
        <v>20893</v>
      </c>
      <c r="G45" s="131">
        <f>+'Sno-King Waste Stream Report'!G45+'SKC Waste Stream Report'!G45</f>
        <v>20893</v>
      </c>
      <c r="H45" s="131">
        <f>+'Sno-King Waste Stream Report'!H45+'SKC Waste Stream Report'!H45</f>
        <v>20893</v>
      </c>
      <c r="I45" s="188"/>
      <c r="J45" s="188"/>
      <c r="K45" s="188"/>
      <c r="L45" s="188"/>
      <c r="M45" s="188"/>
      <c r="N45" s="188"/>
      <c r="O45" s="188"/>
      <c r="P45" s="188"/>
      <c r="Q45" s="197"/>
      <c r="R45" s="217">
        <f>AVERAGE(F45:Q45)</f>
        <v>20893</v>
      </c>
      <c r="U45" s="8">
        <f>+'Sno-King Waste Stream Report'!U45+'SKC Waste Stream Report'!U45</f>
        <v>0</v>
      </c>
      <c r="V45" s="8">
        <f>+'Sno-King Waste Stream Report'!V45+'SKC Waste Stream Report'!V45</f>
        <v>0</v>
      </c>
      <c r="W45" s="8">
        <f>+'Sno-King Waste Stream Report'!W45+'SKC Waste Stream Report'!W45</f>
        <v>0</v>
      </c>
      <c r="X45" s="8">
        <f>+'Sno-King Waste Stream Report'!X45+'SKC Waste Stream Report'!X45</f>
        <v>0</v>
      </c>
      <c r="Y45" s="8">
        <f>+'Sno-King Waste Stream Report'!Y45+'SKC Waste Stream Report'!Y45</f>
        <v>0</v>
      </c>
      <c r="Z45" s="8">
        <f>+'Sno-King Waste Stream Report'!Z45+'SKC Waste Stream Report'!Z45</f>
        <v>0</v>
      </c>
      <c r="AA45" s="8">
        <f>+'Sno-King Waste Stream Report'!AA45+'SKC Waste Stream Report'!AA45</f>
        <v>0</v>
      </c>
    </row>
    <row r="46" spans="1:18" ht="12.75">
      <c r="A46" s="28"/>
      <c r="B46" s="2" t="s">
        <v>78</v>
      </c>
      <c r="C46" s="2"/>
      <c r="D46" s="29"/>
      <c r="E46" s="6" t="s">
        <v>82</v>
      </c>
      <c r="F46" s="160">
        <f>(+'Sno-King Waste Stream Report'!F46*'Sno-King Waste Stream Report'!F45+'SKC Waste Stream Report'!F46*'SKC Waste Stream Report'!F45)/'Total KC Waste Stream Report'!F45</f>
        <v>0.47618767051165467</v>
      </c>
      <c r="G46" s="160">
        <f>(+'Sno-King Waste Stream Report'!G46*'Sno-King Waste Stream Report'!G45+'SKC Waste Stream Report'!G46*'SKC Waste Stream Report'!G45)/'Total KC Waste Stream Report'!G45</f>
        <v>0.4259516249461542</v>
      </c>
      <c r="H46" s="160">
        <f>(+'Sno-King Waste Stream Report'!H46*'Sno-King Waste Stream Report'!H45+'SKC Waste Stream Report'!H46*'SKC Waste Stream Report'!H45)/'Total KC Waste Stream Report'!H45</f>
        <v>0.6345543770640885</v>
      </c>
      <c r="I46" s="160"/>
      <c r="J46" s="160"/>
      <c r="K46" s="160"/>
      <c r="L46" s="160"/>
      <c r="M46" s="160"/>
      <c r="N46" s="160"/>
      <c r="O46" s="160"/>
      <c r="P46" s="160"/>
      <c r="Q46" s="219"/>
      <c r="R46" s="218">
        <f>AVERAGE(F46:Q46)</f>
        <v>0.5122312241739658</v>
      </c>
    </row>
    <row r="47" spans="1:18" ht="12.75">
      <c r="A47" s="28"/>
      <c r="B47" s="2" t="s">
        <v>77</v>
      </c>
      <c r="C47" s="2"/>
      <c r="D47" s="29"/>
      <c r="E47" s="127" t="s">
        <v>82</v>
      </c>
      <c r="F47" s="161">
        <f>(+'Sno-King Waste Stream Report'!F47*'Sno-King Waste Stream Report'!F45+'SKC Waste Stream Report'!F47*'SKC Waste Stream Report'!F45)/'Total KC Waste Stream Report'!F45</f>
        <v>59.67067668775006</v>
      </c>
      <c r="G47" s="161">
        <f>(+'Sno-King Waste Stream Report'!G47*'Sno-King Waste Stream Report'!G45+'SKC Waste Stream Report'!G47*'SKC Waste Stream Report'!G45)/'Total KC Waste Stream Report'!G45</f>
        <v>72.16857838074668</v>
      </c>
      <c r="H47" s="161">
        <f>(+'Sno-King Waste Stream Report'!H47*'Sno-King Waste Stream Report'!H45+'SKC Waste Stream Report'!H47*'SKC Waste Stream Report'!H45)/'Total KC Waste Stream Report'!H45</f>
        <v>79.55719503237515</v>
      </c>
      <c r="I47" s="161"/>
      <c r="J47" s="161"/>
      <c r="K47" s="161"/>
      <c r="L47" s="161"/>
      <c r="M47" s="161"/>
      <c r="N47" s="161"/>
      <c r="O47" s="161"/>
      <c r="P47" s="161"/>
      <c r="Q47" s="162"/>
      <c r="R47" s="31">
        <f>AVERAGE(F47:Q47)</f>
        <v>70.4654833669573</v>
      </c>
    </row>
    <row r="48" spans="1:18" ht="12.75">
      <c r="A48" s="23" t="s">
        <v>87</v>
      </c>
      <c r="B48" s="24"/>
      <c r="C48" s="24"/>
      <c r="D48" s="25"/>
      <c r="E48" s="24"/>
      <c r="F48" s="51"/>
      <c r="G48" s="51"/>
      <c r="H48" s="52"/>
      <c r="I48" s="192"/>
      <c r="J48" s="192"/>
      <c r="K48" s="192"/>
      <c r="L48" s="192"/>
      <c r="M48" s="192"/>
      <c r="N48" s="192"/>
      <c r="O48" s="192"/>
      <c r="P48" s="192"/>
      <c r="Q48" s="196"/>
      <c r="R48" s="216"/>
    </row>
    <row r="49" spans="1:18" ht="12.75">
      <c r="A49" s="23"/>
      <c r="B49" s="121" t="s">
        <v>75</v>
      </c>
      <c r="C49" s="122"/>
      <c r="D49" s="123"/>
      <c r="E49" s="91" t="s">
        <v>82</v>
      </c>
      <c r="F49" s="125">
        <f>+'Sno-King Waste Stream Report'!F49+'SKC Waste Stream Report'!F49</f>
        <v>489</v>
      </c>
      <c r="G49" s="125">
        <f>+'Sno-King Waste Stream Report'!G49+'SKC Waste Stream Report'!G49</f>
        <v>489</v>
      </c>
      <c r="H49" s="125">
        <f>+'Sno-King Waste Stream Report'!H49+'SKC Waste Stream Report'!H49</f>
        <v>489</v>
      </c>
      <c r="I49" s="185"/>
      <c r="J49" s="185"/>
      <c r="K49" s="185"/>
      <c r="L49" s="185"/>
      <c r="M49" s="185"/>
      <c r="N49" s="185"/>
      <c r="O49" s="185"/>
      <c r="P49" s="185"/>
      <c r="Q49" s="185">
        <f>+'Sno-King Waste Stream Report'!Q49+'SKC Waste Stream Report'!Q49</f>
        <v>0</v>
      </c>
      <c r="R49" s="115">
        <f aca="true" t="shared" si="6" ref="R49:R63">AVERAGE(F49:Q49)</f>
        <v>366.75</v>
      </c>
    </row>
    <row r="50" spans="1:18" ht="12.75">
      <c r="A50" s="23"/>
      <c r="B50" s="79"/>
      <c r="C50" s="76" t="s">
        <v>59</v>
      </c>
      <c r="D50" s="123"/>
      <c r="E50" s="6" t="s">
        <v>82</v>
      </c>
      <c r="F50" s="81">
        <f>+'Sno-King Waste Stream Report'!F50+'SKC Waste Stream Report'!F50</f>
        <v>29</v>
      </c>
      <c r="G50" s="81">
        <f>+'Sno-King Waste Stream Report'!G50+'SKC Waste Stream Report'!G50</f>
        <v>29</v>
      </c>
      <c r="H50" s="81">
        <f>+'Sno-King Waste Stream Report'!H50+'SKC Waste Stream Report'!H50</f>
        <v>29</v>
      </c>
      <c r="I50" s="81"/>
      <c r="J50" s="81"/>
      <c r="K50" s="81"/>
      <c r="L50" s="81"/>
      <c r="M50" s="81"/>
      <c r="N50" s="81"/>
      <c r="O50" s="81"/>
      <c r="P50" s="81"/>
      <c r="Q50" s="81">
        <f>+'Sno-King Waste Stream Report'!Q50+'SKC Waste Stream Report'!Q50</f>
        <v>0</v>
      </c>
      <c r="R50" s="78">
        <f t="shared" si="6"/>
        <v>21.75</v>
      </c>
    </row>
    <row r="51" spans="1:18" ht="12.75">
      <c r="A51" s="23"/>
      <c r="B51" s="79"/>
      <c r="C51" s="76" t="s">
        <v>60</v>
      </c>
      <c r="D51" s="123"/>
      <c r="E51" s="6" t="s">
        <v>82</v>
      </c>
      <c r="F51" s="81">
        <f>+'SKC Waste Stream Report'!F51</f>
        <v>10</v>
      </c>
      <c r="G51" s="81">
        <f>+'SKC Waste Stream Report'!G51</f>
        <v>10</v>
      </c>
      <c r="H51" s="81">
        <f>+'SKC Waste Stream Report'!H51</f>
        <v>10</v>
      </c>
      <c r="I51" s="81"/>
      <c r="J51" s="81"/>
      <c r="K51" s="81"/>
      <c r="L51" s="81"/>
      <c r="M51" s="81"/>
      <c r="N51" s="81"/>
      <c r="O51" s="81"/>
      <c r="P51" s="81"/>
      <c r="Q51" s="81">
        <f>+'SKC Waste Stream Report'!Q51</f>
        <v>0</v>
      </c>
      <c r="R51" s="78">
        <f t="shared" si="6"/>
        <v>7.5</v>
      </c>
    </row>
    <row r="52" spans="1:18" ht="12.75">
      <c r="A52" s="23"/>
      <c r="B52" s="79"/>
      <c r="C52" s="76" t="s">
        <v>61</v>
      </c>
      <c r="D52" s="123"/>
      <c r="E52" s="6" t="s">
        <v>82</v>
      </c>
      <c r="F52" s="81">
        <f>+'Sno-King Waste Stream Report'!F51+'SKC Waste Stream Report'!F52</f>
        <v>25</v>
      </c>
      <c r="G52" s="81">
        <f>+'Sno-King Waste Stream Report'!G51+'SKC Waste Stream Report'!G52</f>
        <v>25</v>
      </c>
      <c r="H52" s="81">
        <f>+'Sno-King Waste Stream Report'!H51+'SKC Waste Stream Report'!H52</f>
        <v>25</v>
      </c>
      <c r="I52" s="81"/>
      <c r="J52" s="81"/>
      <c r="K52" s="81"/>
      <c r="L52" s="81"/>
      <c r="M52" s="81"/>
      <c r="N52" s="81"/>
      <c r="O52" s="81"/>
      <c r="P52" s="81"/>
      <c r="Q52" s="81">
        <f>+'Sno-King Waste Stream Report'!Q51+'SKC Waste Stream Report'!Q52</f>
        <v>0</v>
      </c>
      <c r="R52" s="78">
        <f t="shared" si="6"/>
        <v>18.75</v>
      </c>
    </row>
    <row r="53" spans="1:18" ht="12.75">
      <c r="A53" s="23"/>
      <c r="B53" s="79"/>
      <c r="C53" s="76" t="s">
        <v>62</v>
      </c>
      <c r="D53" s="123"/>
      <c r="E53" s="6" t="s">
        <v>82</v>
      </c>
      <c r="F53" s="81">
        <f>+'SKC Waste Stream Report'!F53</f>
        <v>60</v>
      </c>
      <c r="G53" s="81">
        <f>+'SKC Waste Stream Report'!G53</f>
        <v>60</v>
      </c>
      <c r="H53" s="81">
        <f>+'SKC Waste Stream Report'!H53</f>
        <v>60</v>
      </c>
      <c r="I53" s="81"/>
      <c r="J53" s="81"/>
      <c r="K53" s="81"/>
      <c r="L53" s="81"/>
      <c r="M53" s="81"/>
      <c r="N53" s="81"/>
      <c r="O53" s="81"/>
      <c r="P53" s="81"/>
      <c r="Q53" s="81">
        <f>+'SKC Waste Stream Report'!Q53</f>
        <v>0</v>
      </c>
      <c r="R53" s="78">
        <f t="shared" si="6"/>
        <v>45</v>
      </c>
    </row>
    <row r="54" spans="1:18" ht="12.75">
      <c r="A54" s="23"/>
      <c r="B54" s="79"/>
      <c r="C54" s="76" t="s">
        <v>96</v>
      </c>
      <c r="D54" s="123"/>
      <c r="E54" s="6" t="s">
        <v>82</v>
      </c>
      <c r="F54" s="81">
        <f>+'SKC Waste Stream Report'!F54</f>
        <v>10</v>
      </c>
      <c r="G54" s="81">
        <f>+'SKC Waste Stream Report'!G54</f>
        <v>10</v>
      </c>
      <c r="H54" s="81">
        <f>+'SKC Waste Stream Report'!H54</f>
        <v>10</v>
      </c>
      <c r="I54" s="81"/>
      <c r="J54" s="81"/>
      <c r="K54" s="81"/>
      <c r="L54" s="81"/>
      <c r="M54" s="81"/>
      <c r="N54" s="81"/>
      <c r="O54" s="81"/>
      <c r="P54" s="81"/>
      <c r="Q54" s="81">
        <f>+'SKC Waste Stream Report'!Q54</f>
        <v>0</v>
      </c>
      <c r="R54" s="78">
        <f t="shared" si="6"/>
        <v>7.5</v>
      </c>
    </row>
    <row r="55" spans="1:18" ht="12.75">
      <c r="A55" s="23"/>
      <c r="B55" s="79"/>
      <c r="C55" s="76" t="s">
        <v>63</v>
      </c>
      <c r="D55" s="123"/>
      <c r="E55" s="6" t="s">
        <v>82</v>
      </c>
      <c r="F55" s="81">
        <f>+'SKC Waste Stream Report'!F55</f>
        <v>20</v>
      </c>
      <c r="G55" s="81">
        <f>+'SKC Waste Stream Report'!G55</f>
        <v>20</v>
      </c>
      <c r="H55" s="81">
        <f>+'SKC Waste Stream Report'!H55</f>
        <v>20</v>
      </c>
      <c r="I55" s="81"/>
      <c r="J55" s="81"/>
      <c r="K55" s="81"/>
      <c r="L55" s="81"/>
      <c r="M55" s="81"/>
      <c r="N55" s="81"/>
      <c r="O55" s="81"/>
      <c r="P55" s="81"/>
      <c r="Q55" s="81">
        <f>+'SKC Waste Stream Report'!Q55</f>
        <v>0</v>
      </c>
      <c r="R55" s="78">
        <f t="shared" si="6"/>
        <v>15</v>
      </c>
    </row>
    <row r="56" spans="1:18" ht="12.75">
      <c r="A56" s="23"/>
      <c r="B56" s="79"/>
      <c r="C56" s="76" t="s">
        <v>64</v>
      </c>
      <c r="D56" s="123"/>
      <c r="E56" s="6" t="s">
        <v>82</v>
      </c>
      <c r="F56" s="81">
        <f>+'Sno-King Waste Stream Report'!F52+'SKC Waste Stream Report'!F56</f>
        <v>78</v>
      </c>
      <c r="G56" s="81">
        <f>+'Sno-King Waste Stream Report'!G52+'SKC Waste Stream Report'!G56</f>
        <v>78</v>
      </c>
      <c r="H56" s="81">
        <f>+'Sno-King Waste Stream Report'!H52+'SKC Waste Stream Report'!H56</f>
        <v>78</v>
      </c>
      <c r="I56" s="81"/>
      <c r="J56" s="81"/>
      <c r="K56" s="81"/>
      <c r="L56" s="81"/>
      <c r="M56" s="81"/>
      <c r="N56" s="81"/>
      <c r="O56" s="81"/>
      <c r="P56" s="81"/>
      <c r="Q56" s="81">
        <f>+'Sno-King Waste Stream Report'!Q52+'SKC Waste Stream Report'!Q56</f>
        <v>0</v>
      </c>
      <c r="R56" s="78">
        <f t="shared" si="6"/>
        <v>58.5</v>
      </c>
    </row>
    <row r="57" spans="1:18" ht="12.75">
      <c r="A57" s="23"/>
      <c r="B57" s="79"/>
      <c r="C57" s="76" t="s">
        <v>65</v>
      </c>
      <c r="D57" s="123"/>
      <c r="E57" s="6" t="s">
        <v>82</v>
      </c>
      <c r="F57" s="81">
        <f>+'Sno-King Waste Stream Report'!F53+'SKC Waste Stream Report'!F57</f>
        <v>50</v>
      </c>
      <c r="G57" s="81">
        <f>+'Sno-King Waste Stream Report'!G53+'SKC Waste Stream Report'!G57</f>
        <v>50</v>
      </c>
      <c r="H57" s="81">
        <f>+'Sno-King Waste Stream Report'!H53+'SKC Waste Stream Report'!H57</f>
        <v>50</v>
      </c>
      <c r="I57" s="81"/>
      <c r="J57" s="81"/>
      <c r="K57" s="81"/>
      <c r="L57" s="81"/>
      <c r="M57" s="81"/>
      <c r="N57" s="81"/>
      <c r="O57" s="81"/>
      <c r="P57" s="81"/>
      <c r="Q57" s="81">
        <f>+'Sno-King Waste Stream Report'!Q53+'SKC Waste Stream Report'!Q57</f>
        <v>0</v>
      </c>
      <c r="R57" s="78">
        <f t="shared" si="6"/>
        <v>37.5</v>
      </c>
    </row>
    <row r="58" spans="1:18" ht="12.75">
      <c r="A58" s="23"/>
      <c r="B58" s="79"/>
      <c r="C58" s="76" t="s">
        <v>66</v>
      </c>
      <c r="D58" s="123"/>
      <c r="E58" s="6" t="s">
        <v>82</v>
      </c>
      <c r="F58" s="81">
        <f>+'Sno-King Waste Stream Report'!F54+'SKC Waste Stream Report'!F58</f>
        <v>80</v>
      </c>
      <c r="G58" s="81">
        <f>+'Sno-King Waste Stream Report'!G54+'SKC Waste Stream Report'!G58</f>
        <v>80</v>
      </c>
      <c r="H58" s="81">
        <f>+'Sno-King Waste Stream Report'!H54+'SKC Waste Stream Report'!H58</f>
        <v>80</v>
      </c>
      <c r="I58" s="81"/>
      <c r="J58" s="81"/>
      <c r="K58" s="81"/>
      <c r="L58" s="81"/>
      <c r="M58" s="81"/>
      <c r="N58" s="81"/>
      <c r="O58" s="81"/>
      <c r="P58" s="81"/>
      <c r="Q58" s="81">
        <f>+'Sno-King Waste Stream Report'!Q54+'SKC Waste Stream Report'!Q58</f>
        <v>0</v>
      </c>
      <c r="R58" s="78">
        <f t="shared" si="6"/>
        <v>60</v>
      </c>
    </row>
    <row r="59" spans="1:18" ht="12.75">
      <c r="A59" s="23"/>
      <c r="B59" s="79"/>
      <c r="C59" s="76" t="s">
        <v>67</v>
      </c>
      <c r="D59" s="123"/>
      <c r="E59" s="6" t="s">
        <v>82</v>
      </c>
      <c r="F59" s="81">
        <f>+'Sno-King Waste Stream Report'!F55+'SKC Waste Stream Report'!F59</f>
        <v>66</v>
      </c>
      <c r="G59" s="81">
        <f>+'Sno-King Waste Stream Report'!G55+'SKC Waste Stream Report'!G59</f>
        <v>66</v>
      </c>
      <c r="H59" s="81">
        <f>+'Sno-King Waste Stream Report'!H55+'SKC Waste Stream Report'!H59</f>
        <v>66</v>
      </c>
      <c r="I59" s="81"/>
      <c r="J59" s="81"/>
      <c r="K59" s="81"/>
      <c r="L59" s="81"/>
      <c r="M59" s="81"/>
      <c r="N59" s="81"/>
      <c r="O59" s="81"/>
      <c r="P59" s="81"/>
      <c r="Q59" s="81">
        <f>+'Sno-King Waste Stream Report'!Q55+'SKC Waste Stream Report'!Q59</f>
        <v>0</v>
      </c>
      <c r="R59" s="78">
        <f t="shared" si="6"/>
        <v>49.5</v>
      </c>
    </row>
    <row r="60" spans="1:18" ht="12.75">
      <c r="A60" s="23"/>
      <c r="B60" s="79"/>
      <c r="C60" s="76" t="s">
        <v>68</v>
      </c>
      <c r="D60" s="123"/>
      <c r="E60" s="6" t="s">
        <v>82</v>
      </c>
      <c r="F60" s="81">
        <f>+'Sno-King Waste Stream Report'!F56+'SKC Waste Stream Report'!F60</f>
        <v>50</v>
      </c>
      <c r="G60" s="81">
        <f>+'Sno-King Waste Stream Report'!G56+'SKC Waste Stream Report'!G60</f>
        <v>50</v>
      </c>
      <c r="H60" s="81">
        <f>+'Sno-King Waste Stream Report'!H56+'SKC Waste Stream Report'!H60</f>
        <v>50</v>
      </c>
      <c r="I60" s="81"/>
      <c r="J60" s="81"/>
      <c r="K60" s="81"/>
      <c r="L60" s="81"/>
      <c r="M60" s="81"/>
      <c r="N60" s="81"/>
      <c r="O60" s="81"/>
      <c r="P60" s="81"/>
      <c r="Q60" s="81">
        <f>+'Sno-King Waste Stream Report'!Q56+'SKC Waste Stream Report'!Q60</f>
        <v>0</v>
      </c>
      <c r="R60" s="78">
        <f t="shared" si="6"/>
        <v>37.5</v>
      </c>
    </row>
    <row r="61" spans="1:18" ht="12.75">
      <c r="A61" s="23"/>
      <c r="B61" s="79"/>
      <c r="C61" s="76" t="s">
        <v>69</v>
      </c>
      <c r="D61" s="123"/>
      <c r="E61" s="6" t="s">
        <v>82</v>
      </c>
      <c r="F61" s="81">
        <f>+'SKC Waste Stream Report'!F61</f>
        <v>1</v>
      </c>
      <c r="G61" s="81">
        <f>+'SKC Waste Stream Report'!G61</f>
        <v>1</v>
      </c>
      <c r="H61" s="81">
        <f>+'SKC Waste Stream Report'!H61</f>
        <v>1</v>
      </c>
      <c r="I61" s="81"/>
      <c r="J61" s="81"/>
      <c r="K61" s="81"/>
      <c r="L61" s="81"/>
      <c r="M61" s="81"/>
      <c r="N61" s="81"/>
      <c r="O61" s="81"/>
      <c r="P61" s="81"/>
      <c r="Q61" s="81">
        <f>+'SKC Waste Stream Report'!Q61</f>
        <v>0</v>
      </c>
      <c r="R61" s="78">
        <f t="shared" si="6"/>
        <v>0.75</v>
      </c>
    </row>
    <row r="62" spans="1:18" ht="12.75">
      <c r="A62" s="23"/>
      <c r="B62" s="79"/>
      <c r="C62" s="220" t="s">
        <v>95</v>
      </c>
      <c r="D62" s="123"/>
      <c r="E62" s="6" t="s">
        <v>82</v>
      </c>
      <c r="F62" s="81">
        <f>+'Sno-King Waste Stream Report'!F57</f>
        <v>1</v>
      </c>
      <c r="G62" s="81">
        <f>+'Sno-King Waste Stream Report'!G57</f>
        <v>1</v>
      </c>
      <c r="H62" s="81">
        <f>+'Sno-King Waste Stream Report'!H57</f>
        <v>1</v>
      </c>
      <c r="I62" s="81"/>
      <c r="J62" s="81"/>
      <c r="K62" s="81"/>
      <c r="L62" s="81"/>
      <c r="M62" s="81"/>
      <c r="N62" s="81"/>
      <c r="O62" s="81"/>
      <c r="P62" s="81"/>
      <c r="Q62" s="81">
        <f>+'Sno-King Waste Stream Report'!Q57</f>
        <v>0</v>
      </c>
      <c r="R62" s="78">
        <f t="shared" si="6"/>
        <v>0.75</v>
      </c>
    </row>
    <row r="63" spans="1:18" ht="13.5" thickBot="1">
      <c r="A63" s="23"/>
      <c r="B63" s="135"/>
      <c r="C63" s="136" t="s">
        <v>70</v>
      </c>
      <c r="D63" s="165"/>
      <c r="E63" s="137" t="s">
        <v>82</v>
      </c>
      <c r="F63" s="81">
        <f>+'SKC Waste Stream Report'!F62</f>
        <v>9</v>
      </c>
      <c r="G63" s="81">
        <f>+'SKC Waste Stream Report'!G62</f>
        <v>9</v>
      </c>
      <c r="H63" s="81">
        <f>+'SKC Waste Stream Report'!H62</f>
        <v>9</v>
      </c>
      <c r="I63" s="81"/>
      <c r="J63" s="81"/>
      <c r="K63" s="81"/>
      <c r="L63" s="81"/>
      <c r="M63" s="81"/>
      <c r="N63" s="81"/>
      <c r="O63" s="81"/>
      <c r="P63" s="81"/>
      <c r="Q63" s="81">
        <f>+'SKC Waste Stream Report'!Q62</f>
        <v>0</v>
      </c>
      <c r="R63" s="78">
        <f t="shared" si="6"/>
        <v>6.75</v>
      </c>
    </row>
    <row r="64" spans="1:18" ht="14.25" thickBot="1" thickTop="1">
      <c r="A64" s="42"/>
      <c r="B64" s="2"/>
      <c r="C64" s="2"/>
      <c r="D64" s="2"/>
      <c r="E64" s="2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4"/>
    </row>
    <row r="65" spans="1:18" ht="14.25" thickBot="1" thickTop="1">
      <c r="A65" s="45" t="s">
        <v>32</v>
      </c>
      <c r="B65" s="46"/>
      <c r="C65" s="46"/>
      <c r="D65" s="20"/>
      <c r="E65" s="88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8"/>
    </row>
    <row r="66" spans="1:18" ht="13.5" thickTop="1">
      <c r="A66" s="23" t="s">
        <v>33</v>
      </c>
      <c r="B66" s="24"/>
      <c r="C66" s="24"/>
      <c r="D66" s="56"/>
      <c r="E66" s="2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17"/>
    </row>
    <row r="67" spans="1:18" ht="12.75">
      <c r="A67" s="28"/>
      <c r="B67" s="2" t="s">
        <v>34</v>
      </c>
      <c r="C67" s="2"/>
      <c r="D67" s="29"/>
      <c r="E67" s="106" t="s">
        <v>82</v>
      </c>
      <c r="F67" s="53">
        <f>+F7/F20</f>
        <v>0.3081840083371658</v>
      </c>
      <c r="G67" s="53">
        <f>+G7/G20</f>
        <v>0.2805017559459878</v>
      </c>
      <c r="H67" s="53">
        <f>+H7/H20</f>
        <v>0.2449089757916218</v>
      </c>
      <c r="I67" s="53"/>
      <c r="J67" s="53"/>
      <c r="K67" s="53"/>
      <c r="L67" s="53"/>
      <c r="M67" s="53"/>
      <c r="N67" s="53"/>
      <c r="O67" s="53"/>
      <c r="P67" s="53"/>
      <c r="Q67" s="195"/>
      <c r="R67" s="226">
        <f>+R7/R20</f>
        <v>0.2764449280802878</v>
      </c>
    </row>
    <row r="68" spans="1:18" ht="12.75">
      <c r="A68" s="28"/>
      <c r="B68" s="2" t="s">
        <v>35</v>
      </c>
      <c r="C68" s="2"/>
      <c r="D68" s="29"/>
      <c r="E68" s="107" t="s">
        <v>82</v>
      </c>
      <c r="F68" s="57">
        <f>+F18/F20</f>
        <v>0.10467868579939327</v>
      </c>
      <c r="G68" s="57">
        <f>+G18/G20</f>
        <v>0.14827377770672953</v>
      </c>
      <c r="H68" s="57">
        <f>+H18/H20</f>
        <v>0.28819371747558853</v>
      </c>
      <c r="I68" s="57"/>
      <c r="J68" s="57"/>
      <c r="K68" s="57"/>
      <c r="L68" s="57"/>
      <c r="M68" s="57"/>
      <c r="N68" s="57"/>
      <c r="O68" s="57"/>
      <c r="P68" s="57"/>
      <c r="Q68" s="211"/>
      <c r="R68" s="227">
        <f>+R18/R20</f>
        <v>0.18626041255826994</v>
      </c>
    </row>
    <row r="69" spans="1:18" s="1" customFormat="1" ht="13.5" thickBot="1">
      <c r="A69" s="33"/>
      <c r="B69" s="126" t="s">
        <v>36</v>
      </c>
      <c r="C69" s="126"/>
      <c r="D69" s="208"/>
      <c r="E69" s="6" t="s">
        <v>82</v>
      </c>
      <c r="F69" s="209">
        <f>+F68+F67</f>
        <v>0.41286269413655907</v>
      </c>
      <c r="G69" s="209">
        <f>+G68+G67</f>
        <v>0.42877553365271737</v>
      </c>
      <c r="H69" s="209">
        <f>+H68+H67</f>
        <v>0.5331026932672103</v>
      </c>
      <c r="I69" s="209"/>
      <c r="J69" s="209"/>
      <c r="K69" s="209"/>
      <c r="L69" s="209"/>
      <c r="M69" s="209"/>
      <c r="N69" s="209"/>
      <c r="O69" s="209"/>
      <c r="P69" s="209"/>
      <c r="Q69" s="183"/>
      <c r="R69" s="58">
        <f>+R68+R67</f>
        <v>0.4627053406385577</v>
      </c>
    </row>
    <row r="70" spans="1:18" ht="13.5" thickTop="1">
      <c r="A70" s="49" t="s">
        <v>37</v>
      </c>
      <c r="B70" s="59"/>
      <c r="C70" s="59"/>
      <c r="D70" s="56"/>
      <c r="E70" s="16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195"/>
      <c r="R70" s="226"/>
    </row>
    <row r="71" spans="1:18" ht="12.75">
      <c r="A71" s="28"/>
      <c r="B71" s="2" t="s">
        <v>38</v>
      </c>
      <c r="C71" s="2"/>
      <c r="D71" s="29"/>
      <c r="E71" s="108" t="s">
        <v>82</v>
      </c>
      <c r="F71" s="53">
        <f>+F22/F25</f>
        <v>0.06904492225893717</v>
      </c>
      <c r="G71" s="53">
        <f>+G22/G25</f>
        <v>0.07335105335696002</v>
      </c>
      <c r="H71" s="53">
        <f>+H22/H25</f>
        <v>0.08284510047395022</v>
      </c>
      <c r="I71" s="53"/>
      <c r="J71" s="53"/>
      <c r="K71" s="53"/>
      <c r="L71" s="53"/>
      <c r="M71" s="53"/>
      <c r="N71" s="53"/>
      <c r="O71" s="53"/>
      <c r="P71" s="53"/>
      <c r="Q71" s="195"/>
      <c r="R71" s="226">
        <f>+R22/R25</f>
        <v>0.0752896051950788</v>
      </c>
    </row>
    <row r="72" spans="1:18" ht="12.75">
      <c r="A72" s="28"/>
      <c r="B72" s="2" t="s">
        <v>39</v>
      </c>
      <c r="C72" s="2"/>
      <c r="D72" s="29"/>
      <c r="E72" s="91" t="s">
        <v>82</v>
      </c>
      <c r="F72" s="53">
        <f>+F23/F25</f>
        <v>0.004530604985537635</v>
      </c>
      <c r="G72" s="53">
        <f>+G23/G25</f>
        <v>0.003898405197873597</v>
      </c>
      <c r="H72" s="53">
        <f>+H23/H25</f>
        <v>0.01987617831721436</v>
      </c>
      <c r="I72" s="53"/>
      <c r="J72" s="53"/>
      <c r="K72" s="53"/>
      <c r="L72" s="53"/>
      <c r="M72" s="53"/>
      <c r="N72" s="53"/>
      <c r="O72" s="53"/>
      <c r="P72" s="53"/>
      <c r="Q72" s="211"/>
      <c r="R72" s="227">
        <f>+R23/R25</f>
        <v>0.009768656647054995</v>
      </c>
    </row>
    <row r="73" spans="1:18" s="1" customFormat="1" ht="13.5" thickBot="1">
      <c r="A73" s="33"/>
      <c r="B73" s="126" t="s">
        <v>40</v>
      </c>
      <c r="C73" s="126"/>
      <c r="D73" s="208"/>
      <c r="E73" s="92" t="s">
        <v>82</v>
      </c>
      <c r="F73" s="209">
        <f>+F72+F71</f>
        <v>0.0735755272444748</v>
      </c>
      <c r="G73" s="209">
        <f>+G72+G71</f>
        <v>0.07724945855483362</v>
      </c>
      <c r="H73" s="209">
        <f>+H72+H71</f>
        <v>0.10272127879116458</v>
      </c>
      <c r="I73" s="209"/>
      <c r="J73" s="209"/>
      <c r="K73" s="209"/>
      <c r="L73" s="209"/>
      <c r="M73" s="209"/>
      <c r="N73" s="209"/>
      <c r="O73" s="209"/>
      <c r="P73" s="209"/>
      <c r="Q73" s="183"/>
      <c r="R73" s="58">
        <f>+R72+R71</f>
        <v>0.08505826184213379</v>
      </c>
    </row>
    <row r="74" spans="1:18" ht="14.25" thickBot="1" thickTop="1">
      <c r="A74" s="63" t="s">
        <v>84</v>
      </c>
      <c r="B74" s="64"/>
      <c r="C74" s="64"/>
      <c r="D74" s="65"/>
      <c r="E74" s="105" t="s">
        <v>82</v>
      </c>
      <c r="F74" s="101">
        <f>+(F7+F18+F22+F23)/(F20+F25)</f>
        <v>0.36854506016907507</v>
      </c>
      <c r="G74" s="101">
        <f>+(G7+G18+G22+G23)/(G20+G25)</f>
        <v>0.3779174517989321</v>
      </c>
      <c r="H74" s="101">
        <f>+(H7+H18+H22+H23)/(H20+H25)</f>
        <v>0.4788519704064266</v>
      </c>
      <c r="I74" s="101"/>
      <c r="J74" s="101"/>
      <c r="K74" s="101"/>
      <c r="L74" s="101"/>
      <c r="M74" s="101"/>
      <c r="N74" s="101"/>
      <c r="O74" s="101"/>
      <c r="P74" s="101"/>
      <c r="Q74" s="225"/>
      <c r="R74" s="228">
        <f>+(R7+R18+R22+R23)/(R20+R25)</f>
        <v>0.41248608992183167</v>
      </c>
    </row>
    <row r="75" spans="1:18" ht="14.25" thickBot="1" thickTop="1">
      <c r="A75" s="63" t="s">
        <v>85</v>
      </c>
      <c r="B75" s="64"/>
      <c r="C75" s="64"/>
      <c r="D75" s="65"/>
      <c r="E75" s="103">
        <f>+E7/E20</f>
        <v>0.3130265127585496</v>
      </c>
      <c r="F75" s="98">
        <f>+(F7+F18)/(F20-F18+F25-F23)</f>
        <v>0.39512724982098346</v>
      </c>
      <c r="G75" s="98">
        <f>+(G7+G18)/(G20-G18+G25-G23)</f>
        <v>0.420278713569414</v>
      </c>
      <c r="H75" s="98">
        <f>+(H7+H18)/(H20-H18+H25-H23)</f>
        <v>0.6248469957957106</v>
      </c>
      <c r="I75" s="98"/>
      <c r="J75" s="98"/>
      <c r="K75" s="98"/>
      <c r="L75" s="98"/>
      <c r="M75" s="98"/>
      <c r="N75" s="98"/>
      <c r="O75" s="98"/>
      <c r="P75" s="98"/>
      <c r="Q75" s="99"/>
      <c r="R75" s="100">
        <f>+(R7+R18)/(R20-R18+R25-R23)</f>
        <v>0.4791813479049955</v>
      </c>
    </row>
    <row r="76" ht="13.5" thickTop="1"/>
  </sheetData>
  <printOptions/>
  <pageMargins left="0.5" right="0" top="0.5" bottom="0" header="0.5" footer="0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workbookViewId="0" topLeftCell="A62">
      <selection activeCell="C83" sqref="C83:C84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7" width="9.8515625" style="0" bestFit="1" customWidth="1"/>
    <col min="8" max="15" width="9.8515625" style="0" customWidth="1"/>
    <col min="16" max="16" width="11.00390625" style="0" bestFit="1" customWidth="1"/>
    <col min="17" max="17" width="10.28125" style="0" customWidth="1"/>
    <col min="18" max="18" width="10.28125" style="4" bestFit="1" customWidth="1"/>
    <col min="20" max="20" width="25.28125" style="0" customWidth="1"/>
    <col min="21" max="21" width="10.28125" style="0" bestFit="1" customWidth="1"/>
  </cols>
  <sheetData>
    <row r="1" ht="18.75">
      <c r="A1" s="9" t="s">
        <v>90</v>
      </c>
    </row>
    <row r="2" spans="1:5" ht="15">
      <c r="A2" s="10" t="s">
        <v>100</v>
      </c>
      <c r="B2" s="1"/>
      <c r="C2" s="1"/>
      <c r="D2" s="1"/>
      <c r="E2" s="1"/>
    </row>
    <row r="3" spans="1:18" ht="13.5" thickBot="1">
      <c r="A3" s="11"/>
      <c r="C3" s="12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7"/>
    </row>
    <row r="4" spans="1:18" ht="14.25" thickBot="1" thickTop="1">
      <c r="A4" s="13"/>
      <c r="B4" s="13"/>
      <c r="C4" s="13"/>
      <c r="D4" s="14"/>
      <c r="E4" s="15" t="s">
        <v>80</v>
      </c>
      <c r="F4" s="15">
        <v>2004</v>
      </c>
      <c r="G4" s="15">
        <v>2004</v>
      </c>
      <c r="H4" s="15">
        <v>2004</v>
      </c>
      <c r="I4" s="15">
        <v>2004</v>
      </c>
      <c r="J4" s="15">
        <v>2004</v>
      </c>
      <c r="K4" s="15">
        <v>2004</v>
      </c>
      <c r="L4" s="15">
        <v>2004</v>
      </c>
      <c r="M4" s="15">
        <v>2004</v>
      </c>
      <c r="N4" s="15">
        <v>2004</v>
      </c>
      <c r="O4" s="15">
        <v>2004</v>
      </c>
      <c r="P4" s="15">
        <v>2004</v>
      </c>
      <c r="Q4" s="174">
        <v>2004</v>
      </c>
      <c r="R4" s="17" t="s">
        <v>86</v>
      </c>
    </row>
    <row r="5" spans="1:18" ht="14.25" thickBot="1" thickTop="1">
      <c r="A5" s="18" t="s">
        <v>15</v>
      </c>
      <c r="B5" s="19"/>
      <c r="C5" s="19"/>
      <c r="D5" s="20"/>
      <c r="E5" s="21" t="s">
        <v>81</v>
      </c>
      <c r="F5" s="21" t="s">
        <v>97</v>
      </c>
      <c r="G5" s="21" t="s">
        <v>98</v>
      </c>
      <c r="H5" s="21" t="s">
        <v>99</v>
      </c>
      <c r="I5" s="21" t="s">
        <v>71</v>
      </c>
      <c r="J5" s="21" t="s">
        <v>10</v>
      </c>
      <c r="K5" s="21" t="s">
        <v>11</v>
      </c>
      <c r="L5" s="21" t="s">
        <v>12</v>
      </c>
      <c r="M5" s="21" t="s">
        <v>16</v>
      </c>
      <c r="N5" s="21" t="s">
        <v>17</v>
      </c>
      <c r="O5" s="21" t="s">
        <v>72</v>
      </c>
      <c r="P5" s="21" t="s">
        <v>73</v>
      </c>
      <c r="Q5" s="175" t="s">
        <v>74</v>
      </c>
      <c r="R5" s="22" t="s">
        <v>18</v>
      </c>
    </row>
    <row r="6" spans="1:18" ht="13.5" thickTop="1">
      <c r="A6" s="23" t="s">
        <v>19</v>
      </c>
      <c r="B6" s="24"/>
      <c r="C6" s="24"/>
      <c r="D6" s="25"/>
      <c r="E6" s="24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172"/>
      <c r="R6" s="17"/>
    </row>
    <row r="7" spans="1:26" ht="12.75">
      <c r="A7" s="28"/>
      <c r="B7" s="2" t="s">
        <v>79</v>
      </c>
      <c r="C7" s="2"/>
      <c r="D7" s="29"/>
      <c r="E7" s="112">
        <v>770.0464593581434</v>
      </c>
      <c r="F7" s="113">
        <v>1105.43</v>
      </c>
      <c r="G7" s="113">
        <v>801.53</v>
      </c>
      <c r="H7" s="113">
        <v>902.98</v>
      </c>
      <c r="I7" s="113"/>
      <c r="J7" s="113"/>
      <c r="K7" s="113"/>
      <c r="L7" s="113"/>
      <c r="M7" s="113"/>
      <c r="N7" s="113"/>
      <c r="O7" s="113"/>
      <c r="P7" s="113"/>
      <c r="Q7" s="201"/>
      <c r="R7" s="32">
        <f>AVERAGE(F7:Q7)</f>
        <v>936.6466666666666</v>
      </c>
      <c r="U7" s="5">
        <f>+F7</f>
        <v>1105.43</v>
      </c>
      <c r="V7" s="5">
        <f>+G7</f>
        <v>801.53</v>
      </c>
      <c r="W7" s="5">
        <f>+P7</f>
        <v>0</v>
      </c>
      <c r="X7" s="5"/>
      <c r="Y7" s="5"/>
      <c r="Z7" s="5"/>
    </row>
    <row r="8" spans="1:18" ht="12.75">
      <c r="A8" s="28"/>
      <c r="B8" s="2"/>
      <c r="C8" s="83" t="s">
        <v>5</v>
      </c>
      <c r="D8" s="29"/>
      <c r="E8" s="109">
        <v>375.9980351046724</v>
      </c>
      <c r="F8" s="84">
        <v>545.9865995057974</v>
      </c>
      <c r="G8" s="84">
        <v>373.57439296248026</v>
      </c>
      <c r="H8" s="167">
        <v>367.66968221098324</v>
      </c>
      <c r="I8" s="167"/>
      <c r="J8" s="167"/>
      <c r="K8" s="167"/>
      <c r="L8" s="167"/>
      <c r="M8" s="167"/>
      <c r="N8" s="167"/>
      <c r="O8" s="167"/>
      <c r="P8" s="167"/>
      <c r="Q8" s="202"/>
      <c r="R8" s="31">
        <f>AVERAGE(F8:Q8)</f>
        <v>429.0768915597536</v>
      </c>
    </row>
    <row r="9" spans="1:18" ht="12.75">
      <c r="A9" s="28"/>
      <c r="B9" s="2"/>
      <c r="C9" s="83" t="s">
        <v>2</v>
      </c>
      <c r="D9" s="29"/>
      <c r="E9" s="109">
        <v>153.56035356519848</v>
      </c>
      <c r="F9" s="84">
        <v>243.93618133434708</v>
      </c>
      <c r="G9" s="84">
        <v>192.85854196675584</v>
      </c>
      <c r="H9" s="84">
        <v>253.0085546174983</v>
      </c>
      <c r="I9" s="167"/>
      <c r="J9" s="167"/>
      <c r="K9" s="167"/>
      <c r="L9" s="167"/>
      <c r="M9" s="167"/>
      <c r="N9" s="167"/>
      <c r="O9" s="167"/>
      <c r="P9" s="167"/>
      <c r="Q9" s="111"/>
      <c r="R9" s="145">
        <f aca="true" t="shared" si="0" ref="R9:R19">AVERAGE(F9:Q9)</f>
        <v>229.93442597286707</v>
      </c>
    </row>
    <row r="10" spans="1:18" ht="12.75">
      <c r="A10" s="28"/>
      <c r="B10" s="2"/>
      <c r="C10" s="83" t="s">
        <v>0</v>
      </c>
      <c r="D10" s="29"/>
      <c r="E10" s="109">
        <v>9.930973436611865</v>
      </c>
      <c r="F10" s="84">
        <v>9.71849458277894</v>
      </c>
      <c r="G10" s="84">
        <v>7.268451768525505</v>
      </c>
      <c r="H10" s="167">
        <v>6.166648878977341</v>
      </c>
      <c r="I10" s="167"/>
      <c r="J10" s="167"/>
      <c r="K10" s="167"/>
      <c r="L10" s="167"/>
      <c r="M10" s="167"/>
      <c r="N10" s="167"/>
      <c r="O10" s="167"/>
      <c r="P10" s="167"/>
      <c r="Q10" s="111"/>
      <c r="R10" s="145">
        <f t="shared" si="0"/>
        <v>7.717865076760596</v>
      </c>
    </row>
    <row r="11" spans="1:18" ht="12.75">
      <c r="A11" s="28"/>
      <c r="B11" s="2"/>
      <c r="C11" s="83" t="s">
        <v>3</v>
      </c>
      <c r="D11" s="29"/>
      <c r="E11" s="109">
        <v>25.23454574845419</v>
      </c>
      <c r="F11" s="84">
        <v>20.29276753468922</v>
      </c>
      <c r="G11" s="84">
        <v>14.88015981891762</v>
      </c>
      <c r="H11" s="167">
        <v>12.316540559913982</v>
      </c>
      <c r="I11" s="167"/>
      <c r="J11" s="167"/>
      <c r="K11" s="167"/>
      <c r="L11" s="167"/>
      <c r="M11" s="167"/>
      <c r="N11" s="167"/>
      <c r="O11" s="167"/>
      <c r="P11" s="167"/>
      <c r="Q11" s="111"/>
      <c r="R11" s="145">
        <f t="shared" si="0"/>
        <v>15.829822637840273</v>
      </c>
    </row>
    <row r="12" spans="1:18" ht="12.75">
      <c r="A12" s="28"/>
      <c r="B12" s="2"/>
      <c r="C12" s="83" t="s">
        <v>1</v>
      </c>
      <c r="D12" s="29"/>
      <c r="E12" s="109">
        <v>191.62581122174555</v>
      </c>
      <c r="F12" s="84">
        <v>187.31709750997908</v>
      </c>
      <c r="G12" s="84">
        <v>137.20811726913138</v>
      </c>
      <c r="H12" s="167">
        <v>179.1260684560551</v>
      </c>
      <c r="I12" s="167"/>
      <c r="J12" s="167"/>
      <c r="K12" s="167"/>
      <c r="L12" s="167"/>
      <c r="M12" s="167"/>
      <c r="N12" s="167"/>
      <c r="O12" s="167"/>
      <c r="P12" s="167"/>
      <c r="Q12" s="111"/>
      <c r="R12" s="145">
        <f t="shared" si="0"/>
        <v>167.88376107838852</v>
      </c>
    </row>
    <row r="13" spans="1:18" ht="12.75">
      <c r="A13" s="28"/>
      <c r="B13" s="2"/>
      <c r="C13" s="83" t="s">
        <v>6</v>
      </c>
      <c r="D13" s="29"/>
      <c r="E13" s="109">
        <v>6.282668526942625</v>
      </c>
      <c r="F13" s="84">
        <v>10.652965215738453</v>
      </c>
      <c r="G13" s="84">
        <v>7.431498502412145</v>
      </c>
      <c r="H13" s="167">
        <v>8.688607184102585</v>
      </c>
      <c r="I13" s="167"/>
      <c r="J13" s="167"/>
      <c r="K13" s="167"/>
      <c r="L13" s="167"/>
      <c r="M13" s="167"/>
      <c r="N13" s="167"/>
      <c r="O13" s="167"/>
      <c r="P13" s="167"/>
      <c r="Q13" s="111"/>
      <c r="R13" s="145">
        <f t="shared" si="0"/>
        <v>8.924356967417728</v>
      </c>
    </row>
    <row r="14" spans="1:18" ht="12.75">
      <c r="A14" s="28"/>
      <c r="B14" s="2"/>
      <c r="C14" s="83" t="s">
        <v>101</v>
      </c>
      <c r="D14" s="29"/>
      <c r="E14" s="109">
        <v>7.414071754518071</v>
      </c>
      <c r="F14" s="84">
        <v>8.026610910473293</v>
      </c>
      <c r="G14" s="84">
        <v>7.3628472460388235</v>
      </c>
      <c r="H14" s="167">
        <v>6.133134482895942</v>
      </c>
      <c r="I14" s="167"/>
      <c r="J14" s="167"/>
      <c r="K14" s="167"/>
      <c r="L14" s="167"/>
      <c r="M14" s="167"/>
      <c r="N14" s="167"/>
      <c r="O14" s="167"/>
      <c r="P14" s="167"/>
      <c r="Q14" s="111"/>
      <c r="R14" s="145">
        <f t="shared" si="0"/>
        <v>7.174197546469354</v>
      </c>
    </row>
    <row r="15" spans="1:18" ht="12.75">
      <c r="A15" s="28"/>
      <c r="B15" s="2"/>
      <c r="C15" s="83" t="s">
        <v>102</v>
      </c>
      <c r="D15" s="29"/>
      <c r="E15" s="110" t="s">
        <v>82</v>
      </c>
      <c r="F15" s="84">
        <v>6.265871507318</v>
      </c>
      <c r="G15" s="84">
        <v>5.432030660539131</v>
      </c>
      <c r="H15" s="167">
        <v>5.94880530444825</v>
      </c>
      <c r="I15" s="167"/>
      <c r="J15" s="167"/>
      <c r="K15" s="167"/>
      <c r="L15" s="167"/>
      <c r="M15" s="167"/>
      <c r="N15" s="167"/>
      <c r="O15" s="167"/>
      <c r="P15" s="167"/>
      <c r="Q15" s="111"/>
      <c r="R15" s="145">
        <f t="shared" si="0"/>
        <v>5.882235824101794</v>
      </c>
    </row>
    <row r="16" spans="1:18" ht="12.75">
      <c r="A16" s="28"/>
      <c r="B16" s="2"/>
      <c r="C16" s="83" t="s">
        <v>103</v>
      </c>
      <c r="D16" s="29"/>
      <c r="E16" s="110" t="s">
        <v>82</v>
      </c>
      <c r="F16" s="84">
        <v>2.80341189887854</v>
      </c>
      <c r="G16" s="84">
        <v>4.633959805199259</v>
      </c>
      <c r="H16" s="167">
        <v>2.521958305125244</v>
      </c>
      <c r="I16" s="167"/>
      <c r="J16" s="167"/>
      <c r="K16" s="167"/>
      <c r="L16" s="167"/>
      <c r="M16" s="167"/>
      <c r="N16" s="167"/>
      <c r="O16" s="167"/>
      <c r="P16" s="167"/>
      <c r="Q16" s="111"/>
      <c r="R16" s="145">
        <f t="shared" si="0"/>
        <v>3.3197766697343476</v>
      </c>
    </row>
    <row r="17" spans="1:20" ht="12.75">
      <c r="A17" s="28"/>
      <c r="B17" s="2"/>
      <c r="C17" s="83" t="s">
        <v>4</v>
      </c>
      <c r="D17" s="29"/>
      <c r="E17" s="110" t="s">
        <v>82</v>
      </c>
      <c r="F17" s="84">
        <v>70.43</v>
      </c>
      <c r="G17" s="84">
        <v>50.88</v>
      </c>
      <c r="H17" s="167">
        <v>61.4</v>
      </c>
      <c r="I17" s="167"/>
      <c r="J17" s="167"/>
      <c r="K17" s="167"/>
      <c r="L17" s="167"/>
      <c r="M17" s="167"/>
      <c r="N17" s="167"/>
      <c r="O17" s="167"/>
      <c r="P17" s="167"/>
      <c r="Q17" s="111"/>
      <c r="R17" s="145">
        <f t="shared" si="0"/>
        <v>60.903333333333336</v>
      </c>
      <c r="T17" s="233">
        <f>+R17/R7</f>
        <v>0.06502274069908967</v>
      </c>
    </row>
    <row r="18" spans="1:26" ht="12.75">
      <c r="A18" s="28"/>
      <c r="B18" s="2" t="s">
        <v>20</v>
      </c>
      <c r="C18" s="2"/>
      <c r="D18" s="29"/>
      <c r="E18" s="6" t="s">
        <v>82</v>
      </c>
      <c r="F18" s="30">
        <v>290.86</v>
      </c>
      <c r="G18" s="30">
        <v>355.05</v>
      </c>
      <c r="H18" s="30">
        <v>985.8</v>
      </c>
      <c r="I18" s="30"/>
      <c r="J18" s="30"/>
      <c r="K18" s="30"/>
      <c r="L18" s="30"/>
      <c r="M18" s="30"/>
      <c r="N18" s="30"/>
      <c r="O18" s="30"/>
      <c r="P18" s="30"/>
      <c r="Q18" s="114"/>
      <c r="R18" s="145">
        <f t="shared" si="0"/>
        <v>543.9033333333333</v>
      </c>
      <c r="U18" s="66">
        <f>+F18</f>
        <v>290.86</v>
      </c>
      <c r="V18" s="66">
        <f>+G18</f>
        <v>355.05</v>
      </c>
      <c r="W18" s="66">
        <f>+P18</f>
        <v>0</v>
      </c>
      <c r="X18" s="66"/>
      <c r="Y18" s="66"/>
      <c r="Z18" s="66"/>
    </row>
    <row r="19" spans="1:18" ht="12.75">
      <c r="A19" s="28"/>
      <c r="B19" s="2" t="s">
        <v>21</v>
      </c>
      <c r="C19" s="2"/>
      <c r="D19" s="29"/>
      <c r="E19" s="87">
        <v>1791.6345281597748</v>
      </c>
      <c r="F19" s="39">
        <v>1733.32</v>
      </c>
      <c r="G19" s="39">
        <v>1363.23</v>
      </c>
      <c r="H19" s="39">
        <v>1568.16</v>
      </c>
      <c r="I19" s="39"/>
      <c r="J19" s="39"/>
      <c r="K19" s="39"/>
      <c r="L19" s="39"/>
      <c r="M19" s="39"/>
      <c r="N19" s="39"/>
      <c r="O19" s="39"/>
      <c r="P19" s="39"/>
      <c r="Q19" s="85"/>
      <c r="R19" s="32">
        <f t="shared" si="0"/>
        <v>1554.9033333333334</v>
      </c>
    </row>
    <row r="20" spans="1:18" s="1" customFormat="1" ht="13.5" thickBot="1">
      <c r="A20" s="33"/>
      <c r="B20" s="34" t="s">
        <v>22</v>
      </c>
      <c r="C20" s="34"/>
      <c r="D20" s="35"/>
      <c r="E20" s="96">
        <f>+E19+E7</f>
        <v>2561.6809875179183</v>
      </c>
      <c r="F20" s="96">
        <f aca="true" t="shared" si="1" ref="F20:R20">+F19+F18+F7</f>
        <v>3129.6099999999997</v>
      </c>
      <c r="G20" s="96">
        <f t="shared" si="1"/>
        <v>2519.81</v>
      </c>
      <c r="H20" s="96">
        <f t="shared" si="1"/>
        <v>3456.94</v>
      </c>
      <c r="I20" s="96">
        <f t="shared" si="1"/>
        <v>0</v>
      </c>
      <c r="J20" s="96">
        <f t="shared" si="1"/>
        <v>0</v>
      </c>
      <c r="K20" s="96">
        <f t="shared" si="1"/>
        <v>0</v>
      </c>
      <c r="L20" s="96">
        <f t="shared" si="1"/>
        <v>0</v>
      </c>
      <c r="M20" s="96">
        <f t="shared" si="1"/>
        <v>0</v>
      </c>
      <c r="N20" s="96">
        <f t="shared" si="1"/>
        <v>0</v>
      </c>
      <c r="O20" s="96">
        <f t="shared" si="1"/>
        <v>0</v>
      </c>
      <c r="P20" s="96">
        <f t="shared" si="1"/>
        <v>0</v>
      </c>
      <c r="Q20" s="203">
        <f t="shared" si="1"/>
        <v>0</v>
      </c>
      <c r="R20" s="204">
        <f t="shared" si="1"/>
        <v>3035.4533333333334</v>
      </c>
    </row>
    <row r="21" spans="1:18" ht="13.5" thickTop="1">
      <c r="A21" s="23" t="s">
        <v>23</v>
      </c>
      <c r="B21" s="24"/>
      <c r="C21" s="24"/>
      <c r="D21" s="25"/>
      <c r="E21" s="24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173"/>
      <c r="R21" s="38"/>
    </row>
    <row r="22" spans="1:18" ht="12.75">
      <c r="A22" s="28"/>
      <c r="B22" s="2" t="s">
        <v>24</v>
      </c>
      <c r="C22" s="2"/>
      <c r="D22" s="29"/>
      <c r="E22" s="6" t="s">
        <v>82</v>
      </c>
      <c r="F22" s="30">
        <v>20.97</v>
      </c>
      <c r="G22" s="30">
        <v>17.72</v>
      </c>
      <c r="H22" s="30">
        <v>22.87</v>
      </c>
      <c r="I22" s="30"/>
      <c r="J22" s="30"/>
      <c r="K22" s="30"/>
      <c r="L22" s="30"/>
      <c r="M22" s="30"/>
      <c r="N22" s="30"/>
      <c r="O22" s="30"/>
      <c r="P22" s="30"/>
      <c r="Q22" s="114"/>
      <c r="R22" s="145">
        <f>AVERAGE(F22:Q22)</f>
        <v>20.52</v>
      </c>
    </row>
    <row r="23" spans="1:18" ht="12.75">
      <c r="A23" s="28"/>
      <c r="B23" s="2" t="s">
        <v>25</v>
      </c>
      <c r="C23" s="2"/>
      <c r="D23" s="29"/>
      <c r="E23" s="6" t="s">
        <v>82</v>
      </c>
      <c r="F23" s="30">
        <v>0</v>
      </c>
      <c r="G23" s="30">
        <v>0</v>
      </c>
      <c r="H23" s="30">
        <v>0</v>
      </c>
      <c r="I23" s="30"/>
      <c r="J23" s="30"/>
      <c r="K23" s="30"/>
      <c r="L23" s="30"/>
      <c r="M23" s="30"/>
      <c r="N23" s="30"/>
      <c r="O23" s="30"/>
      <c r="P23" s="30"/>
      <c r="Q23" s="114"/>
      <c r="R23" s="145">
        <f>AVERAGE(F23:Q23)</f>
        <v>0</v>
      </c>
    </row>
    <row r="24" spans="1:18" ht="12.75">
      <c r="A24" s="28"/>
      <c r="B24" s="2" t="s">
        <v>26</v>
      </c>
      <c r="C24" s="2"/>
      <c r="D24" s="29"/>
      <c r="E24" s="91" t="s">
        <v>82</v>
      </c>
      <c r="F24" s="39">
        <v>129.48</v>
      </c>
      <c r="G24" s="39">
        <v>116.36</v>
      </c>
      <c r="H24" s="39">
        <v>143.52</v>
      </c>
      <c r="I24" s="39"/>
      <c r="J24" s="39"/>
      <c r="K24" s="39"/>
      <c r="L24" s="39"/>
      <c r="M24" s="39"/>
      <c r="N24" s="39"/>
      <c r="O24" s="39"/>
      <c r="P24" s="39"/>
      <c r="Q24" s="85"/>
      <c r="R24" s="32">
        <f>AVERAGE(F24:Q24)</f>
        <v>129.78666666666666</v>
      </c>
    </row>
    <row r="25" spans="1:18" s="1" customFormat="1" ht="13.5" thickBot="1">
      <c r="A25" s="33"/>
      <c r="B25" s="24" t="s">
        <v>27</v>
      </c>
      <c r="C25" s="24"/>
      <c r="D25" s="25"/>
      <c r="E25" s="36" t="s">
        <v>82</v>
      </c>
      <c r="F25" s="96">
        <f aca="true" t="shared" si="2" ref="F25:R25">SUM(F22:F24)</f>
        <v>150.45</v>
      </c>
      <c r="G25" s="96">
        <f t="shared" si="2"/>
        <v>134.07999999999998</v>
      </c>
      <c r="H25" s="96">
        <f t="shared" si="2"/>
        <v>166.39000000000001</v>
      </c>
      <c r="I25" s="96">
        <f t="shared" si="2"/>
        <v>0</v>
      </c>
      <c r="J25" s="96">
        <f t="shared" si="2"/>
        <v>0</v>
      </c>
      <c r="K25" s="96">
        <f t="shared" si="2"/>
        <v>0</v>
      </c>
      <c r="L25" s="96">
        <f t="shared" si="2"/>
        <v>0</v>
      </c>
      <c r="M25" s="96">
        <f t="shared" si="2"/>
        <v>0</v>
      </c>
      <c r="N25" s="96">
        <f t="shared" si="2"/>
        <v>0</v>
      </c>
      <c r="O25" s="96">
        <f t="shared" si="2"/>
        <v>0</v>
      </c>
      <c r="P25" s="96">
        <f t="shared" si="2"/>
        <v>0</v>
      </c>
      <c r="Q25" s="96">
        <f t="shared" si="2"/>
        <v>0</v>
      </c>
      <c r="R25" s="97">
        <f t="shared" si="2"/>
        <v>150.30666666666667</v>
      </c>
    </row>
    <row r="26" spans="1:19" ht="14.25" thickBot="1" thickTop="1">
      <c r="A26" s="40" t="s">
        <v>28</v>
      </c>
      <c r="B26" s="41"/>
      <c r="C26" s="41"/>
      <c r="D26" s="14"/>
      <c r="E26" s="93" t="s">
        <v>82</v>
      </c>
      <c r="F26" s="94">
        <f aca="true" t="shared" si="3" ref="F26:R26">+F25+F20</f>
        <v>3280.0599999999995</v>
      </c>
      <c r="G26" s="94">
        <f t="shared" si="3"/>
        <v>2653.89</v>
      </c>
      <c r="H26" s="94">
        <f t="shared" si="3"/>
        <v>3623.33</v>
      </c>
      <c r="I26" s="94">
        <f t="shared" si="3"/>
        <v>0</v>
      </c>
      <c r="J26" s="94">
        <f t="shared" si="3"/>
        <v>0</v>
      </c>
      <c r="K26" s="94">
        <f t="shared" si="3"/>
        <v>0</v>
      </c>
      <c r="L26" s="94">
        <f t="shared" si="3"/>
        <v>0</v>
      </c>
      <c r="M26" s="94">
        <f t="shared" si="3"/>
        <v>0</v>
      </c>
      <c r="N26" s="94">
        <f t="shared" si="3"/>
        <v>0</v>
      </c>
      <c r="O26" s="94">
        <f t="shared" si="3"/>
        <v>0</v>
      </c>
      <c r="P26" s="94">
        <f t="shared" si="3"/>
        <v>0</v>
      </c>
      <c r="Q26" s="205">
        <f t="shared" si="3"/>
        <v>0</v>
      </c>
      <c r="R26" s="95">
        <f t="shared" si="3"/>
        <v>3185.76</v>
      </c>
      <c r="S26" s="1"/>
    </row>
    <row r="27" spans="1:19" ht="14.25" thickBot="1" thickTop="1">
      <c r="A27" s="42"/>
      <c r="B27" s="2"/>
      <c r="C27" s="2"/>
      <c r="D27" s="2"/>
      <c r="E27" s="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1"/>
    </row>
    <row r="28" spans="1:18" ht="14.25" thickBot="1" thickTop="1">
      <c r="A28" s="45" t="s">
        <v>29</v>
      </c>
      <c r="B28" s="46"/>
      <c r="C28" s="46"/>
      <c r="D28" s="20"/>
      <c r="E28" s="88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spans="1:18" ht="13.5" thickTop="1">
      <c r="A29" s="49" t="s">
        <v>30</v>
      </c>
      <c r="B29" s="24"/>
      <c r="C29" s="24"/>
      <c r="D29" s="50"/>
      <c r="E29" s="24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186"/>
      <c r="R29" s="17"/>
    </row>
    <row r="30" spans="1:18" ht="12.75">
      <c r="A30" s="23"/>
      <c r="B30" s="121" t="s">
        <v>75</v>
      </c>
      <c r="C30" s="122"/>
      <c r="D30" s="123"/>
      <c r="E30" s="124">
        <v>22352</v>
      </c>
      <c r="F30" s="125">
        <v>23236</v>
      </c>
      <c r="G30" s="125">
        <v>23275</v>
      </c>
      <c r="H30" s="125">
        <v>23323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15">
        <f aca="true" t="shared" si="4" ref="R30:R43">AVERAGE(F30:Q30)</f>
        <v>23278</v>
      </c>
    </row>
    <row r="31" spans="1:18" ht="12.75">
      <c r="A31" s="23"/>
      <c r="B31" s="79"/>
      <c r="C31" s="76" t="s">
        <v>48</v>
      </c>
      <c r="D31" s="123"/>
      <c r="E31" s="6" t="s">
        <v>82</v>
      </c>
      <c r="F31" s="81">
        <v>164</v>
      </c>
      <c r="G31" s="81">
        <v>164</v>
      </c>
      <c r="H31" s="81">
        <v>164</v>
      </c>
      <c r="I31" s="81"/>
      <c r="J31" s="81"/>
      <c r="K31" s="81"/>
      <c r="L31" s="81"/>
      <c r="M31" s="81"/>
      <c r="N31" s="81"/>
      <c r="O31" s="81"/>
      <c r="P31" s="81"/>
      <c r="Q31" s="193"/>
      <c r="R31" s="78">
        <f t="shared" si="4"/>
        <v>164</v>
      </c>
    </row>
    <row r="32" spans="1:18" ht="12.75">
      <c r="A32" s="23"/>
      <c r="B32" s="79"/>
      <c r="C32" s="76" t="s">
        <v>49</v>
      </c>
      <c r="D32" s="123"/>
      <c r="E32" s="6" t="s">
        <v>82</v>
      </c>
      <c r="F32" s="81">
        <v>0</v>
      </c>
      <c r="G32" s="81">
        <v>0</v>
      </c>
      <c r="H32" s="81">
        <v>0</v>
      </c>
      <c r="I32" s="81"/>
      <c r="J32" s="81"/>
      <c r="K32" s="81"/>
      <c r="L32" s="81"/>
      <c r="M32" s="81"/>
      <c r="N32" s="81"/>
      <c r="O32" s="81"/>
      <c r="P32" s="81"/>
      <c r="Q32" s="191"/>
      <c r="R32" s="78">
        <f t="shared" si="4"/>
        <v>0</v>
      </c>
    </row>
    <row r="33" spans="1:18" ht="12.75">
      <c r="A33" s="23"/>
      <c r="B33" s="79"/>
      <c r="C33" s="76" t="s">
        <v>50</v>
      </c>
      <c r="D33" s="123"/>
      <c r="E33" s="6" t="s">
        <v>82</v>
      </c>
      <c r="F33" s="81">
        <v>738</v>
      </c>
      <c r="G33" s="81">
        <v>739</v>
      </c>
      <c r="H33" s="81">
        <v>739</v>
      </c>
      <c r="I33" s="81"/>
      <c r="J33" s="81"/>
      <c r="K33" s="81"/>
      <c r="L33" s="81"/>
      <c r="M33" s="81"/>
      <c r="N33" s="81"/>
      <c r="O33" s="81"/>
      <c r="P33" s="81"/>
      <c r="Q33" s="81"/>
      <c r="R33" s="78">
        <f t="shared" si="4"/>
        <v>738.6666666666666</v>
      </c>
    </row>
    <row r="34" spans="1:18" ht="12.75">
      <c r="A34" s="23"/>
      <c r="B34" s="79"/>
      <c r="C34" s="76" t="s">
        <v>51</v>
      </c>
      <c r="D34" s="123"/>
      <c r="E34" s="6" t="s">
        <v>82</v>
      </c>
      <c r="F34" s="81">
        <v>8397</v>
      </c>
      <c r="G34" s="81">
        <v>8403</v>
      </c>
      <c r="H34" s="81">
        <v>8451</v>
      </c>
      <c r="I34" s="81"/>
      <c r="J34" s="81"/>
      <c r="K34" s="81"/>
      <c r="L34" s="81"/>
      <c r="M34" s="81"/>
      <c r="N34" s="81"/>
      <c r="O34" s="81"/>
      <c r="P34" s="81"/>
      <c r="Q34" s="81"/>
      <c r="R34" s="78">
        <f t="shared" si="4"/>
        <v>8417</v>
      </c>
    </row>
    <row r="35" spans="1:18" ht="12.75">
      <c r="A35" s="23"/>
      <c r="B35" s="79"/>
      <c r="C35" s="76" t="s">
        <v>52</v>
      </c>
      <c r="D35" s="123"/>
      <c r="E35" s="6" t="s">
        <v>82</v>
      </c>
      <c r="F35" s="81">
        <v>1361</v>
      </c>
      <c r="G35" s="81">
        <v>1375</v>
      </c>
      <c r="H35" s="81">
        <v>1375</v>
      </c>
      <c r="I35" s="81"/>
      <c r="J35" s="81"/>
      <c r="K35" s="81"/>
      <c r="L35" s="81"/>
      <c r="M35" s="81"/>
      <c r="N35" s="81"/>
      <c r="O35" s="81"/>
      <c r="P35" s="81"/>
      <c r="Q35" s="81"/>
      <c r="R35" s="78">
        <f t="shared" si="4"/>
        <v>1370.3333333333333</v>
      </c>
    </row>
    <row r="36" spans="1:18" ht="12.75">
      <c r="A36" s="23"/>
      <c r="B36" s="79"/>
      <c r="C36" s="76" t="s">
        <v>53</v>
      </c>
      <c r="D36" s="123"/>
      <c r="E36" s="6" t="s">
        <v>82</v>
      </c>
      <c r="F36" s="81">
        <v>79</v>
      </c>
      <c r="G36" s="81">
        <v>79</v>
      </c>
      <c r="H36" s="81">
        <v>79</v>
      </c>
      <c r="I36" s="81"/>
      <c r="J36" s="81"/>
      <c r="K36" s="81"/>
      <c r="L36" s="81"/>
      <c r="M36" s="81"/>
      <c r="N36" s="81"/>
      <c r="O36" s="81"/>
      <c r="P36" s="81"/>
      <c r="Q36" s="81"/>
      <c r="R36" s="78">
        <f t="shared" si="4"/>
        <v>79</v>
      </c>
    </row>
    <row r="37" spans="1:18" ht="12.75">
      <c r="A37" s="23"/>
      <c r="B37" s="79"/>
      <c r="C37" s="76" t="s">
        <v>54</v>
      </c>
      <c r="D37" s="123"/>
      <c r="E37" s="6" t="s">
        <v>82</v>
      </c>
      <c r="F37" s="81">
        <v>5</v>
      </c>
      <c r="G37" s="81">
        <v>5</v>
      </c>
      <c r="H37" s="81">
        <v>5</v>
      </c>
      <c r="I37" s="81"/>
      <c r="J37" s="81"/>
      <c r="K37" s="81"/>
      <c r="L37" s="81"/>
      <c r="M37" s="81"/>
      <c r="N37" s="81"/>
      <c r="O37" s="81"/>
      <c r="P37" s="81"/>
      <c r="Q37" s="81"/>
      <c r="R37" s="78">
        <f t="shared" si="4"/>
        <v>5</v>
      </c>
    </row>
    <row r="38" spans="1:18" ht="12.75">
      <c r="A38" s="23"/>
      <c r="B38" s="79"/>
      <c r="C38" s="76" t="s">
        <v>55</v>
      </c>
      <c r="D38" s="123"/>
      <c r="E38" s="6" t="s">
        <v>82</v>
      </c>
      <c r="F38" s="81">
        <v>1</v>
      </c>
      <c r="G38" s="81">
        <v>1</v>
      </c>
      <c r="H38" s="81">
        <v>1</v>
      </c>
      <c r="I38" s="81"/>
      <c r="J38" s="81"/>
      <c r="K38" s="81"/>
      <c r="L38" s="81"/>
      <c r="M38" s="81"/>
      <c r="N38" s="81"/>
      <c r="O38" s="81"/>
      <c r="P38" s="81"/>
      <c r="Q38" s="81"/>
      <c r="R38" s="78">
        <f t="shared" si="4"/>
        <v>1</v>
      </c>
    </row>
    <row r="39" spans="1:18" ht="12.75">
      <c r="A39" s="23"/>
      <c r="B39" s="79"/>
      <c r="C39" s="76" t="s">
        <v>56</v>
      </c>
      <c r="D39" s="123"/>
      <c r="E39" s="6" t="s">
        <v>82</v>
      </c>
      <c r="F39" s="81">
        <v>2642</v>
      </c>
      <c r="G39" s="81">
        <v>2655</v>
      </c>
      <c r="H39" s="81">
        <v>2655</v>
      </c>
      <c r="I39" s="81"/>
      <c r="J39" s="81"/>
      <c r="K39" s="81"/>
      <c r="L39" s="81"/>
      <c r="M39" s="81"/>
      <c r="N39" s="81"/>
      <c r="O39" s="81"/>
      <c r="P39" s="81"/>
      <c r="Q39" s="81"/>
      <c r="R39" s="78">
        <f t="shared" si="4"/>
        <v>2650.6666666666665</v>
      </c>
    </row>
    <row r="40" spans="1:18" ht="12.75">
      <c r="A40" s="23"/>
      <c r="B40" s="79"/>
      <c r="C40" s="76" t="s">
        <v>57</v>
      </c>
      <c r="D40" s="123"/>
      <c r="E40" s="6" t="s">
        <v>82</v>
      </c>
      <c r="F40" s="81">
        <v>6579</v>
      </c>
      <c r="G40" s="81">
        <v>6583</v>
      </c>
      <c r="H40" s="81">
        <v>6583</v>
      </c>
      <c r="I40" s="81"/>
      <c r="J40" s="81"/>
      <c r="K40" s="81"/>
      <c r="L40" s="81"/>
      <c r="M40" s="81"/>
      <c r="N40" s="81"/>
      <c r="O40" s="81"/>
      <c r="P40" s="81"/>
      <c r="Q40" s="81"/>
      <c r="R40" s="78">
        <f t="shared" si="4"/>
        <v>6581.666666666667</v>
      </c>
    </row>
    <row r="41" spans="1:18" ht="12.75">
      <c r="A41" s="23"/>
      <c r="B41" s="79"/>
      <c r="C41" s="76" t="s">
        <v>58</v>
      </c>
      <c r="D41" s="123"/>
      <c r="E41" s="6" t="s">
        <v>82</v>
      </c>
      <c r="F41" s="81">
        <v>3270</v>
      </c>
      <c r="G41" s="81">
        <v>3271</v>
      </c>
      <c r="H41" s="81">
        <v>3271</v>
      </c>
      <c r="I41" s="81"/>
      <c r="J41" s="81"/>
      <c r="K41" s="81"/>
      <c r="L41" s="81"/>
      <c r="M41" s="81"/>
      <c r="N41" s="81"/>
      <c r="O41" s="81"/>
      <c r="P41" s="81"/>
      <c r="Q41" s="81"/>
      <c r="R41" s="78">
        <f t="shared" si="4"/>
        <v>3270.6666666666665</v>
      </c>
    </row>
    <row r="42" spans="1:18" ht="12.75">
      <c r="A42" s="28"/>
      <c r="B42" s="2" t="s">
        <v>76</v>
      </c>
      <c r="C42" s="2"/>
      <c r="D42" s="29"/>
      <c r="E42" s="6" t="s">
        <v>82</v>
      </c>
      <c r="F42" s="53">
        <v>0.7123</v>
      </c>
      <c r="G42" s="53">
        <v>0.5461</v>
      </c>
      <c r="H42" s="187">
        <v>0.6223</v>
      </c>
      <c r="I42" s="187"/>
      <c r="J42" s="187"/>
      <c r="K42" s="187"/>
      <c r="L42" s="187"/>
      <c r="M42" s="187"/>
      <c r="N42" s="187"/>
      <c r="O42" s="187"/>
      <c r="P42" s="187"/>
      <c r="Q42" s="229"/>
      <c r="R42" s="206">
        <f t="shared" si="4"/>
        <v>0.6269</v>
      </c>
    </row>
    <row r="43" spans="1:18" ht="12.75">
      <c r="A43" s="28"/>
      <c r="B43" s="2" t="s">
        <v>77</v>
      </c>
      <c r="C43" s="2"/>
      <c r="D43" s="29"/>
      <c r="E43" s="90">
        <f>68.9/4.33333/0.75</f>
        <v>21.200016307704853</v>
      </c>
      <c r="F43" s="74">
        <f>+F7*2000/(F30*4.3333*F42)</f>
        <v>30.826070923763073</v>
      </c>
      <c r="G43" s="74">
        <f>+G7*2000/(G30*4.3333*G42)</f>
        <v>29.10510394022978</v>
      </c>
      <c r="H43" s="74">
        <f>+H7*2000/(H30*4.3333*H42)</f>
        <v>28.71475775622106</v>
      </c>
      <c r="I43" s="74"/>
      <c r="J43" s="74"/>
      <c r="K43" s="74"/>
      <c r="L43" s="74"/>
      <c r="M43" s="74"/>
      <c r="N43" s="74"/>
      <c r="O43" s="74"/>
      <c r="P43" s="74"/>
      <c r="Q43" s="116"/>
      <c r="R43" s="31">
        <f t="shared" si="4"/>
        <v>29.548644206737972</v>
      </c>
    </row>
    <row r="44" spans="1:18" ht="12.75">
      <c r="A44" s="23" t="s">
        <v>31</v>
      </c>
      <c r="B44" s="24"/>
      <c r="C44" s="24"/>
      <c r="D44" s="25"/>
      <c r="E44" s="24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196"/>
      <c r="R44" s="55"/>
    </row>
    <row r="45" spans="1:18" ht="12.75">
      <c r="A45" s="23"/>
      <c r="B45" s="126" t="s">
        <v>75</v>
      </c>
      <c r="C45" s="24"/>
      <c r="D45" s="25"/>
      <c r="E45" s="6" t="s">
        <v>82</v>
      </c>
      <c r="F45" s="131">
        <v>8931</v>
      </c>
      <c r="G45" s="131">
        <v>8931</v>
      </c>
      <c r="H45" s="130">
        <v>8931</v>
      </c>
      <c r="I45" s="81"/>
      <c r="J45" s="81"/>
      <c r="K45" s="81"/>
      <c r="L45" s="81"/>
      <c r="M45" s="81"/>
      <c r="N45" s="81"/>
      <c r="O45" s="81"/>
      <c r="P45" s="130"/>
      <c r="Q45" s="197"/>
      <c r="R45" s="78">
        <f>AVERAGE(F45:Q45)</f>
        <v>8931</v>
      </c>
    </row>
    <row r="46" spans="1:18" ht="12.75">
      <c r="A46" s="28"/>
      <c r="B46" s="2" t="s">
        <v>78</v>
      </c>
      <c r="C46" s="2"/>
      <c r="D46" s="29"/>
      <c r="E46" s="6" t="s">
        <v>82</v>
      </c>
      <c r="F46" s="53">
        <v>0.5564</v>
      </c>
      <c r="G46" s="53">
        <v>0.3845</v>
      </c>
      <c r="H46" s="187">
        <v>0.6286</v>
      </c>
      <c r="I46" s="74"/>
      <c r="J46" s="74"/>
      <c r="K46" s="74"/>
      <c r="L46" s="187"/>
      <c r="M46" s="187"/>
      <c r="N46" s="187"/>
      <c r="O46" s="187"/>
      <c r="P46" s="187"/>
      <c r="Q46" s="229"/>
      <c r="R46" s="206">
        <f>AVERAGE(F46:Q46)</f>
        <v>0.5231666666666667</v>
      </c>
    </row>
    <row r="47" spans="1:18" ht="12.75">
      <c r="A47" s="28"/>
      <c r="B47" s="2" t="s">
        <v>77</v>
      </c>
      <c r="C47" s="2"/>
      <c r="D47" s="29"/>
      <c r="E47" s="127" t="s">
        <v>82</v>
      </c>
      <c r="F47" s="128">
        <f>+F18*2000/(F45*4.333333*F46)</f>
        <v>27.01498436842944</v>
      </c>
      <c r="G47" s="128">
        <f>+G18*2000/(G45*4.333333*G46)</f>
        <v>47.72006372641259</v>
      </c>
      <c r="H47" s="128">
        <f>+H18*2000/(H45*4.333333*H46)</f>
        <v>81.044263378345</v>
      </c>
      <c r="I47" s="128"/>
      <c r="J47" s="128"/>
      <c r="K47" s="128"/>
      <c r="L47" s="128"/>
      <c r="M47" s="128"/>
      <c r="N47" s="128"/>
      <c r="O47" s="128"/>
      <c r="P47" s="128"/>
      <c r="Q47" s="129"/>
      <c r="R47" s="31">
        <f>AVERAGE(F47:Q47)</f>
        <v>51.926437157729005</v>
      </c>
    </row>
    <row r="48" spans="1:18" ht="12.75">
      <c r="A48" s="23" t="s">
        <v>87</v>
      </c>
      <c r="B48" s="24"/>
      <c r="C48" s="24"/>
      <c r="D48" s="25"/>
      <c r="E48" s="24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2"/>
      <c r="Q48" s="196"/>
      <c r="R48" s="55"/>
    </row>
    <row r="49" spans="1:18" ht="12.75">
      <c r="A49" s="23"/>
      <c r="B49" s="121" t="s">
        <v>75</v>
      </c>
      <c r="C49" s="122"/>
      <c r="D49" s="123"/>
      <c r="E49" s="163" t="s">
        <v>82</v>
      </c>
      <c r="F49" s="125">
        <v>59</v>
      </c>
      <c r="G49" s="125">
        <v>59</v>
      </c>
      <c r="H49" s="125">
        <v>59</v>
      </c>
      <c r="I49" s="125"/>
      <c r="J49" s="125"/>
      <c r="K49" s="125"/>
      <c r="L49" s="125"/>
      <c r="M49" s="125"/>
      <c r="N49" s="125"/>
      <c r="O49" s="125"/>
      <c r="P49" s="125"/>
      <c r="Q49" s="158"/>
      <c r="R49" s="115">
        <f>SUM(F49:P49)/3</f>
        <v>59</v>
      </c>
    </row>
    <row r="50" spans="1:18" ht="12.75">
      <c r="A50" s="23"/>
      <c r="B50" s="79"/>
      <c r="C50" s="76" t="s">
        <v>59</v>
      </c>
      <c r="D50" s="80"/>
      <c r="E50" s="6" t="s">
        <v>82</v>
      </c>
      <c r="F50" s="81">
        <v>4</v>
      </c>
      <c r="G50" s="81">
        <v>4</v>
      </c>
      <c r="H50" s="81">
        <v>4</v>
      </c>
      <c r="I50" s="81"/>
      <c r="J50" s="81"/>
      <c r="K50" s="81"/>
      <c r="L50" s="81"/>
      <c r="M50" s="81"/>
      <c r="N50" s="81"/>
      <c r="O50" s="81"/>
      <c r="P50" s="81"/>
      <c r="Q50" s="193"/>
      <c r="R50" s="78">
        <f aca="true" t="shared" si="5" ref="R50:R57">SUM(F50:P50)/3</f>
        <v>4</v>
      </c>
    </row>
    <row r="51" spans="1:18" ht="12.75">
      <c r="A51" s="23"/>
      <c r="B51" s="79"/>
      <c r="C51" s="76" t="s">
        <v>61</v>
      </c>
      <c r="D51" s="80"/>
      <c r="E51" s="6" t="s">
        <v>82</v>
      </c>
      <c r="F51" s="81">
        <v>2</v>
      </c>
      <c r="G51" s="81">
        <v>2</v>
      </c>
      <c r="H51" s="81">
        <v>2</v>
      </c>
      <c r="I51" s="81"/>
      <c r="J51" s="81"/>
      <c r="K51" s="81"/>
      <c r="L51" s="81"/>
      <c r="M51" s="81"/>
      <c r="N51" s="81"/>
      <c r="O51" s="81"/>
      <c r="P51" s="81"/>
      <c r="Q51" s="194"/>
      <c r="R51" s="78">
        <f t="shared" si="5"/>
        <v>2</v>
      </c>
    </row>
    <row r="52" spans="1:18" ht="12.75">
      <c r="A52" s="23"/>
      <c r="B52" s="79"/>
      <c r="C52" s="76" t="s">
        <v>64</v>
      </c>
      <c r="D52" s="80"/>
      <c r="E52" s="6" t="s">
        <v>82</v>
      </c>
      <c r="F52" s="81">
        <v>5</v>
      </c>
      <c r="G52" s="81">
        <v>5</v>
      </c>
      <c r="H52" s="81">
        <v>5</v>
      </c>
      <c r="I52" s="81"/>
      <c r="J52" s="81"/>
      <c r="K52" s="81"/>
      <c r="L52" s="81"/>
      <c r="M52" s="81"/>
      <c r="N52" s="81"/>
      <c r="O52" s="81"/>
      <c r="P52" s="81"/>
      <c r="Q52" s="194"/>
      <c r="R52" s="78">
        <f t="shared" si="5"/>
        <v>5</v>
      </c>
    </row>
    <row r="53" spans="1:18" ht="12.75">
      <c r="A53" s="23"/>
      <c r="B53" s="79"/>
      <c r="C53" s="76" t="s">
        <v>65</v>
      </c>
      <c r="D53" s="80"/>
      <c r="E53" s="6" t="s">
        <v>82</v>
      </c>
      <c r="F53" s="81">
        <v>11</v>
      </c>
      <c r="G53" s="81">
        <v>11</v>
      </c>
      <c r="H53" s="81">
        <v>11</v>
      </c>
      <c r="I53" s="81"/>
      <c r="J53" s="81"/>
      <c r="K53" s="81"/>
      <c r="L53" s="81"/>
      <c r="M53" s="81"/>
      <c r="N53" s="81"/>
      <c r="O53" s="81"/>
      <c r="P53" s="81"/>
      <c r="Q53" s="194"/>
      <c r="R53" s="78">
        <f t="shared" si="5"/>
        <v>11</v>
      </c>
    </row>
    <row r="54" spans="1:18" ht="12.75">
      <c r="A54" s="23"/>
      <c r="B54" s="79"/>
      <c r="C54" s="76" t="s">
        <v>66</v>
      </c>
      <c r="D54" s="80"/>
      <c r="E54" s="6" t="s">
        <v>82</v>
      </c>
      <c r="F54" s="81">
        <v>8</v>
      </c>
      <c r="G54" s="81">
        <v>8</v>
      </c>
      <c r="H54" s="81">
        <v>8</v>
      </c>
      <c r="I54" s="81"/>
      <c r="J54" s="81"/>
      <c r="K54" s="81"/>
      <c r="L54" s="81"/>
      <c r="M54" s="81"/>
      <c r="N54" s="81"/>
      <c r="O54" s="81"/>
      <c r="P54" s="81"/>
      <c r="Q54" s="194"/>
      <c r="R54" s="78">
        <f t="shared" si="5"/>
        <v>8</v>
      </c>
    </row>
    <row r="55" spans="1:18" ht="12.75">
      <c r="A55" s="23"/>
      <c r="B55" s="79"/>
      <c r="C55" s="76" t="s">
        <v>67</v>
      </c>
      <c r="D55" s="80"/>
      <c r="E55" s="6" t="s">
        <v>82</v>
      </c>
      <c r="F55" s="81">
        <v>15</v>
      </c>
      <c r="G55" s="81">
        <v>15</v>
      </c>
      <c r="H55" s="81">
        <v>15</v>
      </c>
      <c r="I55" s="81"/>
      <c r="J55" s="81"/>
      <c r="K55" s="81"/>
      <c r="L55" s="81"/>
      <c r="M55" s="81"/>
      <c r="N55" s="81"/>
      <c r="O55" s="81"/>
      <c r="P55" s="81"/>
      <c r="Q55" s="194"/>
      <c r="R55" s="78">
        <f t="shared" si="5"/>
        <v>15</v>
      </c>
    </row>
    <row r="56" spans="1:18" ht="12.75">
      <c r="A56" s="23"/>
      <c r="B56" s="79"/>
      <c r="C56" s="76" t="s">
        <v>68</v>
      </c>
      <c r="D56" s="80"/>
      <c r="E56" s="6" t="s">
        <v>82</v>
      </c>
      <c r="F56" s="81">
        <v>13</v>
      </c>
      <c r="G56" s="81">
        <v>13</v>
      </c>
      <c r="H56" s="81">
        <v>13</v>
      </c>
      <c r="I56" s="81"/>
      <c r="J56" s="81"/>
      <c r="K56" s="81"/>
      <c r="L56" s="81"/>
      <c r="M56" s="81"/>
      <c r="N56" s="81"/>
      <c r="O56" s="81"/>
      <c r="P56" s="81"/>
      <c r="Q56" s="194"/>
      <c r="R56" s="78">
        <f t="shared" si="5"/>
        <v>13</v>
      </c>
    </row>
    <row r="57" spans="1:18" ht="13.5" thickBot="1">
      <c r="A57" s="23"/>
      <c r="B57" s="135"/>
      <c r="C57" s="136" t="s">
        <v>95</v>
      </c>
      <c r="D57" s="132"/>
      <c r="E57" s="137" t="s">
        <v>82</v>
      </c>
      <c r="F57" s="81">
        <v>1</v>
      </c>
      <c r="G57" s="81">
        <v>1</v>
      </c>
      <c r="H57" s="81">
        <v>1</v>
      </c>
      <c r="I57" s="81"/>
      <c r="J57" s="81"/>
      <c r="K57" s="81"/>
      <c r="L57" s="81"/>
      <c r="M57" s="81"/>
      <c r="N57" s="81"/>
      <c r="O57" s="81"/>
      <c r="P57" s="81"/>
      <c r="Q57" s="133"/>
      <c r="R57" s="78">
        <f t="shared" si="5"/>
        <v>1</v>
      </c>
    </row>
    <row r="58" spans="1:18" ht="14.25" thickBot="1" thickTop="1">
      <c r="A58" s="42"/>
      <c r="B58" s="2"/>
      <c r="C58" s="2"/>
      <c r="D58" s="2"/>
      <c r="E58" s="2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spans="1:18" ht="14.25" thickBot="1" thickTop="1">
      <c r="A59" s="45" t="s">
        <v>32</v>
      </c>
      <c r="B59" s="46"/>
      <c r="C59" s="46"/>
      <c r="D59" s="20"/>
      <c r="E59" s="88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</row>
    <row r="60" spans="1:18" ht="13.5" thickTop="1">
      <c r="A60" s="23" t="s">
        <v>33</v>
      </c>
      <c r="B60" s="24"/>
      <c r="C60" s="24"/>
      <c r="D60" s="56"/>
      <c r="E60" s="2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2"/>
      <c r="Q60" s="186"/>
      <c r="R60" s="17"/>
    </row>
    <row r="61" spans="1:18" ht="12.75">
      <c r="A61" s="28"/>
      <c r="B61" s="2" t="s">
        <v>34</v>
      </c>
      <c r="C61" s="2"/>
      <c r="D61" s="29"/>
      <c r="E61" s="106" t="s">
        <v>82</v>
      </c>
      <c r="F61" s="53">
        <f>+F7/F20</f>
        <v>0.35321653496761585</v>
      </c>
      <c r="G61" s="53">
        <f>+G7/G20</f>
        <v>0.31809144340247875</v>
      </c>
      <c r="H61" s="53">
        <f>+H7/H20</f>
        <v>0.261207889057953</v>
      </c>
      <c r="I61" s="53"/>
      <c r="J61" s="53"/>
      <c r="K61" s="53"/>
      <c r="L61" s="53"/>
      <c r="M61" s="53"/>
      <c r="N61" s="53"/>
      <c r="O61" s="53"/>
      <c r="P61" s="54"/>
      <c r="Q61" s="195"/>
      <c r="R61" s="221">
        <f>+R7/R20</f>
        <v>0.308568956202039</v>
      </c>
    </row>
    <row r="62" spans="1:18" ht="12.75">
      <c r="A62" s="28"/>
      <c r="B62" s="2" t="s">
        <v>35</v>
      </c>
      <c r="C62" s="2"/>
      <c r="D62" s="29"/>
      <c r="E62" s="107" t="s">
        <v>82</v>
      </c>
      <c r="F62" s="57">
        <f>+F18/F20</f>
        <v>0.09293809771824606</v>
      </c>
      <c r="G62" s="57">
        <f>+G18/G20</f>
        <v>0.1409034808179982</v>
      </c>
      <c r="H62" s="57">
        <f>+H18/H20</f>
        <v>0.2851654931818313</v>
      </c>
      <c r="I62" s="57"/>
      <c r="J62" s="57"/>
      <c r="K62" s="57"/>
      <c r="L62" s="57"/>
      <c r="M62" s="57"/>
      <c r="N62" s="57"/>
      <c r="O62" s="57"/>
      <c r="P62" s="54"/>
      <c r="Q62" s="211"/>
      <c r="R62" s="222">
        <f>+R18/R20</f>
        <v>0.17918355962206634</v>
      </c>
    </row>
    <row r="63" spans="1:18" s="1" customFormat="1" ht="13.5" thickBot="1">
      <c r="A63" s="33"/>
      <c r="B63" s="126" t="s">
        <v>36</v>
      </c>
      <c r="C63" s="126"/>
      <c r="D63" s="208"/>
      <c r="E63" s="6" t="s">
        <v>82</v>
      </c>
      <c r="F63" s="209">
        <f aca="true" t="shared" si="6" ref="F63:R63">+F62+F61</f>
        <v>0.4461546326858619</v>
      </c>
      <c r="G63" s="207">
        <f t="shared" si="6"/>
        <v>0.45899492422047694</v>
      </c>
      <c r="H63" s="207">
        <f t="shared" si="6"/>
        <v>0.5463733822397843</v>
      </c>
      <c r="I63" s="207">
        <f aca="true" t="shared" si="7" ref="I63:O63">+I62+I61</f>
        <v>0</v>
      </c>
      <c r="J63" s="207">
        <f t="shared" si="7"/>
        <v>0</v>
      </c>
      <c r="K63" s="207">
        <f t="shared" si="7"/>
        <v>0</v>
      </c>
      <c r="L63" s="207">
        <f t="shared" si="7"/>
        <v>0</v>
      </c>
      <c r="M63" s="207">
        <f t="shared" si="7"/>
        <v>0</v>
      </c>
      <c r="N63" s="207">
        <f t="shared" si="7"/>
        <v>0</v>
      </c>
      <c r="O63" s="207">
        <f t="shared" si="7"/>
        <v>0</v>
      </c>
      <c r="P63" s="207">
        <f t="shared" si="6"/>
        <v>0</v>
      </c>
      <c r="Q63" s="183">
        <f t="shared" si="6"/>
        <v>0</v>
      </c>
      <c r="R63" s="58">
        <f t="shared" si="6"/>
        <v>0.48775251582410534</v>
      </c>
    </row>
    <row r="64" spans="1:18" ht="13.5" thickTop="1">
      <c r="A64" s="49" t="s">
        <v>37</v>
      </c>
      <c r="B64" s="59"/>
      <c r="C64" s="59"/>
      <c r="D64" s="56"/>
      <c r="E64" s="16"/>
      <c r="F64" s="60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199"/>
      <c r="R64" s="62"/>
    </row>
    <row r="65" spans="1:18" ht="12.75">
      <c r="A65" s="28"/>
      <c r="B65" s="2" t="s">
        <v>38</v>
      </c>
      <c r="C65" s="2"/>
      <c r="D65" s="29"/>
      <c r="E65" s="108" t="s">
        <v>82</v>
      </c>
      <c r="F65" s="53">
        <f>+F22/F25</f>
        <v>0.13938185443668993</v>
      </c>
      <c r="G65" s="53">
        <f>+G22/G25</f>
        <v>0.13215990453460622</v>
      </c>
      <c r="H65" s="53">
        <f>+H22/H25</f>
        <v>0.13744816395216058</v>
      </c>
      <c r="I65" s="53"/>
      <c r="J65" s="53"/>
      <c r="K65" s="53"/>
      <c r="L65" s="53"/>
      <c r="M65" s="53"/>
      <c r="N65" s="53"/>
      <c r="O65" s="53"/>
      <c r="P65" s="53"/>
      <c r="Q65" s="195"/>
      <c r="R65" s="221">
        <f>+R22/R25</f>
        <v>0.13652089062361394</v>
      </c>
    </row>
    <row r="66" spans="1:18" ht="12.75">
      <c r="A66" s="28"/>
      <c r="B66" s="2" t="s">
        <v>39</v>
      </c>
      <c r="C66" s="2"/>
      <c r="D66" s="29"/>
      <c r="E66" s="91" t="s">
        <v>82</v>
      </c>
      <c r="F66" s="53">
        <f>+F23/F25</f>
        <v>0</v>
      </c>
      <c r="G66" s="57">
        <f>+G23/G25</f>
        <v>0</v>
      </c>
      <c r="H66" s="57">
        <f>+H23/H25</f>
        <v>0</v>
      </c>
      <c r="I66" s="57"/>
      <c r="J66" s="57"/>
      <c r="K66" s="57"/>
      <c r="L66" s="57"/>
      <c r="M66" s="57"/>
      <c r="N66" s="57"/>
      <c r="O66" s="57"/>
      <c r="P66" s="57"/>
      <c r="Q66" s="195"/>
      <c r="R66" s="221">
        <f>+R23/R25</f>
        <v>0</v>
      </c>
    </row>
    <row r="67" spans="1:18" s="1" customFormat="1" ht="13.5" thickBot="1">
      <c r="A67" s="33"/>
      <c r="B67" s="126" t="s">
        <v>40</v>
      </c>
      <c r="C67" s="126"/>
      <c r="D67" s="208"/>
      <c r="E67" s="92" t="s">
        <v>82</v>
      </c>
      <c r="F67" s="209">
        <f aca="true" t="shared" si="8" ref="F67:R67">+F66+F65</f>
        <v>0.13938185443668993</v>
      </c>
      <c r="G67" s="209">
        <f t="shared" si="8"/>
        <v>0.13215990453460622</v>
      </c>
      <c r="H67" s="209">
        <f t="shared" si="8"/>
        <v>0.13744816395216058</v>
      </c>
      <c r="I67" s="209">
        <f t="shared" si="8"/>
        <v>0</v>
      </c>
      <c r="J67" s="209">
        <f t="shared" si="8"/>
        <v>0</v>
      </c>
      <c r="K67" s="209">
        <f t="shared" si="8"/>
        <v>0</v>
      </c>
      <c r="L67" s="209">
        <f t="shared" si="8"/>
        <v>0</v>
      </c>
      <c r="M67" s="209">
        <f t="shared" si="8"/>
        <v>0</v>
      </c>
      <c r="N67" s="209">
        <f t="shared" si="8"/>
        <v>0</v>
      </c>
      <c r="O67" s="209">
        <f t="shared" si="8"/>
        <v>0</v>
      </c>
      <c r="P67" s="209">
        <f t="shared" si="8"/>
        <v>0</v>
      </c>
      <c r="Q67" s="183">
        <f t="shared" si="8"/>
        <v>0</v>
      </c>
      <c r="R67" s="223">
        <f t="shared" si="8"/>
        <v>0.13652089062361394</v>
      </c>
    </row>
    <row r="68" spans="1:18" ht="14.25" thickBot="1" thickTop="1">
      <c r="A68" s="63" t="s">
        <v>84</v>
      </c>
      <c r="B68" s="64"/>
      <c r="C68" s="64"/>
      <c r="D68" s="65"/>
      <c r="E68" s="105" t="s">
        <v>82</v>
      </c>
      <c r="F68" s="101">
        <f>+(F7+F18+F22+F23)/(F20+F25)</f>
        <v>0.4320835594470834</v>
      </c>
      <c r="G68" s="102">
        <f>+(G7+G18+G22+G23)/(G20+G25)</f>
        <v>0.4424825444912939</v>
      </c>
      <c r="H68" s="102">
        <f>+(H7+H18+H22+H23)/(H20+H25)</f>
        <v>0.5275947815959352</v>
      </c>
      <c r="I68" s="101"/>
      <c r="J68" s="101"/>
      <c r="K68" s="101"/>
      <c r="L68" s="101"/>
      <c r="M68" s="101"/>
      <c r="N68" s="101"/>
      <c r="O68" s="101"/>
      <c r="P68" s="104"/>
      <c r="Q68" s="104"/>
      <c r="R68" s="100">
        <f>+(R7+R18+R22+R23)/(R20+R25)</f>
        <v>0.4711811310330972</v>
      </c>
    </row>
    <row r="69" spans="1:18" ht="14.25" thickBot="1" thickTop="1">
      <c r="A69" s="63" t="s">
        <v>85</v>
      </c>
      <c r="B69" s="64"/>
      <c r="C69" s="64"/>
      <c r="D69" s="65"/>
      <c r="E69" s="103">
        <f>+E7/E20</f>
        <v>0.3006020121593134</v>
      </c>
      <c r="F69" s="98">
        <f>+(F7+F18)/(F20-F18+F25-F23)</f>
        <v>0.46711160176635896</v>
      </c>
      <c r="G69" s="104">
        <f>+(G7+G18)/(G20-G18+G25-G23)</f>
        <v>0.5031146143272259</v>
      </c>
      <c r="H69" s="104">
        <f>+(H7+H18)/(H20-H18+H25-H23)</f>
        <v>0.7161169730770834</v>
      </c>
      <c r="I69" s="104"/>
      <c r="J69" s="104"/>
      <c r="K69" s="104"/>
      <c r="L69" s="104"/>
      <c r="M69" s="104"/>
      <c r="N69" s="104"/>
      <c r="O69" s="104"/>
      <c r="P69" s="104"/>
      <c r="Q69" s="104"/>
      <c r="R69" s="100">
        <f>+(R7+R18)/(R20-R18+R25-R23)</f>
        <v>0.5604202599939183</v>
      </c>
    </row>
    <row r="70" ht="13.5" thickTop="1"/>
    <row r="71" ht="12.75">
      <c r="A71" s="86"/>
    </row>
  </sheetData>
  <printOptions/>
  <pageMargins left="0.5" right="0.25" top="0.5" bottom="0.5" header="0.5" footer="0.5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workbookViewId="0" topLeftCell="A1">
      <selection activeCell="F8" sqref="F8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6" width="9.8515625" style="0" bestFit="1" customWidth="1"/>
    <col min="7" max="11" width="9.8515625" style="0" customWidth="1"/>
    <col min="12" max="12" width="9.8515625" style="0" bestFit="1" customWidth="1"/>
    <col min="13" max="13" width="11.00390625" style="0" bestFit="1" customWidth="1"/>
    <col min="14" max="17" width="11.00390625" style="0" customWidth="1"/>
    <col min="18" max="18" width="10.28125" style="4" bestFit="1" customWidth="1"/>
    <col min="20" max="20" width="25.28125" style="0" customWidth="1"/>
    <col min="21" max="21" width="12.28125" style="0" bestFit="1" customWidth="1"/>
    <col min="24" max="24" width="9.28125" style="0" bestFit="1" customWidth="1"/>
  </cols>
  <sheetData>
    <row r="1" ht="18.75">
      <c r="A1" s="166" t="s">
        <v>91</v>
      </c>
    </row>
    <row r="2" spans="1:8" ht="15">
      <c r="A2" s="10" t="s">
        <v>100</v>
      </c>
      <c r="B2" s="1"/>
      <c r="C2" s="1"/>
      <c r="D2" s="1"/>
      <c r="E2" s="1"/>
      <c r="H2" s="66"/>
    </row>
    <row r="3" spans="1:3" ht="13.5" thickBot="1">
      <c r="A3" s="11"/>
      <c r="C3" s="12"/>
    </row>
    <row r="4" spans="1:18" ht="14.25" thickBot="1" thickTop="1">
      <c r="A4" s="13"/>
      <c r="B4" s="13"/>
      <c r="C4" s="13"/>
      <c r="D4" s="14"/>
      <c r="E4" s="15" t="s">
        <v>80</v>
      </c>
      <c r="F4" s="15">
        <v>2004</v>
      </c>
      <c r="G4" s="15">
        <v>2004</v>
      </c>
      <c r="H4" s="15">
        <v>2004</v>
      </c>
      <c r="I4" s="15">
        <v>2004</v>
      </c>
      <c r="J4" s="15">
        <v>2004</v>
      </c>
      <c r="K4" s="15">
        <v>2004</v>
      </c>
      <c r="L4" s="15">
        <v>2004</v>
      </c>
      <c r="M4" s="15">
        <v>2004</v>
      </c>
      <c r="N4" s="15">
        <v>2004</v>
      </c>
      <c r="O4" s="15">
        <v>2004</v>
      </c>
      <c r="P4" s="15">
        <v>2004</v>
      </c>
      <c r="Q4" s="174">
        <v>2004</v>
      </c>
      <c r="R4" s="17" t="s">
        <v>86</v>
      </c>
    </row>
    <row r="5" spans="1:18" ht="14.25" thickBot="1" thickTop="1">
      <c r="A5" s="18" t="s">
        <v>15</v>
      </c>
      <c r="B5" s="19"/>
      <c r="C5" s="19"/>
      <c r="D5" s="20"/>
      <c r="E5" s="21" t="s">
        <v>81</v>
      </c>
      <c r="F5" s="21" t="s">
        <v>97</v>
      </c>
      <c r="G5" s="21" t="s">
        <v>98</v>
      </c>
      <c r="H5" s="21" t="s">
        <v>99</v>
      </c>
      <c r="I5" s="21" t="s">
        <v>71</v>
      </c>
      <c r="J5" s="21" t="s">
        <v>10</v>
      </c>
      <c r="K5" s="21" t="s">
        <v>11</v>
      </c>
      <c r="L5" s="21" t="s">
        <v>12</v>
      </c>
      <c r="M5" s="21" t="s">
        <v>16</v>
      </c>
      <c r="N5" s="21" t="s">
        <v>17</v>
      </c>
      <c r="O5" s="21" t="s">
        <v>72</v>
      </c>
      <c r="P5" s="21" t="s">
        <v>73</v>
      </c>
      <c r="Q5" s="175" t="s">
        <v>74</v>
      </c>
      <c r="R5" s="22" t="s">
        <v>18</v>
      </c>
    </row>
    <row r="6" spans="1:18" ht="13.5" thickTop="1">
      <c r="A6" s="23" t="s">
        <v>19</v>
      </c>
      <c r="B6" s="24"/>
      <c r="C6" s="24"/>
      <c r="D6" s="25"/>
      <c r="E6" s="24"/>
      <c r="F6" s="26"/>
      <c r="G6" s="26"/>
      <c r="H6" s="26"/>
      <c r="I6" s="26"/>
      <c r="J6" s="26"/>
      <c r="K6" s="26"/>
      <c r="L6" s="26"/>
      <c r="M6" s="27"/>
      <c r="N6" s="168"/>
      <c r="O6" s="168"/>
      <c r="P6" s="168"/>
      <c r="Q6" s="172"/>
      <c r="R6" s="17"/>
    </row>
    <row r="7" spans="1:18" ht="12.75">
      <c r="A7" s="28"/>
      <c r="B7" s="2" t="s">
        <v>79</v>
      </c>
      <c r="C7" s="2"/>
      <c r="D7" s="29"/>
      <c r="E7" s="112">
        <v>1023.152095484455</v>
      </c>
      <c r="F7" s="144">
        <v>1085.86</v>
      </c>
      <c r="G7" s="144">
        <v>882.97</v>
      </c>
      <c r="H7" s="144">
        <v>1038.82</v>
      </c>
      <c r="I7" s="144"/>
      <c r="J7" s="144"/>
      <c r="K7" s="144"/>
      <c r="L7" s="144"/>
      <c r="M7" s="213"/>
      <c r="N7" s="212"/>
      <c r="O7" s="212"/>
      <c r="P7" s="212"/>
      <c r="Q7" s="212"/>
      <c r="R7" s="32">
        <f>AVERAGE(F7:Q7)</f>
        <v>1002.5499999999998</v>
      </c>
    </row>
    <row r="8" spans="1:18" ht="12.75">
      <c r="A8" s="28"/>
      <c r="B8" s="2"/>
      <c r="C8" s="83" t="s">
        <v>5</v>
      </c>
      <c r="D8" s="29"/>
      <c r="E8" s="109">
        <v>499.5843729169858</v>
      </c>
      <c r="F8" s="84">
        <v>536.3193574316485</v>
      </c>
      <c r="G8" s="84">
        <v>411.52350083483884</v>
      </c>
      <c r="H8" s="84">
        <v>423.0713383960027</v>
      </c>
      <c r="I8" s="84"/>
      <c r="J8" s="84"/>
      <c r="K8" s="84"/>
      <c r="L8" s="84"/>
      <c r="M8" s="167"/>
      <c r="N8" s="167"/>
      <c r="O8" s="167"/>
      <c r="P8" s="167"/>
      <c r="Q8" s="167"/>
      <c r="R8" s="31">
        <f>AVERAGE(F8:Q8)</f>
        <v>456.9713988874967</v>
      </c>
    </row>
    <row r="9" spans="1:18" ht="12.75">
      <c r="A9" s="28"/>
      <c r="B9" s="2"/>
      <c r="C9" s="83" t="s">
        <v>2</v>
      </c>
      <c r="D9" s="29"/>
      <c r="E9" s="109">
        <v>204.03391980339362</v>
      </c>
      <c r="F9" s="84">
        <v>239.6184672409867</v>
      </c>
      <c r="G9" s="84">
        <v>212.45343725101515</v>
      </c>
      <c r="H9" s="84">
        <v>291.1327550122271</v>
      </c>
      <c r="I9" s="84"/>
      <c r="J9" s="84"/>
      <c r="K9" s="84"/>
      <c r="L9" s="84"/>
      <c r="M9" s="167"/>
      <c r="N9" s="167"/>
      <c r="O9" s="167"/>
      <c r="P9" s="167"/>
      <c r="Q9" s="111"/>
      <c r="R9" s="145">
        <f aca="true" t="shared" si="0" ref="R9:R19">AVERAGE(F9:Q9)</f>
        <v>247.73488650140965</v>
      </c>
    </row>
    <row r="10" spans="1:18" ht="12.75">
      <c r="A10" s="28"/>
      <c r="B10" s="2"/>
      <c r="C10" s="83" t="s">
        <v>0</v>
      </c>
      <c r="D10" s="29"/>
      <c r="E10" s="109">
        <v>13.195173042337338</v>
      </c>
      <c r="F10" s="84">
        <v>9.550717893960936</v>
      </c>
      <c r="G10" s="84">
        <v>8.005021644200392</v>
      </c>
      <c r="H10" s="84">
        <v>7.09594498872449</v>
      </c>
      <c r="I10" s="84"/>
      <c r="J10" s="84"/>
      <c r="K10" s="84"/>
      <c r="L10" s="84"/>
      <c r="M10" s="167"/>
      <c r="N10" s="167"/>
      <c r="O10" s="167"/>
      <c r="P10" s="167"/>
      <c r="Q10" s="111"/>
      <c r="R10" s="145">
        <f t="shared" si="0"/>
        <v>8.217228175628605</v>
      </c>
    </row>
    <row r="11" spans="1:18" ht="12.75">
      <c r="A11" s="28"/>
      <c r="B11" s="2"/>
      <c r="C11" s="83" t="s">
        <v>3</v>
      </c>
      <c r="D11" s="29"/>
      <c r="E11" s="109">
        <v>33.52885796351816</v>
      </c>
      <c r="F11" s="84">
        <v>19.937779559542772</v>
      </c>
      <c r="G11" s="84">
        <v>16.39531497352277</v>
      </c>
      <c r="H11" s="84">
        <v>14.177197623587798</v>
      </c>
      <c r="I11" s="84"/>
      <c r="J11" s="84"/>
      <c r="K11" s="84"/>
      <c r="L11" s="84"/>
      <c r="M11" s="167"/>
      <c r="N11" s="167"/>
      <c r="O11" s="167"/>
      <c r="P11" s="167"/>
      <c r="Q11" s="111"/>
      <c r="R11" s="145">
        <f t="shared" si="0"/>
        <v>16.836764052217777</v>
      </c>
    </row>
    <row r="12" spans="1:18" ht="12.75">
      <c r="A12" s="28"/>
      <c r="B12" s="2"/>
      <c r="C12" s="83" t="s">
        <v>1</v>
      </c>
      <c r="D12" s="29"/>
      <c r="E12" s="109">
        <v>254.61106653728575</v>
      </c>
      <c r="F12" s="84">
        <v>184.00218931558948</v>
      </c>
      <c r="G12" s="84">
        <v>151.14776328162017</v>
      </c>
      <c r="H12" s="84">
        <v>206.11706147294328</v>
      </c>
      <c r="I12" s="84"/>
      <c r="J12" s="84"/>
      <c r="K12" s="84"/>
      <c r="L12" s="84"/>
      <c r="M12" s="167"/>
      <c r="N12" s="167"/>
      <c r="O12" s="167"/>
      <c r="P12" s="167"/>
      <c r="Q12" s="111"/>
      <c r="R12" s="145">
        <f t="shared" si="0"/>
        <v>180.42233802338433</v>
      </c>
    </row>
    <row r="13" spans="1:18" ht="12.75">
      <c r="A13" s="28"/>
      <c r="B13" s="2"/>
      <c r="C13" s="83" t="s">
        <v>6</v>
      </c>
      <c r="D13" s="29"/>
      <c r="E13" s="109">
        <v>8.347711219831613</v>
      </c>
      <c r="F13" s="84">
        <v>10.461403334170354</v>
      </c>
      <c r="G13" s="84">
        <v>8.190509554224345</v>
      </c>
      <c r="H13" s="84">
        <v>9.994148918555773</v>
      </c>
      <c r="I13" s="84"/>
      <c r="J13" s="84"/>
      <c r="K13" s="84"/>
      <c r="L13" s="84"/>
      <c r="M13" s="167"/>
      <c r="N13" s="167"/>
      <c r="O13" s="167"/>
      <c r="P13" s="167"/>
      <c r="Q13" s="111"/>
      <c r="R13" s="145">
        <f t="shared" si="0"/>
        <v>9.54868726898349</v>
      </c>
    </row>
    <row r="14" spans="1:18" ht="12.75">
      <c r="A14" s="28"/>
      <c r="B14" s="2"/>
      <c r="C14" s="83" t="s">
        <v>101</v>
      </c>
      <c r="D14" s="29"/>
      <c r="E14" s="109">
        <v>9.850994001102478</v>
      </c>
      <c r="F14" s="84">
        <v>7.88240339004789</v>
      </c>
      <c r="G14" s="84">
        <v>8.112903429536521</v>
      </c>
      <c r="H14" s="84">
        <v>7.052039892344844</v>
      </c>
      <c r="I14" s="84"/>
      <c r="J14" s="84"/>
      <c r="K14" s="84"/>
      <c r="L14" s="84"/>
      <c r="M14" s="167"/>
      <c r="N14" s="167"/>
      <c r="O14" s="167"/>
      <c r="P14" s="167"/>
      <c r="Q14" s="111"/>
      <c r="R14" s="145">
        <f t="shared" si="0"/>
        <v>7.682448903976418</v>
      </c>
    </row>
    <row r="15" spans="1:18" ht="12.75">
      <c r="A15" s="28"/>
      <c r="B15" s="2"/>
      <c r="C15" s="83" t="s">
        <v>102</v>
      </c>
      <c r="D15" s="29"/>
      <c r="E15" s="110" t="s">
        <v>82</v>
      </c>
      <c r="F15" s="84">
        <v>6.150679815868159</v>
      </c>
      <c r="G15" s="84">
        <v>5.986904066377927</v>
      </c>
      <c r="H15" s="84">
        <v>6.840376482988899</v>
      </c>
      <c r="I15" s="84"/>
      <c r="J15" s="84"/>
      <c r="K15" s="84"/>
      <c r="L15" s="84"/>
      <c r="M15" s="167"/>
      <c r="N15" s="167"/>
      <c r="O15" s="167"/>
      <c r="P15" s="167"/>
      <c r="Q15" s="111"/>
      <c r="R15" s="145">
        <f t="shared" si="0"/>
        <v>6.325986788411662</v>
      </c>
    </row>
    <row r="16" spans="1:18" ht="12.75">
      <c r="A16" s="28"/>
      <c r="B16" s="2"/>
      <c r="C16" s="83" t="s">
        <v>103</v>
      </c>
      <c r="D16" s="29"/>
      <c r="E16" s="110" t="s">
        <v>82</v>
      </c>
      <c r="F16" s="84">
        <v>2.7570020181851205</v>
      </c>
      <c r="G16" s="84">
        <v>5.104644964663696</v>
      </c>
      <c r="H16" s="84">
        <v>2.90913721262522</v>
      </c>
      <c r="I16" s="84"/>
      <c r="J16" s="84"/>
      <c r="K16" s="84"/>
      <c r="L16" s="84"/>
      <c r="M16" s="167"/>
      <c r="N16" s="167"/>
      <c r="O16" s="167"/>
      <c r="P16" s="167"/>
      <c r="Q16" s="111"/>
      <c r="R16" s="145">
        <f t="shared" si="0"/>
        <v>3.590261398491345</v>
      </c>
    </row>
    <row r="17" spans="1:18" ht="12.75">
      <c r="A17" s="28"/>
      <c r="B17" s="2"/>
      <c r="C17" s="83" t="s">
        <v>4</v>
      </c>
      <c r="D17" s="29"/>
      <c r="E17" s="110" t="s">
        <v>82</v>
      </c>
      <c r="F17" s="84">
        <v>69.18</v>
      </c>
      <c r="G17" s="84">
        <v>56.05</v>
      </c>
      <c r="H17" s="84">
        <v>70.43</v>
      </c>
      <c r="I17" s="84"/>
      <c r="J17" s="84"/>
      <c r="K17" s="84"/>
      <c r="L17" s="84"/>
      <c r="M17" s="167"/>
      <c r="N17" s="167"/>
      <c r="O17" s="167"/>
      <c r="P17" s="167"/>
      <c r="Q17" s="111"/>
      <c r="R17" s="145">
        <f t="shared" si="0"/>
        <v>65.22000000000001</v>
      </c>
    </row>
    <row r="18" spans="1:18" ht="12.75">
      <c r="A18" s="28"/>
      <c r="B18" s="2" t="s">
        <v>20</v>
      </c>
      <c r="C18" s="2"/>
      <c r="D18" s="29"/>
      <c r="E18" s="176" t="s">
        <v>82</v>
      </c>
      <c r="F18" s="30">
        <v>453.44</v>
      </c>
      <c r="G18" s="30">
        <v>535.38</v>
      </c>
      <c r="H18" s="30">
        <v>1299.19</v>
      </c>
      <c r="I18" s="30"/>
      <c r="J18" s="30"/>
      <c r="K18" s="30"/>
      <c r="L18" s="30"/>
      <c r="M18" s="169"/>
      <c r="N18" s="169"/>
      <c r="O18" s="169"/>
      <c r="P18" s="169"/>
      <c r="Q18" s="114"/>
      <c r="R18" s="145">
        <f t="shared" si="0"/>
        <v>762.6700000000001</v>
      </c>
    </row>
    <row r="19" spans="1:18" ht="12.75">
      <c r="A19" s="28"/>
      <c r="B19" s="2" t="s">
        <v>21</v>
      </c>
      <c r="C19" s="2"/>
      <c r="D19" s="29"/>
      <c r="E19" s="178">
        <v>2143.7505409214164</v>
      </c>
      <c r="F19" s="39">
        <v>2441.42</v>
      </c>
      <c r="G19" s="39">
        <v>2067.15</v>
      </c>
      <c r="H19" s="39">
        <v>2133.71</v>
      </c>
      <c r="I19" s="39"/>
      <c r="J19" s="39"/>
      <c r="K19" s="39"/>
      <c r="L19" s="39"/>
      <c r="M19" s="170"/>
      <c r="N19" s="39"/>
      <c r="O19" s="39"/>
      <c r="P19" s="39"/>
      <c r="Q19" s="39"/>
      <c r="R19" s="32">
        <f t="shared" si="0"/>
        <v>2214.0933333333332</v>
      </c>
    </row>
    <row r="20" spans="1:28" s="1" customFormat="1" ht="13.5" thickBot="1">
      <c r="A20" s="33"/>
      <c r="B20" s="34" t="s">
        <v>22</v>
      </c>
      <c r="C20" s="34"/>
      <c r="D20" s="35"/>
      <c r="E20" s="96">
        <f>+E19+E7</f>
        <v>3166.9026364058714</v>
      </c>
      <c r="F20" s="96">
        <f aca="true" t="shared" si="1" ref="F20:R20">+F19+F18+F7</f>
        <v>3980.7200000000003</v>
      </c>
      <c r="G20" s="96">
        <f t="shared" si="1"/>
        <v>3485.5</v>
      </c>
      <c r="H20" s="96">
        <f t="shared" si="1"/>
        <v>4471.72</v>
      </c>
      <c r="I20" s="96">
        <f t="shared" si="1"/>
        <v>0</v>
      </c>
      <c r="J20" s="96">
        <f t="shared" si="1"/>
        <v>0</v>
      </c>
      <c r="K20" s="96">
        <f t="shared" si="1"/>
        <v>0</v>
      </c>
      <c r="L20" s="96">
        <f t="shared" si="1"/>
        <v>0</v>
      </c>
      <c r="M20" s="96">
        <f t="shared" si="1"/>
        <v>0</v>
      </c>
      <c r="N20" s="96">
        <f t="shared" si="1"/>
        <v>0</v>
      </c>
      <c r="O20" s="96">
        <f t="shared" si="1"/>
        <v>0</v>
      </c>
      <c r="P20" s="96">
        <f t="shared" si="1"/>
        <v>0</v>
      </c>
      <c r="Q20" s="177">
        <f t="shared" si="1"/>
        <v>0</v>
      </c>
      <c r="R20" s="204">
        <f t="shared" si="1"/>
        <v>3979.313333333333</v>
      </c>
      <c r="T20"/>
      <c r="U20"/>
      <c r="V20"/>
      <c r="W20"/>
      <c r="X20"/>
      <c r="Y20"/>
      <c r="Z20"/>
      <c r="AA20"/>
      <c r="AB20"/>
    </row>
    <row r="21" spans="1:18" ht="13.5" thickTop="1">
      <c r="A21" s="23" t="s">
        <v>23</v>
      </c>
      <c r="B21" s="24"/>
      <c r="C21" s="24"/>
      <c r="D21" s="25"/>
      <c r="E21" s="24"/>
      <c r="F21" s="37"/>
      <c r="G21" s="37"/>
      <c r="H21" s="37"/>
      <c r="I21" s="37"/>
      <c r="J21" s="37"/>
      <c r="K21" s="37"/>
      <c r="L21" s="37"/>
      <c r="M21" s="171"/>
      <c r="N21" s="171"/>
      <c r="O21" s="171"/>
      <c r="P21" s="171"/>
      <c r="Q21" s="179"/>
      <c r="R21" s="38"/>
    </row>
    <row r="22" spans="1:18" ht="12.75">
      <c r="A22" s="28"/>
      <c r="B22" s="2" t="s">
        <v>24</v>
      </c>
      <c r="C22" s="2"/>
      <c r="D22" s="29"/>
      <c r="E22" s="6" t="s">
        <v>82</v>
      </c>
      <c r="F22" s="30">
        <v>52.79</v>
      </c>
      <c r="G22" s="30">
        <v>56.79</v>
      </c>
      <c r="H22" s="30">
        <v>71.87</v>
      </c>
      <c r="I22" s="30"/>
      <c r="J22" s="30"/>
      <c r="K22" s="30"/>
      <c r="L22" s="30"/>
      <c r="M22" s="169"/>
      <c r="N22" s="169"/>
      <c r="O22" s="169"/>
      <c r="P22" s="169"/>
      <c r="Q22" s="114"/>
      <c r="R22" s="145">
        <f>AVERAGE(F22:Q22)</f>
        <v>60.48333333333333</v>
      </c>
    </row>
    <row r="23" spans="1:18" ht="12.75">
      <c r="A23" s="28"/>
      <c r="B23" s="2" t="s">
        <v>25</v>
      </c>
      <c r="C23" s="2"/>
      <c r="D23" s="29"/>
      <c r="E23" s="6" t="s">
        <v>82</v>
      </c>
      <c r="F23" s="30">
        <v>4.84</v>
      </c>
      <c r="G23" s="30">
        <v>3.96</v>
      </c>
      <c r="H23" s="30">
        <v>22.73</v>
      </c>
      <c r="I23" s="30"/>
      <c r="J23" s="30"/>
      <c r="K23" s="30"/>
      <c r="L23" s="30"/>
      <c r="M23" s="169"/>
      <c r="N23" s="169"/>
      <c r="O23" s="169"/>
      <c r="P23" s="169"/>
      <c r="Q23" s="114"/>
      <c r="R23" s="145">
        <f>AVERAGE(F23:Q23)</f>
        <v>10.51</v>
      </c>
    </row>
    <row r="24" spans="1:18" ht="12.75">
      <c r="A24" s="28"/>
      <c r="B24" s="2" t="s">
        <v>26</v>
      </c>
      <c r="C24" s="2"/>
      <c r="D24" s="29"/>
      <c r="E24" s="91" t="s">
        <v>82</v>
      </c>
      <c r="F24" s="39">
        <v>860.21</v>
      </c>
      <c r="G24" s="39">
        <v>820.97</v>
      </c>
      <c r="H24" s="39">
        <v>882.59</v>
      </c>
      <c r="I24" s="39"/>
      <c r="J24" s="39"/>
      <c r="K24" s="39"/>
      <c r="L24" s="39"/>
      <c r="M24" s="170"/>
      <c r="N24" s="170"/>
      <c r="O24" s="170"/>
      <c r="P24" s="170"/>
      <c r="Q24" s="85"/>
      <c r="R24" s="32">
        <f>AVERAGE(F24:Q24)</f>
        <v>854.59</v>
      </c>
    </row>
    <row r="25" spans="1:28" s="1" customFormat="1" ht="13.5" thickBot="1">
      <c r="A25" s="33"/>
      <c r="B25" s="24" t="s">
        <v>27</v>
      </c>
      <c r="C25" s="24"/>
      <c r="D25" s="25"/>
      <c r="E25" s="36" t="s">
        <v>82</v>
      </c>
      <c r="F25" s="96">
        <f aca="true" t="shared" si="2" ref="F25:Q25">SUM(F22:F24)</f>
        <v>917.84</v>
      </c>
      <c r="G25" s="96">
        <f t="shared" si="2"/>
        <v>881.72</v>
      </c>
      <c r="H25" s="96">
        <f t="shared" si="2"/>
        <v>977.19</v>
      </c>
      <c r="I25" s="96">
        <f t="shared" si="2"/>
        <v>0</v>
      </c>
      <c r="J25" s="96">
        <f t="shared" si="2"/>
        <v>0</v>
      </c>
      <c r="K25" s="96">
        <f t="shared" si="2"/>
        <v>0</v>
      </c>
      <c r="L25" s="96">
        <f t="shared" si="2"/>
        <v>0</v>
      </c>
      <c r="M25" s="96">
        <f t="shared" si="2"/>
        <v>0</v>
      </c>
      <c r="N25" s="96">
        <f t="shared" si="2"/>
        <v>0</v>
      </c>
      <c r="O25" s="96">
        <f t="shared" si="2"/>
        <v>0</v>
      </c>
      <c r="P25" s="96">
        <f t="shared" si="2"/>
        <v>0</v>
      </c>
      <c r="Q25" s="96">
        <f t="shared" si="2"/>
        <v>0</v>
      </c>
      <c r="R25" s="97">
        <f>+R24+R23+R22</f>
        <v>925.5833333333334</v>
      </c>
      <c r="T25"/>
      <c r="U25"/>
      <c r="V25"/>
      <c r="W25"/>
      <c r="X25"/>
      <c r="Y25"/>
      <c r="Z25"/>
      <c r="AA25"/>
      <c r="AB25"/>
    </row>
    <row r="26" spans="1:19" ht="14.25" thickBot="1" thickTop="1">
      <c r="A26" s="40" t="s">
        <v>28</v>
      </c>
      <c r="B26" s="41"/>
      <c r="C26" s="41"/>
      <c r="D26" s="14"/>
      <c r="E26" s="93" t="s">
        <v>82</v>
      </c>
      <c r="F26" s="94">
        <f aca="true" t="shared" si="3" ref="F26:R26">+F25+F20</f>
        <v>4898.56</v>
      </c>
      <c r="G26" s="94">
        <f t="shared" si="3"/>
        <v>4367.22</v>
      </c>
      <c r="H26" s="94">
        <f t="shared" si="3"/>
        <v>5448.91</v>
      </c>
      <c r="I26" s="94">
        <f t="shared" si="3"/>
        <v>0</v>
      </c>
      <c r="J26" s="94">
        <f t="shared" si="3"/>
        <v>0</v>
      </c>
      <c r="K26" s="94">
        <f t="shared" si="3"/>
        <v>0</v>
      </c>
      <c r="L26" s="94">
        <f t="shared" si="3"/>
        <v>0</v>
      </c>
      <c r="M26" s="94">
        <f t="shared" si="3"/>
        <v>0</v>
      </c>
      <c r="N26" s="94">
        <f t="shared" si="3"/>
        <v>0</v>
      </c>
      <c r="O26" s="94">
        <f t="shared" si="3"/>
        <v>0</v>
      </c>
      <c r="P26" s="94">
        <f t="shared" si="3"/>
        <v>0</v>
      </c>
      <c r="Q26" s="94">
        <f t="shared" si="3"/>
        <v>0</v>
      </c>
      <c r="R26" s="95">
        <f t="shared" si="3"/>
        <v>4904.8966666666665</v>
      </c>
      <c r="S26" s="1"/>
    </row>
    <row r="27" spans="1:19" ht="14.25" thickBot="1" thickTop="1">
      <c r="A27" s="42"/>
      <c r="B27" s="2"/>
      <c r="C27" s="2"/>
      <c r="D27" s="2"/>
      <c r="E27" s="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1"/>
    </row>
    <row r="28" spans="1:18" ht="14.25" thickBot="1" thickTop="1">
      <c r="A28" s="45" t="s">
        <v>29</v>
      </c>
      <c r="B28" s="46"/>
      <c r="C28" s="46"/>
      <c r="D28" s="20"/>
      <c r="E28" s="88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spans="1:18" ht="13.5" thickTop="1">
      <c r="A29" s="49" t="s">
        <v>30</v>
      </c>
      <c r="B29" s="24"/>
      <c r="C29" s="24"/>
      <c r="D29" s="50"/>
      <c r="E29" s="24"/>
      <c r="F29" s="51"/>
      <c r="G29" s="51"/>
      <c r="H29" s="51"/>
      <c r="I29" s="51"/>
      <c r="J29" s="51"/>
      <c r="K29" s="51"/>
      <c r="L29" s="51"/>
      <c r="M29" s="52"/>
      <c r="N29" s="184"/>
      <c r="O29" s="184"/>
      <c r="P29" s="184"/>
      <c r="Q29" s="186"/>
      <c r="R29" s="17"/>
    </row>
    <row r="30" spans="1:18" ht="12.75">
      <c r="A30" s="23"/>
      <c r="B30" s="121" t="s">
        <v>75</v>
      </c>
      <c r="C30" s="122"/>
      <c r="D30" s="123"/>
      <c r="E30" s="124">
        <v>31737.3</v>
      </c>
      <c r="F30" s="182">
        <v>32542</v>
      </c>
      <c r="G30" s="182">
        <v>32879</v>
      </c>
      <c r="H30" s="182">
        <v>32915</v>
      </c>
      <c r="I30" s="182"/>
      <c r="J30" s="182"/>
      <c r="K30" s="182"/>
      <c r="L30" s="182"/>
      <c r="M30" s="182"/>
      <c r="N30" s="182"/>
      <c r="O30" s="182"/>
      <c r="P30" s="182"/>
      <c r="Q30" s="181"/>
      <c r="R30" s="115">
        <f aca="true" t="shared" si="4" ref="R30:R40">AVERAGE(F30:Q30)</f>
        <v>32778.666666666664</v>
      </c>
    </row>
    <row r="31" spans="1:18" ht="12.75">
      <c r="A31" s="23"/>
      <c r="B31" s="79"/>
      <c r="C31" s="76" t="s">
        <v>48</v>
      </c>
      <c r="D31" s="123"/>
      <c r="E31" s="108" t="s">
        <v>82</v>
      </c>
      <c r="F31" s="81">
        <v>342</v>
      </c>
      <c r="G31" s="81">
        <v>342</v>
      </c>
      <c r="H31" s="81">
        <v>342</v>
      </c>
      <c r="I31" s="81"/>
      <c r="J31" s="81"/>
      <c r="K31" s="81"/>
      <c r="L31" s="81"/>
      <c r="M31" s="82"/>
      <c r="N31" s="190"/>
      <c r="O31" s="190"/>
      <c r="P31" s="190"/>
      <c r="Q31" s="193"/>
      <c r="R31" s="78">
        <f t="shared" si="4"/>
        <v>342</v>
      </c>
    </row>
    <row r="32" spans="1:18" ht="12.75">
      <c r="A32" s="23"/>
      <c r="B32" s="79"/>
      <c r="C32" s="76" t="s">
        <v>49</v>
      </c>
      <c r="D32" s="123"/>
      <c r="E32" s="108" t="s">
        <v>82</v>
      </c>
      <c r="F32" s="81">
        <v>239</v>
      </c>
      <c r="G32" s="81">
        <v>239</v>
      </c>
      <c r="H32" s="81">
        <v>239</v>
      </c>
      <c r="I32" s="81"/>
      <c r="J32" s="81"/>
      <c r="K32" s="81"/>
      <c r="L32" s="81"/>
      <c r="M32" s="82"/>
      <c r="N32" s="191"/>
      <c r="O32" s="191"/>
      <c r="P32" s="191"/>
      <c r="Q32" s="194"/>
      <c r="R32" s="78">
        <f t="shared" si="4"/>
        <v>239</v>
      </c>
    </row>
    <row r="33" spans="1:18" ht="12.75">
      <c r="A33" s="23"/>
      <c r="B33" s="79"/>
      <c r="C33" s="76" t="s">
        <v>50</v>
      </c>
      <c r="D33" s="123"/>
      <c r="E33" s="108" t="s">
        <v>82</v>
      </c>
      <c r="F33" s="81">
        <v>3499</v>
      </c>
      <c r="G33" s="81">
        <v>3564</v>
      </c>
      <c r="H33" s="81">
        <v>3564</v>
      </c>
      <c r="I33" s="81"/>
      <c r="J33" s="81"/>
      <c r="K33" s="81"/>
      <c r="L33" s="81"/>
      <c r="M33" s="82"/>
      <c r="N33" s="191"/>
      <c r="O33" s="191"/>
      <c r="P33" s="191"/>
      <c r="Q33" s="194"/>
      <c r="R33" s="78">
        <f t="shared" si="4"/>
        <v>3542.3333333333335</v>
      </c>
    </row>
    <row r="34" spans="1:18" ht="12.75">
      <c r="A34" s="23"/>
      <c r="B34" s="79"/>
      <c r="C34" s="76" t="s">
        <v>51</v>
      </c>
      <c r="D34" s="123"/>
      <c r="E34" s="108" t="s">
        <v>82</v>
      </c>
      <c r="F34" s="81">
        <v>19642</v>
      </c>
      <c r="G34" s="81">
        <v>19850</v>
      </c>
      <c r="H34" s="81">
        <v>19874</v>
      </c>
      <c r="I34" s="81"/>
      <c r="J34" s="81"/>
      <c r="K34" s="81"/>
      <c r="L34" s="81"/>
      <c r="M34" s="82"/>
      <c r="N34" s="191"/>
      <c r="O34" s="191"/>
      <c r="P34" s="191"/>
      <c r="Q34" s="194"/>
      <c r="R34" s="78">
        <f t="shared" si="4"/>
        <v>19788.666666666668</v>
      </c>
    </row>
    <row r="35" spans="1:18" ht="12.75">
      <c r="A35" s="23"/>
      <c r="B35" s="79"/>
      <c r="C35" s="76" t="s">
        <v>52</v>
      </c>
      <c r="D35" s="123"/>
      <c r="E35" s="108" t="s">
        <v>82</v>
      </c>
      <c r="F35" s="81">
        <v>3238</v>
      </c>
      <c r="G35" s="81">
        <v>3238</v>
      </c>
      <c r="H35" s="81">
        <v>3238</v>
      </c>
      <c r="I35" s="81"/>
      <c r="J35" s="81"/>
      <c r="K35" s="81"/>
      <c r="L35" s="81"/>
      <c r="M35" s="82"/>
      <c r="N35" s="191"/>
      <c r="O35" s="191"/>
      <c r="P35" s="191"/>
      <c r="Q35" s="194"/>
      <c r="R35" s="78">
        <f t="shared" si="4"/>
        <v>3238</v>
      </c>
    </row>
    <row r="36" spans="1:18" ht="12.75">
      <c r="A36" s="23"/>
      <c r="B36" s="79"/>
      <c r="C36" s="76" t="s">
        <v>53</v>
      </c>
      <c r="D36" s="123"/>
      <c r="E36" s="108" t="s">
        <v>82</v>
      </c>
      <c r="F36" s="81">
        <v>159</v>
      </c>
      <c r="G36" s="81">
        <v>159</v>
      </c>
      <c r="H36" s="81">
        <v>159</v>
      </c>
      <c r="I36" s="81"/>
      <c r="J36" s="81"/>
      <c r="K36" s="81"/>
      <c r="L36" s="81"/>
      <c r="M36" s="82"/>
      <c r="N36" s="191"/>
      <c r="O36" s="191"/>
      <c r="P36" s="191"/>
      <c r="Q36" s="194"/>
      <c r="R36" s="78">
        <f t="shared" si="4"/>
        <v>159</v>
      </c>
    </row>
    <row r="37" spans="1:18" ht="12.75">
      <c r="A37" s="23"/>
      <c r="B37" s="79"/>
      <c r="C37" s="76" t="s">
        <v>54</v>
      </c>
      <c r="D37" s="123"/>
      <c r="E37" s="108" t="s">
        <v>82</v>
      </c>
      <c r="F37" s="81">
        <v>21</v>
      </c>
      <c r="G37" s="81">
        <v>21</v>
      </c>
      <c r="H37" s="81">
        <v>21</v>
      </c>
      <c r="I37" s="81"/>
      <c r="J37" s="81"/>
      <c r="K37" s="81"/>
      <c r="L37" s="81"/>
      <c r="M37" s="82"/>
      <c r="N37" s="191"/>
      <c r="O37" s="191"/>
      <c r="P37" s="191"/>
      <c r="Q37" s="194"/>
      <c r="R37" s="78">
        <f t="shared" si="4"/>
        <v>21</v>
      </c>
    </row>
    <row r="38" spans="1:18" ht="12.75">
      <c r="A38" s="23"/>
      <c r="B38" s="79"/>
      <c r="C38" s="76" t="s">
        <v>55</v>
      </c>
      <c r="D38" s="123"/>
      <c r="E38" s="108" t="s">
        <v>82</v>
      </c>
      <c r="F38" s="81">
        <v>2</v>
      </c>
      <c r="G38" s="81">
        <v>2</v>
      </c>
      <c r="H38" s="81">
        <v>2</v>
      </c>
      <c r="I38" s="81"/>
      <c r="J38" s="81"/>
      <c r="K38" s="81"/>
      <c r="L38" s="81"/>
      <c r="M38" s="82"/>
      <c r="N38" s="191"/>
      <c r="O38" s="191"/>
      <c r="P38" s="191"/>
      <c r="Q38" s="194"/>
      <c r="R38" s="78">
        <f t="shared" si="4"/>
        <v>2</v>
      </c>
    </row>
    <row r="39" spans="1:18" ht="12.75">
      <c r="A39" s="23"/>
      <c r="B39" s="79"/>
      <c r="C39" s="76" t="s">
        <v>56</v>
      </c>
      <c r="D39" s="123"/>
      <c r="E39" s="108" t="s">
        <v>82</v>
      </c>
      <c r="F39" s="81">
        <v>1</v>
      </c>
      <c r="G39" s="81">
        <v>1</v>
      </c>
      <c r="H39" s="81">
        <v>1</v>
      </c>
      <c r="I39" s="81"/>
      <c r="J39" s="81"/>
      <c r="K39" s="81"/>
      <c r="L39" s="81"/>
      <c r="M39" s="82"/>
      <c r="N39" s="191"/>
      <c r="O39" s="191"/>
      <c r="P39" s="191"/>
      <c r="Q39" s="194"/>
      <c r="R39" s="78">
        <f t="shared" si="4"/>
        <v>1</v>
      </c>
    </row>
    <row r="40" spans="1:18" ht="12.75">
      <c r="A40" s="23"/>
      <c r="B40" s="79"/>
      <c r="C40" s="76" t="s">
        <v>57</v>
      </c>
      <c r="D40" s="123"/>
      <c r="E40" s="108" t="s">
        <v>82</v>
      </c>
      <c r="F40" s="81">
        <v>4824</v>
      </c>
      <c r="G40" s="81">
        <v>4868</v>
      </c>
      <c r="H40" s="81">
        <v>4880</v>
      </c>
      <c r="I40" s="81"/>
      <c r="J40" s="81"/>
      <c r="K40" s="81"/>
      <c r="L40" s="81"/>
      <c r="M40" s="82"/>
      <c r="N40" s="191"/>
      <c r="O40" s="191"/>
      <c r="P40" s="191"/>
      <c r="Q40" s="194"/>
      <c r="R40" s="78">
        <f t="shared" si="4"/>
        <v>4857.333333333333</v>
      </c>
    </row>
    <row r="41" spans="1:18" ht="12.75">
      <c r="A41" s="23"/>
      <c r="B41" s="79"/>
      <c r="C41" s="76" t="s">
        <v>58</v>
      </c>
      <c r="D41" s="123"/>
      <c r="E41" s="108" t="s">
        <v>82</v>
      </c>
      <c r="F41" s="81">
        <v>575</v>
      </c>
      <c r="G41" s="81">
        <v>595</v>
      </c>
      <c r="H41" s="81">
        <v>595</v>
      </c>
      <c r="I41" s="81"/>
      <c r="J41" s="81"/>
      <c r="K41" s="81"/>
      <c r="L41" s="81"/>
      <c r="M41" s="82"/>
      <c r="N41" s="191"/>
      <c r="O41" s="191"/>
      <c r="P41" s="191"/>
      <c r="Q41" s="194"/>
      <c r="R41" s="78">
        <f>SUM(F41:M41)/3</f>
        <v>588.3333333333334</v>
      </c>
    </row>
    <row r="42" spans="1:18" ht="12.75">
      <c r="A42" s="28"/>
      <c r="B42" s="2" t="s">
        <v>76</v>
      </c>
      <c r="C42" s="2"/>
      <c r="D42" s="29"/>
      <c r="E42" s="6" t="s">
        <v>82</v>
      </c>
      <c r="F42" s="234">
        <v>0.8233</v>
      </c>
      <c r="G42" s="234">
        <v>0.7823</v>
      </c>
      <c r="H42" s="234">
        <v>0.8063</v>
      </c>
      <c r="I42" s="53"/>
      <c r="J42" s="53"/>
      <c r="K42" s="53"/>
      <c r="L42" s="53"/>
      <c r="M42" s="187"/>
      <c r="N42" s="189"/>
      <c r="O42" s="232"/>
      <c r="P42" s="232"/>
      <c r="Q42" s="189"/>
      <c r="R42" s="206">
        <f>AVERAGE(F42:Q42)</f>
        <v>0.8039666666666667</v>
      </c>
    </row>
    <row r="43" spans="1:18" ht="12.75">
      <c r="A43" s="28"/>
      <c r="B43" s="2" t="s">
        <v>77</v>
      </c>
      <c r="C43" s="2"/>
      <c r="D43" s="29"/>
      <c r="E43" s="90">
        <f>64.48/4.33333/0.75</f>
        <v>19.840015261550203</v>
      </c>
      <c r="F43" s="74">
        <f>+F7*2000/(F30*2.166667*F42)</f>
        <v>37.411860476270775</v>
      </c>
      <c r="G43" s="74">
        <f>+G7*2000/(G30*2.166667*G42)</f>
        <v>31.687782218424577</v>
      </c>
      <c r="H43" s="74">
        <f>+H7*2000/(H30*2.166667*H42)</f>
        <v>36.13163464053776</v>
      </c>
      <c r="I43" s="74"/>
      <c r="J43" s="74"/>
      <c r="K43" s="74"/>
      <c r="L43" s="74"/>
      <c r="M43" s="74"/>
      <c r="N43" s="74"/>
      <c r="O43" s="74"/>
      <c r="P43" s="74"/>
      <c r="Q43" s="116"/>
      <c r="R43" s="31">
        <f>SUM(F43:M43)/3</f>
        <v>35.0770924450777</v>
      </c>
    </row>
    <row r="44" spans="1:18" ht="12.75">
      <c r="A44" s="23" t="s">
        <v>31</v>
      </c>
      <c r="B44" s="24"/>
      <c r="C44" s="24"/>
      <c r="D44" s="25"/>
      <c r="E44" s="24"/>
      <c r="F44" s="51"/>
      <c r="G44" s="51"/>
      <c r="H44" s="51"/>
      <c r="I44" s="51"/>
      <c r="J44" s="51"/>
      <c r="K44" s="51"/>
      <c r="L44" s="51"/>
      <c r="M44" s="52"/>
      <c r="N44" s="192"/>
      <c r="O44" s="192"/>
      <c r="P44" s="192"/>
      <c r="Q44" s="196"/>
      <c r="R44" s="55"/>
    </row>
    <row r="45" spans="1:18" ht="12.75">
      <c r="A45" s="23"/>
      <c r="B45" s="77" t="s">
        <v>75</v>
      </c>
      <c r="C45" s="24"/>
      <c r="D45" s="25"/>
      <c r="E45" s="6" t="s">
        <v>82</v>
      </c>
      <c r="F45" s="131">
        <v>11962</v>
      </c>
      <c r="G45" s="131">
        <v>11962</v>
      </c>
      <c r="H45" s="131">
        <v>11962</v>
      </c>
      <c r="I45" s="131"/>
      <c r="J45" s="131"/>
      <c r="K45" s="131"/>
      <c r="L45" s="131"/>
      <c r="M45" s="188"/>
      <c r="N45" s="188"/>
      <c r="O45" s="188"/>
      <c r="P45" s="188"/>
      <c r="Q45" s="188"/>
      <c r="R45" s="78">
        <f>AVERAGE(F45:Q45)</f>
        <v>11962</v>
      </c>
    </row>
    <row r="46" spans="1:18" ht="12.75">
      <c r="A46" s="28"/>
      <c r="B46" s="2" t="s">
        <v>78</v>
      </c>
      <c r="C46" s="2"/>
      <c r="D46" s="29"/>
      <c r="E46" s="6" t="s">
        <v>82</v>
      </c>
      <c r="F46" s="235">
        <v>0.4163</v>
      </c>
      <c r="G46" s="235">
        <v>0.4569</v>
      </c>
      <c r="H46" s="235">
        <v>0.639</v>
      </c>
      <c r="I46" s="180"/>
      <c r="J46" s="180"/>
      <c r="K46" s="180"/>
      <c r="L46" s="180"/>
      <c r="M46" s="189"/>
      <c r="N46" s="189"/>
      <c r="O46" s="189"/>
      <c r="P46" s="189"/>
      <c r="Q46" s="189"/>
      <c r="R46" s="206">
        <f>AVERAGE(F46:Q46)</f>
        <v>0.5040666666666667</v>
      </c>
    </row>
    <row r="47" spans="1:18" ht="12.75">
      <c r="A47" s="28"/>
      <c r="B47" s="2" t="s">
        <v>77</v>
      </c>
      <c r="C47" s="2"/>
      <c r="D47" s="29"/>
      <c r="E47" s="6" t="s">
        <v>82</v>
      </c>
      <c r="F47" s="128">
        <f>+F18*2000/(F45*2.166667*F46)</f>
        <v>84.05188284924917</v>
      </c>
      <c r="G47" s="128">
        <f>+G18*2000/(G45*2.166667*G46)</f>
        <v>90.42218851098058</v>
      </c>
      <c r="H47" s="128">
        <f>+H18*2000/(H45*4.333333*H46)</f>
        <v>78.44692857209621</v>
      </c>
      <c r="I47" s="128"/>
      <c r="J47" s="128"/>
      <c r="K47" s="128"/>
      <c r="L47" s="128"/>
      <c r="M47" s="128"/>
      <c r="N47" s="128"/>
      <c r="O47" s="128"/>
      <c r="P47" s="128"/>
      <c r="Q47" s="129"/>
      <c r="R47" s="31">
        <f>SUM(F47:M47)/3</f>
        <v>84.30699997744199</v>
      </c>
    </row>
    <row r="48" spans="1:18" ht="12.75">
      <c r="A48" s="23" t="s">
        <v>87</v>
      </c>
      <c r="B48" s="24"/>
      <c r="C48" s="24"/>
      <c r="D48" s="25"/>
      <c r="E48" s="24"/>
      <c r="F48" s="51"/>
      <c r="G48" s="51"/>
      <c r="H48" s="51"/>
      <c r="I48" s="51"/>
      <c r="J48" s="51"/>
      <c r="K48" s="51"/>
      <c r="L48" s="51"/>
      <c r="M48" s="52"/>
      <c r="N48" s="192"/>
      <c r="O48" s="192"/>
      <c r="P48" s="192"/>
      <c r="Q48" s="196"/>
      <c r="R48" s="55"/>
    </row>
    <row r="49" spans="1:18" ht="12.75">
      <c r="A49" s="23"/>
      <c r="B49" s="121" t="s">
        <v>75</v>
      </c>
      <c r="C49" s="122"/>
      <c r="D49" s="123"/>
      <c r="E49" s="163" t="s">
        <v>82</v>
      </c>
      <c r="F49" s="125">
        <v>430</v>
      </c>
      <c r="G49" s="125">
        <v>430</v>
      </c>
      <c r="H49" s="125">
        <v>430</v>
      </c>
      <c r="I49" s="125"/>
      <c r="J49" s="125"/>
      <c r="K49" s="125"/>
      <c r="L49" s="125"/>
      <c r="M49" s="125"/>
      <c r="N49" s="185"/>
      <c r="O49" s="125"/>
      <c r="P49" s="185"/>
      <c r="Q49" s="158"/>
      <c r="R49" s="115">
        <f aca="true" t="shared" si="5" ref="R49:R62">AVERAGE(F49:Q49)</f>
        <v>430</v>
      </c>
    </row>
    <row r="50" spans="1:18" ht="12.75">
      <c r="A50" s="23"/>
      <c r="B50" s="79"/>
      <c r="C50" s="76" t="s">
        <v>59</v>
      </c>
      <c r="D50" s="80"/>
      <c r="E50" s="6" t="s">
        <v>82</v>
      </c>
      <c r="F50" s="81">
        <v>25</v>
      </c>
      <c r="G50" s="81">
        <v>25</v>
      </c>
      <c r="H50" s="81">
        <v>25</v>
      </c>
      <c r="I50" s="81"/>
      <c r="J50" s="81"/>
      <c r="K50" s="81"/>
      <c r="L50" s="81"/>
      <c r="M50" s="81"/>
      <c r="N50" s="191"/>
      <c r="O50" s="191"/>
      <c r="P50" s="191"/>
      <c r="Q50" s="193"/>
      <c r="R50" s="78">
        <f t="shared" si="5"/>
        <v>25</v>
      </c>
    </row>
    <row r="51" spans="1:18" ht="12.75">
      <c r="A51" s="23"/>
      <c r="B51" s="79"/>
      <c r="C51" s="76" t="s">
        <v>60</v>
      </c>
      <c r="D51" s="80"/>
      <c r="E51" s="6" t="s">
        <v>82</v>
      </c>
      <c r="F51" s="81">
        <v>10</v>
      </c>
      <c r="G51" s="81">
        <v>10</v>
      </c>
      <c r="H51" s="81">
        <v>10</v>
      </c>
      <c r="I51" s="81"/>
      <c r="J51" s="81"/>
      <c r="K51" s="81"/>
      <c r="L51" s="81"/>
      <c r="M51" s="81"/>
      <c r="N51" s="191"/>
      <c r="O51" s="191"/>
      <c r="P51" s="191"/>
      <c r="Q51" s="194"/>
      <c r="R51" s="78">
        <f t="shared" si="5"/>
        <v>10</v>
      </c>
    </row>
    <row r="52" spans="1:18" ht="12.75">
      <c r="A52" s="23"/>
      <c r="B52" s="79"/>
      <c r="C52" s="76" t="s">
        <v>61</v>
      </c>
      <c r="D52" s="80"/>
      <c r="E52" s="6" t="s">
        <v>82</v>
      </c>
      <c r="F52" s="81">
        <v>23</v>
      </c>
      <c r="G52" s="81">
        <v>23</v>
      </c>
      <c r="H52" s="81">
        <v>23</v>
      </c>
      <c r="I52" s="81"/>
      <c r="J52" s="81"/>
      <c r="K52" s="81"/>
      <c r="L52" s="81"/>
      <c r="M52" s="81"/>
      <c r="N52" s="191"/>
      <c r="O52" s="191"/>
      <c r="P52" s="191"/>
      <c r="Q52" s="194"/>
      <c r="R52" s="78">
        <f t="shared" si="5"/>
        <v>23</v>
      </c>
    </row>
    <row r="53" spans="1:18" ht="12.75">
      <c r="A53" s="23"/>
      <c r="B53" s="79"/>
      <c r="C53" s="76" t="s">
        <v>62</v>
      </c>
      <c r="D53" s="80"/>
      <c r="E53" s="6" t="s">
        <v>82</v>
      </c>
      <c r="F53" s="81">
        <v>60</v>
      </c>
      <c r="G53" s="81">
        <v>60</v>
      </c>
      <c r="H53" s="81">
        <v>60</v>
      </c>
      <c r="I53" s="81"/>
      <c r="J53" s="81"/>
      <c r="K53" s="81"/>
      <c r="L53" s="81"/>
      <c r="M53" s="81"/>
      <c r="N53" s="191"/>
      <c r="O53" s="191"/>
      <c r="P53" s="191"/>
      <c r="Q53" s="194"/>
      <c r="R53" s="78">
        <f t="shared" si="5"/>
        <v>60</v>
      </c>
    </row>
    <row r="54" spans="1:18" ht="12.75">
      <c r="A54" s="23"/>
      <c r="B54" s="79"/>
      <c r="C54" s="76" t="s">
        <v>96</v>
      </c>
      <c r="D54" s="80"/>
      <c r="E54" s="6" t="s">
        <v>82</v>
      </c>
      <c r="F54" s="81">
        <v>10</v>
      </c>
      <c r="G54" s="81">
        <v>10</v>
      </c>
      <c r="H54" s="81">
        <v>10</v>
      </c>
      <c r="I54" s="81"/>
      <c r="J54" s="81"/>
      <c r="K54" s="81"/>
      <c r="L54" s="81"/>
      <c r="M54" s="81"/>
      <c r="N54" s="191"/>
      <c r="O54" s="191"/>
      <c r="P54" s="191"/>
      <c r="Q54" s="194"/>
      <c r="R54" s="78">
        <f t="shared" si="5"/>
        <v>10</v>
      </c>
    </row>
    <row r="55" spans="1:18" ht="12.75">
      <c r="A55" s="23"/>
      <c r="B55" s="79"/>
      <c r="C55" s="76" t="s">
        <v>63</v>
      </c>
      <c r="D55" s="80"/>
      <c r="E55" s="6" t="s">
        <v>82</v>
      </c>
      <c r="F55" s="81">
        <v>20</v>
      </c>
      <c r="G55" s="81">
        <v>20</v>
      </c>
      <c r="H55" s="81">
        <v>20</v>
      </c>
      <c r="I55" s="81"/>
      <c r="J55" s="81"/>
      <c r="K55" s="81"/>
      <c r="L55" s="81"/>
      <c r="M55" s="81"/>
      <c r="N55" s="191"/>
      <c r="O55" s="191"/>
      <c r="P55" s="191"/>
      <c r="Q55" s="194"/>
      <c r="R55" s="78">
        <f t="shared" si="5"/>
        <v>20</v>
      </c>
    </row>
    <row r="56" spans="1:18" ht="12.75">
      <c r="A56" s="23"/>
      <c r="B56" s="79"/>
      <c r="C56" s="76" t="s">
        <v>64</v>
      </c>
      <c r="D56" s="80"/>
      <c r="E56" s="6" t="s">
        <v>82</v>
      </c>
      <c r="F56" s="81">
        <v>73</v>
      </c>
      <c r="G56" s="81">
        <v>73</v>
      </c>
      <c r="H56" s="81">
        <v>73</v>
      </c>
      <c r="I56" s="81"/>
      <c r="J56" s="81"/>
      <c r="K56" s="81"/>
      <c r="L56" s="81"/>
      <c r="M56" s="81"/>
      <c r="N56" s="191"/>
      <c r="O56" s="191"/>
      <c r="P56" s="191"/>
      <c r="Q56" s="194"/>
      <c r="R56" s="78">
        <f t="shared" si="5"/>
        <v>73</v>
      </c>
    </row>
    <row r="57" spans="1:18" ht="12.75">
      <c r="A57" s="23"/>
      <c r="B57" s="79"/>
      <c r="C57" s="76" t="s">
        <v>65</v>
      </c>
      <c r="D57" s="80"/>
      <c r="E57" s="6" t="s">
        <v>82</v>
      </c>
      <c r="F57" s="81">
        <v>39</v>
      </c>
      <c r="G57" s="81">
        <v>39</v>
      </c>
      <c r="H57" s="81">
        <v>39</v>
      </c>
      <c r="I57" s="81"/>
      <c r="J57" s="81"/>
      <c r="K57" s="81"/>
      <c r="L57" s="81"/>
      <c r="M57" s="81"/>
      <c r="N57" s="191"/>
      <c r="O57" s="191"/>
      <c r="P57" s="191"/>
      <c r="Q57" s="194"/>
      <c r="R57" s="78">
        <f t="shared" si="5"/>
        <v>39</v>
      </c>
    </row>
    <row r="58" spans="1:18" ht="12.75">
      <c r="A58" s="23"/>
      <c r="B58" s="79"/>
      <c r="C58" s="76" t="s">
        <v>66</v>
      </c>
      <c r="D58" s="80"/>
      <c r="E58" s="6" t="s">
        <v>82</v>
      </c>
      <c r="F58" s="81">
        <v>72</v>
      </c>
      <c r="G58" s="81">
        <v>72</v>
      </c>
      <c r="H58" s="81">
        <v>72</v>
      </c>
      <c r="I58" s="81"/>
      <c r="J58" s="81"/>
      <c r="K58" s="81"/>
      <c r="L58" s="81"/>
      <c r="M58" s="81"/>
      <c r="N58" s="191"/>
      <c r="O58" s="191"/>
      <c r="P58" s="191"/>
      <c r="Q58" s="194"/>
      <c r="R58" s="78">
        <f t="shared" si="5"/>
        <v>72</v>
      </c>
    </row>
    <row r="59" spans="1:18" ht="12.75">
      <c r="A59" s="23"/>
      <c r="B59" s="79"/>
      <c r="C59" s="76" t="s">
        <v>67</v>
      </c>
      <c r="D59" s="80"/>
      <c r="E59" s="6" t="s">
        <v>82</v>
      </c>
      <c r="F59" s="81">
        <v>51</v>
      </c>
      <c r="G59" s="81">
        <v>51</v>
      </c>
      <c r="H59" s="81">
        <v>51</v>
      </c>
      <c r="I59" s="81"/>
      <c r="J59" s="81"/>
      <c r="K59" s="81"/>
      <c r="L59" s="81"/>
      <c r="M59" s="81"/>
      <c r="N59" s="191"/>
      <c r="O59" s="191"/>
      <c r="P59" s="191"/>
      <c r="Q59" s="194"/>
      <c r="R59" s="78">
        <f t="shared" si="5"/>
        <v>51</v>
      </c>
    </row>
    <row r="60" spans="1:18" ht="12.75">
      <c r="A60" s="23"/>
      <c r="B60" s="79"/>
      <c r="C60" s="76" t="s">
        <v>68</v>
      </c>
      <c r="D60" s="80"/>
      <c r="E60" s="6" t="s">
        <v>82</v>
      </c>
      <c r="F60" s="81">
        <v>37</v>
      </c>
      <c r="G60" s="81">
        <v>37</v>
      </c>
      <c r="H60" s="81">
        <v>37</v>
      </c>
      <c r="I60" s="81"/>
      <c r="J60" s="81"/>
      <c r="K60" s="81"/>
      <c r="L60" s="81"/>
      <c r="M60" s="81"/>
      <c r="N60" s="191"/>
      <c r="O60" s="191"/>
      <c r="P60" s="191"/>
      <c r="Q60" s="194"/>
      <c r="R60" s="78">
        <f t="shared" si="5"/>
        <v>37</v>
      </c>
    </row>
    <row r="61" spans="1:18" ht="12.75">
      <c r="A61" s="23"/>
      <c r="B61" s="79"/>
      <c r="C61" s="76" t="s">
        <v>69</v>
      </c>
      <c r="D61" s="80"/>
      <c r="E61" s="6" t="s">
        <v>82</v>
      </c>
      <c r="F61" s="81">
        <v>1</v>
      </c>
      <c r="G61" s="81">
        <v>1</v>
      </c>
      <c r="H61" s="81">
        <v>1</v>
      </c>
      <c r="I61" s="81"/>
      <c r="J61" s="81"/>
      <c r="K61" s="81"/>
      <c r="L61" s="81"/>
      <c r="M61" s="81"/>
      <c r="N61" s="191"/>
      <c r="O61" s="191"/>
      <c r="P61" s="191"/>
      <c r="Q61" s="194"/>
      <c r="R61" s="78">
        <f t="shared" si="5"/>
        <v>1</v>
      </c>
    </row>
    <row r="62" spans="1:18" ht="13.5" thickBot="1">
      <c r="A62" s="23"/>
      <c r="B62" s="135"/>
      <c r="C62" s="136" t="s">
        <v>70</v>
      </c>
      <c r="D62" s="132"/>
      <c r="E62" s="134" t="s">
        <v>82</v>
      </c>
      <c r="F62" s="231">
        <v>9</v>
      </c>
      <c r="G62" s="231">
        <v>9</v>
      </c>
      <c r="H62" s="231">
        <v>9</v>
      </c>
      <c r="I62" s="231"/>
      <c r="J62" s="231"/>
      <c r="K62" s="231"/>
      <c r="L62" s="231"/>
      <c r="M62" s="231"/>
      <c r="N62" s="198"/>
      <c r="O62" s="198"/>
      <c r="P62" s="198"/>
      <c r="Q62" s="133"/>
      <c r="R62" s="230">
        <f t="shared" si="5"/>
        <v>9</v>
      </c>
    </row>
    <row r="63" spans="1:18" ht="14.25" thickBot="1" thickTop="1">
      <c r="A63" s="42"/>
      <c r="B63" s="2"/>
      <c r="C63" s="2"/>
      <c r="D63" s="2"/>
      <c r="E63" s="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108"/>
    </row>
    <row r="64" spans="1:18" ht="14.25" thickBot="1" thickTop="1">
      <c r="A64" s="45" t="s">
        <v>32</v>
      </c>
      <c r="B64" s="46"/>
      <c r="C64" s="46"/>
      <c r="D64" s="20"/>
      <c r="E64" s="88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8"/>
    </row>
    <row r="65" spans="1:18" ht="13.5" thickTop="1">
      <c r="A65" s="23" t="s">
        <v>33</v>
      </c>
      <c r="B65" s="24"/>
      <c r="C65" s="24"/>
      <c r="D65" s="56"/>
      <c r="E65" s="2"/>
      <c r="F65" s="51"/>
      <c r="G65" s="51"/>
      <c r="H65" s="51"/>
      <c r="I65" s="51"/>
      <c r="J65" s="51"/>
      <c r="K65" s="51"/>
      <c r="L65" s="51"/>
      <c r="M65" s="52"/>
      <c r="N65" s="184"/>
      <c r="O65" s="184"/>
      <c r="P65" s="184"/>
      <c r="Q65" s="186"/>
      <c r="R65" s="17"/>
    </row>
    <row r="66" spans="1:18" ht="12.75">
      <c r="A66" s="28"/>
      <c r="B66" s="2" t="s">
        <v>34</v>
      </c>
      <c r="C66" s="2"/>
      <c r="D66" s="29"/>
      <c r="E66" s="106" t="s">
        <v>82</v>
      </c>
      <c r="F66" s="53">
        <f>+F7/F20</f>
        <v>0.2727797986293936</v>
      </c>
      <c r="G66" s="53">
        <f>+G7/G20</f>
        <v>0.2533266389327213</v>
      </c>
      <c r="H66" s="53">
        <f>+H7/H20</f>
        <v>0.23230882076695317</v>
      </c>
      <c r="I66" s="53"/>
      <c r="J66" s="53"/>
      <c r="K66" s="53"/>
      <c r="L66" s="53"/>
      <c r="M66" s="54"/>
      <c r="N66" s="187"/>
      <c r="O66" s="187"/>
      <c r="P66" s="187"/>
      <c r="Q66" s="195"/>
      <c r="R66" s="221">
        <f>+R7/R20</f>
        <v>0.25194045203778875</v>
      </c>
    </row>
    <row r="67" spans="1:18" ht="12.75">
      <c r="A67" s="28"/>
      <c r="B67" s="2" t="s">
        <v>35</v>
      </c>
      <c r="C67" s="2"/>
      <c r="D67" s="29"/>
      <c r="E67" s="107" t="s">
        <v>82</v>
      </c>
      <c r="F67" s="57">
        <f>+F18/F20</f>
        <v>0.1139090415804176</v>
      </c>
      <c r="G67" s="57">
        <f>+G18/G20</f>
        <v>0.1536020657007603</v>
      </c>
      <c r="H67" s="57">
        <f>+H18/H20</f>
        <v>0.2905347383109855</v>
      </c>
      <c r="I67" s="57"/>
      <c r="J67" s="57"/>
      <c r="K67" s="57"/>
      <c r="L67" s="57"/>
      <c r="M67" s="54"/>
      <c r="N67" s="187"/>
      <c r="O67" s="187"/>
      <c r="P67" s="187"/>
      <c r="Q67" s="195"/>
      <c r="R67" s="221">
        <f>+R18/R20</f>
        <v>0.19165869488370693</v>
      </c>
    </row>
    <row r="68" spans="1:28" s="1" customFormat="1" ht="13.5" thickBot="1">
      <c r="A68" s="33"/>
      <c r="B68" s="126" t="s">
        <v>36</v>
      </c>
      <c r="C68" s="126"/>
      <c r="D68" s="208"/>
      <c r="E68" s="6" t="s">
        <v>82</v>
      </c>
      <c r="F68" s="209">
        <f>+F67+F66</f>
        <v>0.3866888402098112</v>
      </c>
      <c r="G68" s="209">
        <f>+G67+G66</f>
        <v>0.4069287046334816</v>
      </c>
      <c r="H68" s="209">
        <f>+H67+H66</f>
        <v>0.5228435590779387</v>
      </c>
      <c r="I68" s="207"/>
      <c r="J68" s="207"/>
      <c r="K68" s="207"/>
      <c r="L68" s="207"/>
      <c r="M68" s="207"/>
      <c r="N68" s="207"/>
      <c r="O68" s="207"/>
      <c r="P68" s="207"/>
      <c r="Q68" s="183"/>
      <c r="R68" s="223">
        <f>+R67+R66</f>
        <v>0.4435991469214957</v>
      </c>
      <c r="T68"/>
      <c r="U68"/>
      <c r="V68"/>
      <c r="W68"/>
      <c r="X68"/>
      <c r="Y68"/>
      <c r="Z68"/>
      <c r="AA68"/>
      <c r="AB68"/>
    </row>
    <row r="69" spans="1:18" ht="13.5" thickTop="1">
      <c r="A69" s="49" t="s">
        <v>37</v>
      </c>
      <c r="B69" s="59"/>
      <c r="C69" s="59"/>
      <c r="D69" s="56"/>
      <c r="E69" s="16"/>
      <c r="F69" s="60"/>
      <c r="G69" s="60"/>
      <c r="H69" s="60"/>
      <c r="I69" s="187"/>
      <c r="J69" s="187"/>
      <c r="K69" s="187"/>
      <c r="L69" s="53"/>
      <c r="M69" s="61"/>
      <c r="N69" s="60"/>
      <c r="O69" s="60"/>
      <c r="P69" s="60"/>
      <c r="Q69" s="199"/>
      <c r="R69" s="224"/>
    </row>
    <row r="70" spans="1:18" ht="12.75">
      <c r="A70" s="28"/>
      <c r="B70" s="2" t="s">
        <v>38</v>
      </c>
      <c r="C70" s="2"/>
      <c r="D70" s="29"/>
      <c r="E70" s="108" t="s">
        <v>82</v>
      </c>
      <c r="F70" s="53">
        <f>+F22/F25</f>
        <v>0.05751547110607513</v>
      </c>
      <c r="G70" s="53">
        <f>+G22/G25</f>
        <v>0.06440820215034251</v>
      </c>
      <c r="H70" s="53">
        <f>+H22/H25</f>
        <v>0.07354762124049571</v>
      </c>
      <c r="I70" s="53"/>
      <c r="J70" s="53"/>
      <c r="K70" s="53"/>
      <c r="L70" s="53"/>
      <c r="M70" s="54"/>
      <c r="N70" s="187"/>
      <c r="O70" s="187"/>
      <c r="P70" s="187"/>
      <c r="Q70" s="195"/>
      <c r="R70" s="221">
        <f>+R22/R25</f>
        <v>0.06534617808589177</v>
      </c>
    </row>
    <row r="71" spans="1:18" ht="12.75">
      <c r="A71" s="28"/>
      <c r="B71" s="2" t="s">
        <v>39</v>
      </c>
      <c r="C71" s="2"/>
      <c r="D71" s="29"/>
      <c r="E71" s="91" t="s">
        <v>82</v>
      </c>
      <c r="F71" s="53">
        <f>+F23/F25</f>
        <v>0.0052732502396931925</v>
      </c>
      <c r="G71" s="53">
        <f>+G23/G25</f>
        <v>0.004491221703034977</v>
      </c>
      <c r="H71" s="53">
        <f>+H23/H25</f>
        <v>0.02326057368577247</v>
      </c>
      <c r="I71" s="53"/>
      <c r="J71" s="53"/>
      <c r="K71" s="53"/>
      <c r="L71" s="57"/>
      <c r="M71" s="54"/>
      <c r="N71" s="187"/>
      <c r="O71" s="187"/>
      <c r="P71" s="187"/>
      <c r="Q71" s="195"/>
      <c r="R71" s="221">
        <f>+R23/R25</f>
        <v>0.011355001350499685</v>
      </c>
    </row>
    <row r="72" spans="1:28" s="1" customFormat="1" ht="13.5" thickBot="1">
      <c r="A72" s="33"/>
      <c r="B72" s="126" t="s">
        <v>40</v>
      </c>
      <c r="C72" s="126"/>
      <c r="D72" s="208"/>
      <c r="E72" s="92" t="s">
        <v>82</v>
      </c>
      <c r="F72" s="209">
        <f>+F71+F70</f>
        <v>0.06278872134576832</v>
      </c>
      <c r="G72" s="209">
        <f>+G71+G70</f>
        <v>0.0688994238533775</v>
      </c>
      <c r="H72" s="209">
        <f>+H71+H70</f>
        <v>0.09680819492626819</v>
      </c>
      <c r="I72" s="209"/>
      <c r="J72" s="209"/>
      <c r="K72" s="209"/>
      <c r="L72" s="209"/>
      <c r="M72" s="210"/>
      <c r="N72" s="207"/>
      <c r="O72" s="207"/>
      <c r="P72" s="207"/>
      <c r="Q72" s="183"/>
      <c r="R72" s="223">
        <f>+R71+R70</f>
        <v>0.07670117943639146</v>
      </c>
      <c r="T72"/>
      <c r="U72"/>
      <c r="V72"/>
      <c r="W72"/>
      <c r="X72"/>
      <c r="Y72"/>
      <c r="Z72"/>
      <c r="AA72"/>
      <c r="AB72"/>
    </row>
    <row r="73" spans="1:18" ht="14.25" thickBot="1" thickTop="1">
      <c r="A73" s="63" t="s">
        <v>84</v>
      </c>
      <c r="B73" s="64"/>
      <c r="C73" s="64"/>
      <c r="D73" s="65"/>
      <c r="E73" s="105" t="s">
        <v>82</v>
      </c>
      <c r="F73" s="101">
        <f>+(F7+F18+F22+F23)/(F20+F25)</f>
        <v>0.32599988568068977</v>
      </c>
      <c r="G73" s="101">
        <f>+(G7+G18+G22+G23)/(G20+G25)</f>
        <v>0.3386822738492679</v>
      </c>
      <c r="H73" s="101">
        <f>+(H7+H18+H22+H23)/(H20+H25)</f>
        <v>0.44643974666492936</v>
      </c>
      <c r="I73" s="101"/>
      <c r="J73" s="101"/>
      <c r="K73" s="101"/>
      <c r="L73" s="102"/>
      <c r="M73" s="104"/>
      <c r="N73" s="104"/>
      <c r="O73" s="104"/>
      <c r="P73" s="104"/>
      <c r="Q73" s="99"/>
      <c r="R73" s="100">
        <f>+(R7+R18+R22+R23)/(R20+R25)</f>
        <v>0.3743633063285737</v>
      </c>
    </row>
    <row r="74" spans="1:18" ht="14.25" thickBot="1" thickTop="1">
      <c r="A74" s="63" t="s">
        <v>85</v>
      </c>
      <c r="B74" s="64"/>
      <c r="C74" s="64"/>
      <c r="D74" s="65"/>
      <c r="E74" s="103">
        <f>+E7/E20</f>
        <v>0.3230765871115109</v>
      </c>
      <c r="F74" s="98">
        <f>+(F7+F18)/(F20-F18+F25-F23)</f>
        <v>0.3466673272856667</v>
      </c>
      <c r="G74" s="98">
        <f>+(G7+G18)/(G20-G18+G25-G23)</f>
        <v>0.3705314691160642</v>
      </c>
      <c r="H74" s="98">
        <f>+(H7+H18)/(H20-H18+H25-H23)</f>
        <v>0.5665170014950363</v>
      </c>
      <c r="I74" s="104"/>
      <c r="J74" s="104"/>
      <c r="K74" s="104"/>
      <c r="L74" s="104"/>
      <c r="M74" s="104"/>
      <c r="N74" s="104"/>
      <c r="O74" s="104"/>
      <c r="P74" s="104"/>
      <c r="Q74" s="99"/>
      <c r="R74" s="100">
        <f>+(R7+R18)/(R20-R18+R25-R23)</f>
        <v>0.42723645942162863</v>
      </c>
    </row>
    <row r="75" ht="13.5" thickTop="1"/>
    <row r="76" ht="12.75">
      <c r="A76" s="86"/>
    </row>
  </sheetData>
  <printOptions/>
  <pageMargins left="0.5" right="0.25" top="0.5" bottom="0.5" header="0.5" footer="0.5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workbookViewId="0" topLeftCell="A32">
      <selection activeCell="D37" sqref="D37"/>
    </sheetView>
  </sheetViews>
  <sheetFormatPr defaultColWidth="9.140625" defaultRowHeight="12.75"/>
  <cols>
    <col min="1" max="1" width="14.28125" style="0" customWidth="1"/>
    <col min="3" max="3" width="2.57421875" style="0" customWidth="1"/>
    <col min="4" max="5" width="9.28125" style="0" bestFit="1" customWidth="1"/>
    <col min="6" max="6" width="11.00390625" style="0" bestFit="1" customWidth="1"/>
    <col min="7" max="7" width="11.00390625" style="0" customWidth="1"/>
    <col min="8" max="8" width="3.00390625" style="0" customWidth="1"/>
    <col min="9" max="9" width="10.28125" style="0" bestFit="1" customWidth="1"/>
    <col min="10" max="10" width="11.28125" style="0" bestFit="1" customWidth="1"/>
    <col min="11" max="11" width="3.140625" style="0" customWidth="1"/>
    <col min="12" max="12" width="10.28125" style="0" bestFit="1" customWidth="1"/>
    <col min="13" max="13" width="11.28125" style="0" bestFit="1" customWidth="1"/>
    <col min="14" max="14" width="3.421875" style="0" customWidth="1"/>
    <col min="15" max="15" width="10.28125" style="0" bestFit="1" customWidth="1"/>
    <col min="16" max="16" width="11.28125" style="0" bestFit="1" customWidth="1"/>
    <col min="17" max="17" width="2.8515625" style="0" customWidth="1"/>
    <col min="18" max="18" width="10.28125" style="0" bestFit="1" customWidth="1"/>
    <col min="19" max="19" width="12.28125" style="0" bestFit="1" customWidth="1"/>
  </cols>
  <sheetData>
    <row r="1" s="1" customFormat="1" ht="20.25">
      <c r="A1" s="164" t="s">
        <v>93</v>
      </c>
    </row>
    <row r="2" s="1" customFormat="1" ht="12.75"/>
    <row r="3" s="1" customFormat="1" ht="12.75"/>
    <row r="4" s="1" customFormat="1" ht="12.75"/>
    <row r="5" s="1" customFormat="1" ht="14.25">
      <c r="A5" s="119" t="s">
        <v>104</v>
      </c>
    </row>
    <row r="6" s="1" customFormat="1" ht="12.75"/>
    <row r="7" spans="2:19" s="4" customFormat="1" ht="12.75">
      <c r="B7" s="4" t="s">
        <v>41</v>
      </c>
      <c r="D7" s="238" t="s">
        <v>45</v>
      </c>
      <c r="E7" s="238"/>
      <c r="F7" s="238"/>
      <c r="G7" s="238"/>
      <c r="I7" s="238" t="s">
        <v>7</v>
      </c>
      <c r="J7" s="238"/>
      <c r="L7" s="238" t="s">
        <v>8</v>
      </c>
      <c r="M7" s="238"/>
      <c r="O7" s="238" t="s">
        <v>9</v>
      </c>
      <c r="P7" s="238"/>
      <c r="R7" s="238" t="s">
        <v>106</v>
      </c>
      <c r="S7" s="238"/>
    </row>
    <row r="8" spans="1:19" s="7" customFormat="1" ht="12.75">
      <c r="A8" s="7" t="s">
        <v>94</v>
      </c>
      <c r="B8" s="7" t="s">
        <v>42</v>
      </c>
      <c r="D8" s="7" t="s">
        <v>7</v>
      </c>
      <c r="E8" s="7" t="s">
        <v>8</v>
      </c>
      <c r="F8" s="7" t="s">
        <v>9</v>
      </c>
      <c r="G8" s="7" t="s">
        <v>14</v>
      </c>
      <c r="I8" s="7" t="s">
        <v>46</v>
      </c>
      <c r="J8" s="7" t="s">
        <v>47</v>
      </c>
      <c r="L8" s="7" t="s">
        <v>46</v>
      </c>
      <c r="M8" s="7" t="s">
        <v>47</v>
      </c>
      <c r="O8" s="7" t="s">
        <v>46</v>
      </c>
      <c r="P8" s="7" t="s">
        <v>47</v>
      </c>
      <c r="R8" s="7" t="s">
        <v>46</v>
      </c>
      <c r="S8" s="7" t="s">
        <v>47</v>
      </c>
    </row>
    <row r="10" spans="1:19" ht="12.75">
      <c r="A10" s="200" t="s">
        <v>5</v>
      </c>
      <c r="B10" s="3">
        <f>+G10/$G$20</f>
        <v>0.45580908571891365</v>
      </c>
      <c r="D10" s="66">
        <f>+'SKC Waste Stream Report'!F8</f>
        <v>536.3193574316485</v>
      </c>
      <c r="E10" s="66">
        <f>+'SKC Waste Stream Report'!G8</f>
        <v>411.52350083483884</v>
      </c>
      <c r="F10" s="66">
        <f>+'SKC Waste Stream Report'!H8</f>
        <v>423.0713383960027</v>
      </c>
      <c r="G10" s="66">
        <f>SUM(D10:F10)</f>
        <v>1370.9141966624902</v>
      </c>
      <c r="I10" s="72">
        <v>70.65</v>
      </c>
      <c r="J10" s="138">
        <f aca="true" t="shared" si="0" ref="J10:J19">+I10*D10</f>
        <v>37890.96260254597</v>
      </c>
      <c r="L10" s="72">
        <v>74.2</v>
      </c>
      <c r="M10" s="138">
        <f aca="true" t="shared" si="1" ref="M10:M19">+L10*E10</f>
        <v>30535.043761945042</v>
      </c>
      <c r="O10" s="72">
        <v>75.27</v>
      </c>
      <c r="P10" s="138">
        <f aca="true" t="shared" si="2" ref="P10:P19">+O10*F10</f>
        <v>31844.57964106712</v>
      </c>
      <c r="R10" s="72">
        <f>+S10/G10</f>
        <v>73.14140173737225</v>
      </c>
      <c r="S10" s="138">
        <f>+P10+M10+J10</f>
        <v>100270.58600555814</v>
      </c>
    </row>
    <row r="11" spans="1:19" ht="12.75">
      <c r="A11" s="200" t="s">
        <v>2</v>
      </c>
      <c r="B11" s="3">
        <f aca="true" t="shared" si="3" ref="B11:B19">+G11/$G$20</f>
        <v>0.24710476933959377</v>
      </c>
      <c r="D11" s="66">
        <f>+'SKC Waste Stream Report'!F9</f>
        <v>239.6184672409867</v>
      </c>
      <c r="E11" s="66">
        <f>+'SKC Waste Stream Report'!G9</f>
        <v>212.45343725101515</v>
      </c>
      <c r="F11" s="66">
        <f>+'SKC Waste Stream Report'!H9</f>
        <v>291.1327550122271</v>
      </c>
      <c r="G11" s="66">
        <f aca="true" t="shared" si="4" ref="G11:G19">SUM(D11:F11)</f>
        <v>743.204659504229</v>
      </c>
      <c r="I11" s="72">
        <v>86.42</v>
      </c>
      <c r="J11" s="89">
        <f t="shared" si="0"/>
        <v>20707.82793896607</v>
      </c>
      <c r="L11" s="72">
        <v>88.89</v>
      </c>
      <c r="M11" s="8">
        <f t="shared" si="1"/>
        <v>18884.986037242736</v>
      </c>
      <c r="O11" s="72">
        <v>86.45</v>
      </c>
      <c r="P11" s="8">
        <f t="shared" si="2"/>
        <v>25168.426670807035</v>
      </c>
      <c r="R11" s="72">
        <f aca="true" t="shared" si="5" ref="R11:R17">+S11/G11</f>
        <v>87.13782915491441</v>
      </c>
      <c r="S11" s="8">
        <f aca="true" t="shared" si="6" ref="S11:S17">+P11+M11+J11</f>
        <v>64761.240647015846</v>
      </c>
    </row>
    <row r="12" spans="1:19" ht="12.75">
      <c r="A12" s="200" t="s">
        <v>0</v>
      </c>
      <c r="B12" s="3">
        <f t="shared" si="3"/>
        <v>0.008196327540400587</v>
      </c>
      <c r="D12" s="66">
        <f>+'SKC Waste Stream Report'!F10</f>
        <v>9.550717893960936</v>
      </c>
      <c r="E12" s="66">
        <f>+'SKC Waste Stream Report'!G10</f>
        <v>8.005021644200392</v>
      </c>
      <c r="F12" s="66">
        <f>+'SKC Waste Stream Report'!H10</f>
        <v>7.09594498872449</v>
      </c>
      <c r="G12" s="66">
        <f t="shared" si="4"/>
        <v>24.651684526885816</v>
      </c>
      <c r="I12" s="72">
        <v>1210.7</v>
      </c>
      <c r="J12" s="89">
        <f t="shared" si="0"/>
        <v>11563.054154218506</v>
      </c>
      <c r="L12" s="72">
        <v>1128.22</v>
      </c>
      <c r="M12" s="8">
        <f t="shared" si="1"/>
        <v>9031.425519419767</v>
      </c>
      <c r="O12" s="72">
        <v>1034.97</v>
      </c>
      <c r="P12" s="8">
        <f t="shared" si="2"/>
        <v>7344.090184980186</v>
      </c>
      <c r="R12" s="72">
        <f t="shared" si="5"/>
        <v>1133.3330924362542</v>
      </c>
      <c r="S12" s="8">
        <f t="shared" si="6"/>
        <v>27938.56985861846</v>
      </c>
    </row>
    <row r="13" spans="1:19" ht="12.75">
      <c r="A13" s="200" t="s">
        <v>3</v>
      </c>
      <c r="B13" s="3">
        <f t="shared" si="3"/>
        <v>0.016793939506476268</v>
      </c>
      <c r="D13" s="66">
        <f>+'SKC Waste Stream Report'!F11</f>
        <v>19.937779559542772</v>
      </c>
      <c r="E13" s="66">
        <f>+'SKC Waste Stream Report'!G11</f>
        <v>16.39531497352277</v>
      </c>
      <c r="F13" s="66">
        <f>+'SKC Waste Stream Report'!H11</f>
        <v>14.177197623587798</v>
      </c>
      <c r="G13" s="66">
        <f t="shared" si="4"/>
        <v>50.510292156653335</v>
      </c>
      <c r="I13" s="72">
        <v>48.45</v>
      </c>
      <c r="J13" s="89">
        <f t="shared" si="0"/>
        <v>965.9854196598474</v>
      </c>
      <c r="L13" s="72">
        <v>69.7</v>
      </c>
      <c r="M13" s="8">
        <f t="shared" si="1"/>
        <v>1142.753453654537</v>
      </c>
      <c r="O13" s="72">
        <v>59.74</v>
      </c>
      <c r="P13" s="8">
        <f t="shared" si="2"/>
        <v>846.945786033135</v>
      </c>
      <c r="R13" s="72">
        <f t="shared" si="5"/>
        <v>58.516483139331626</v>
      </c>
      <c r="S13" s="8">
        <f t="shared" si="6"/>
        <v>2955.6846593475193</v>
      </c>
    </row>
    <row r="14" spans="1:19" ht="12.75">
      <c r="A14" s="200" t="s">
        <v>1</v>
      </c>
      <c r="B14" s="3">
        <f t="shared" si="3"/>
        <v>0.1799634312736366</v>
      </c>
      <c r="D14" s="66">
        <f>+'SKC Waste Stream Report'!F12</f>
        <v>184.00218931558948</v>
      </c>
      <c r="E14" s="66">
        <f>+'SKC Waste Stream Report'!G12</f>
        <v>151.14776328162017</v>
      </c>
      <c r="F14" s="66">
        <f>+'SKC Waste Stream Report'!H12</f>
        <v>206.11706147294328</v>
      </c>
      <c r="G14" s="66">
        <f t="shared" si="4"/>
        <v>541.267014070153</v>
      </c>
      <c r="I14" s="72">
        <v>-43.35</v>
      </c>
      <c r="J14" s="89">
        <f t="shared" si="0"/>
        <v>-7976.494906830804</v>
      </c>
      <c r="L14" s="72">
        <v>-43.35</v>
      </c>
      <c r="M14" s="8">
        <f t="shared" si="1"/>
        <v>-6552.255538258235</v>
      </c>
      <c r="O14" s="72">
        <v>-43.35</v>
      </c>
      <c r="P14" s="8">
        <f t="shared" si="2"/>
        <v>-8935.17461485209</v>
      </c>
      <c r="R14" s="72">
        <f t="shared" si="5"/>
        <v>-43.35</v>
      </c>
      <c r="S14" s="8">
        <f t="shared" si="6"/>
        <v>-23463.92505994113</v>
      </c>
    </row>
    <row r="15" spans="1:19" ht="12.75">
      <c r="A15" s="200" t="s">
        <v>6</v>
      </c>
      <c r="B15" s="3">
        <f t="shared" si="3"/>
        <v>0.009524400048858902</v>
      </c>
      <c r="D15" s="66">
        <f>+'SKC Waste Stream Report'!F13</f>
        <v>10.461403334170354</v>
      </c>
      <c r="E15" s="66">
        <f>+'SKC Waste Stream Report'!G13</f>
        <v>8.190509554224345</v>
      </c>
      <c r="F15" s="66">
        <f>+'SKC Waste Stream Report'!H13</f>
        <v>9.994148918555773</v>
      </c>
      <c r="G15" s="66">
        <f t="shared" si="4"/>
        <v>28.64606180695047</v>
      </c>
      <c r="I15" s="72">
        <v>242.58</v>
      </c>
      <c r="J15" s="89">
        <f t="shared" si="0"/>
        <v>2537.7272208030445</v>
      </c>
      <c r="L15" s="72">
        <v>278.4</v>
      </c>
      <c r="M15" s="8">
        <f t="shared" si="1"/>
        <v>2280.2378598960577</v>
      </c>
      <c r="O15" s="72">
        <v>226.21</v>
      </c>
      <c r="P15" s="8">
        <f t="shared" si="2"/>
        <v>2260.7764268665014</v>
      </c>
      <c r="R15" s="72">
        <f t="shared" si="5"/>
        <v>247.11045990440715</v>
      </c>
      <c r="S15" s="8">
        <f t="shared" si="6"/>
        <v>7078.741507565604</v>
      </c>
    </row>
    <row r="16" spans="1:19" ht="12.75">
      <c r="A16" s="200" t="s">
        <v>101</v>
      </c>
      <c r="B16" s="3">
        <f t="shared" si="3"/>
        <v>0.007662908487333719</v>
      </c>
      <c r="D16" s="66">
        <f>+'SKC Waste Stream Report'!F14</f>
        <v>7.88240339004789</v>
      </c>
      <c r="E16" s="66">
        <f>+'SKC Waste Stream Report'!G14</f>
        <v>8.112903429536521</v>
      </c>
      <c r="F16" s="66">
        <f>+'SKC Waste Stream Report'!H14</f>
        <v>7.052039892344844</v>
      </c>
      <c r="G16" s="66">
        <f t="shared" si="4"/>
        <v>23.047346711929254</v>
      </c>
      <c r="I16" s="72">
        <v>83.92</v>
      </c>
      <c r="J16" s="89">
        <f t="shared" si="0"/>
        <v>661.491292492819</v>
      </c>
      <c r="L16" s="72">
        <v>37.16</v>
      </c>
      <c r="M16" s="8">
        <f t="shared" si="1"/>
        <v>301.4754914415771</v>
      </c>
      <c r="O16" s="72">
        <v>312.08</v>
      </c>
      <c r="P16" s="8">
        <f t="shared" si="2"/>
        <v>2200.800609602979</v>
      </c>
      <c r="R16" s="72">
        <f t="shared" si="5"/>
        <v>137.2725213484039</v>
      </c>
      <c r="S16" s="8">
        <f t="shared" si="6"/>
        <v>3163.767393537375</v>
      </c>
    </row>
    <row r="17" spans="1:19" ht="12.75">
      <c r="A17" s="200" t="s">
        <v>102</v>
      </c>
      <c r="B17" s="3">
        <f t="shared" si="3"/>
        <v>0.006309896552203544</v>
      </c>
      <c r="D17" s="66">
        <f>+'SKC Waste Stream Report'!F15</f>
        <v>6.150679815868159</v>
      </c>
      <c r="E17" s="66">
        <f>+'SKC Waste Stream Report'!G15</f>
        <v>5.986904066377927</v>
      </c>
      <c r="F17" s="66">
        <f>+'SKC Waste Stream Report'!H15</f>
        <v>6.840376482988899</v>
      </c>
      <c r="G17" s="66">
        <f t="shared" si="4"/>
        <v>18.977960365234985</v>
      </c>
      <c r="I17" s="72">
        <v>287.55</v>
      </c>
      <c r="J17" s="89">
        <f t="shared" si="0"/>
        <v>1768.6279810528893</v>
      </c>
      <c r="L17" s="72">
        <v>307.09</v>
      </c>
      <c r="M17" s="8">
        <f t="shared" si="1"/>
        <v>1838.5183697439975</v>
      </c>
      <c r="O17" s="72">
        <v>252.63</v>
      </c>
      <c r="P17" s="8">
        <f t="shared" si="2"/>
        <v>1728.0843108974855</v>
      </c>
      <c r="R17" s="72">
        <f t="shared" si="5"/>
        <v>281.1277165204635</v>
      </c>
      <c r="S17" s="8">
        <f t="shared" si="6"/>
        <v>5335.230661694372</v>
      </c>
    </row>
    <row r="18" spans="1:19" ht="12.75">
      <c r="A18" s="200" t="s">
        <v>103</v>
      </c>
      <c r="B18" s="3">
        <f t="shared" si="3"/>
        <v>0.0035811295182198856</v>
      </c>
      <c r="D18" s="66">
        <f>+'SKC Waste Stream Report'!F16</f>
        <v>2.7570020181851205</v>
      </c>
      <c r="E18" s="66">
        <f>+'SKC Waste Stream Report'!G16</f>
        <v>5.104644964663696</v>
      </c>
      <c r="F18" s="66">
        <f>+'SKC Waste Stream Report'!H16</f>
        <v>2.90913721262522</v>
      </c>
      <c r="G18" s="66">
        <f t="shared" si="4"/>
        <v>10.770784195474036</v>
      </c>
      <c r="I18" s="72">
        <v>-3.16</v>
      </c>
      <c r="J18" s="89">
        <f t="shared" si="0"/>
        <v>-8.712126377464982</v>
      </c>
      <c r="L18" s="72">
        <v>-2.18</v>
      </c>
      <c r="M18" s="8">
        <f t="shared" si="1"/>
        <v>-11.128126022966859</v>
      </c>
      <c r="O18" s="72">
        <v>30.34</v>
      </c>
      <c r="P18" s="8">
        <f t="shared" si="2"/>
        <v>88.26322303104918</v>
      </c>
      <c r="R18" s="72">
        <f>+S18/G18</f>
        <v>6.352645210305967</v>
      </c>
      <c r="S18" s="8">
        <f>+P18+M18+J18</f>
        <v>68.42297063061734</v>
      </c>
    </row>
    <row r="19" spans="1:19" ht="15">
      <c r="A19" s="2" t="s">
        <v>4</v>
      </c>
      <c r="B19" s="68">
        <f t="shared" si="3"/>
        <v>0.0650541120143634</v>
      </c>
      <c r="D19" s="67">
        <f>+'SKC Waste Stream Report'!F17</f>
        <v>69.18</v>
      </c>
      <c r="E19" s="67">
        <f>+'SKC Waste Stream Report'!G17</f>
        <v>56.05</v>
      </c>
      <c r="F19" s="67">
        <f>+'SKC Waste Stream Report'!H17</f>
        <v>70.43</v>
      </c>
      <c r="G19" s="67">
        <f t="shared" si="4"/>
        <v>195.66000000000003</v>
      </c>
      <c r="I19" s="75">
        <v>-82.5</v>
      </c>
      <c r="J19" s="139">
        <f t="shared" si="0"/>
        <v>-5707.35</v>
      </c>
      <c r="L19" s="75">
        <v>-82.5</v>
      </c>
      <c r="M19" s="120">
        <f t="shared" si="1"/>
        <v>-4624.125</v>
      </c>
      <c r="O19" s="75">
        <v>-82.5</v>
      </c>
      <c r="P19" s="120">
        <f t="shared" si="2"/>
        <v>-5810.475</v>
      </c>
      <c r="R19" s="72">
        <f>+S19/G19</f>
        <v>-82.5</v>
      </c>
      <c r="S19" s="120">
        <f>+P19+M19+J19</f>
        <v>-16141.95</v>
      </c>
    </row>
    <row r="20" spans="2:19" ht="12.75">
      <c r="B20" s="69">
        <f>SUM(B10:B19)</f>
        <v>1.0000000000000004</v>
      </c>
      <c r="C20" s="70"/>
      <c r="D20" s="71">
        <f>SUM(D10:D19)</f>
        <v>1085.86</v>
      </c>
      <c r="E20" s="71">
        <f>SUM(E10:E19)</f>
        <v>882.97</v>
      </c>
      <c r="F20" s="71">
        <f>SUM(F10:F19)</f>
        <v>1038.82</v>
      </c>
      <c r="G20" s="71">
        <f>SUM(G10:G19)</f>
        <v>3007.649999999999</v>
      </c>
      <c r="H20" s="71"/>
      <c r="I20" s="71"/>
      <c r="J20" s="140">
        <f>SUM(J10:J19)</f>
        <v>62403.1195765309</v>
      </c>
      <c r="L20" s="71"/>
      <c r="M20" s="140">
        <f>SUM(M10:M19)</f>
        <v>52826.93182906251</v>
      </c>
      <c r="O20" s="71"/>
      <c r="P20" s="140">
        <f>SUM(P10:P19)</f>
        <v>56736.3172384334</v>
      </c>
      <c r="R20" s="71"/>
      <c r="S20" s="140">
        <f>SUM(S10:S19)</f>
        <v>171966.36864402678</v>
      </c>
    </row>
    <row r="23" spans="1:19" ht="12.75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</row>
    <row r="25" spans="1:16" ht="14.25">
      <c r="A25" s="117" t="s">
        <v>105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9" ht="12.75">
      <c r="A27" s="4"/>
      <c r="B27" s="4" t="s">
        <v>41</v>
      </c>
      <c r="C27" s="4"/>
      <c r="D27" s="238" t="s">
        <v>45</v>
      </c>
      <c r="E27" s="238"/>
      <c r="F27" s="238"/>
      <c r="G27" s="238"/>
      <c r="H27" s="4"/>
      <c r="I27" s="238" t="s">
        <v>7</v>
      </c>
      <c r="J27" s="238"/>
      <c r="K27" s="4"/>
      <c r="L27" s="238" t="s">
        <v>8</v>
      </c>
      <c r="M27" s="238"/>
      <c r="N27" s="4"/>
      <c r="O27" s="238" t="s">
        <v>9</v>
      </c>
      <c r="P27" s="238"/>
      <c r="R27" s="238" t="s">
        <v>106</v>
      </c>
      <c r="S27" s="238"/>
    </row>
    <row r="28" spans="1:19" ht="12.75">
      <c r="A28" s="7" t="s">
        <v>94</v>
      </c>
      <c r="B28" s="7" t="s">
        <v>42</v>
      </c>
      <c r="C28" s="7"/>
      <c r="D28" s="7" t="s">
        <v>7</v>
      </c>
      <c r="E28" s="7" t="s">
        <v>8</v>
      </c>
      <c r="F28" s="7" t="s">
        <v>9</v>
      </c>
      <c r="G28" s="7" t="s">
        <v>14</v>
      </c>
      <c r="H28" s="7"/>
      <c r="I28" s="7" t="s">
        <v>46</v>
      </c>
      <c r="J28" s="7" t="s">
        <v>47</v>
      </c>
      <c r="K28" s="7"/>
      <c r="L28" s="7" t="s">
        <v>46</v>
      </c>
      <c r="M28" s="7" t="s">
        <v>47</v>
      </c>
      <c r="N28" s="7"/>
      <c r="O28" s="7" t="s">
        <v>46</v>
      </c>
      <c r="P28" s="7" t="s">
        <v>47</v>
      </c>
      <c r="R28" s="7" t="s">
        <v>46</v>
      </c>
      <c r="S28" s="7" t="s">
        <v>47</v>
      </c>
    </row>
    <row r="30" spans="1:19" ht="12.75">
      <c r="A30" s="200" t="s">
        <v>5</v>
      </c>
      <c r="B30" s="3">
        <f>+G30/$G$40</f>
        <v>0.45809898954399764</v>
      </c>
      <c r="D30" s="66">
        <f>+'Sno-King Waste Stream Report'!F8</f>
        <v>545.9865995057974</v>
      </c>
      <c r="E30" s="66">
        <f>+'Sno-King Waste Stream Report'!G8</f>
        <v>373.57439296248026</v>
      </c>
      <c r="F30" s="66">
        <f>+'Sno-King Waste Stream Report'!H8</f>
        <v>367.66968221098324</v>
      </c>
      <c r="G30" s="66">
        <f>SUM(D30:F30)</f>
        <v>1287.2306746792608</v>
      </c>
      <c r="I30" s="72">
        <f>+I10</f>
        <v>70.65</v>
      </c>
      <c r="J30" s="138">
        <f aca="true" t="shared" si="7" ref="J30:J39">+I30*D30</f>
        <v>38573.95325508458</v>
      </c>
      <c r="L30" s="72">
        <f>+L10</f>
        <v>74.2</v>
      </c>
      <c r="M30" s="138">
        <f aca="true" t="shared" si="8" ref="M30:M39">+L30*E30</f>
        <v>27719.219957816036</v>
      </c>
      <c r="O30" s="72">
        <f>+O10</f>
        <v>75.27</v>
      </c>
      <c r="P30" s="138">
        <f aca="true" t="shared" si="9" ref="P30:P39">+O30*F30</f>
        <v>27674.496980020707</v>
      </c>
      <c r="R30" s="72">
        <f>+S30/G30</f>
        <v>72.99986866482594</v>
      </c>
      <c r="S30" s="138">
        <f>+P30+M30+J30</f>
        <v>93967.67019292133</v>
      </c>
    </row>
    <row r="31" spans="1:19" ht="12.75">
      <c r="A31" s="200" t="s">
        <v>2</v>
      </c>
      <c r="B31" s="3">
        <f aca="true" t="shared" si="10" ref="B31:B39">+G31/$G$40</f>
        <v>0.24548683527712378</v>
      </c>
      <c r="D31" s="66">
        <f>+'Sno-King Waste Stream Report'!F9</f>
        <v>243.93618133434708</v>
      </c>
      <c r="E31" s="66">
        <f>+'Sno-King Waste Stream Report'!G9</f>
        <v>192.85854196675584</v>
      </c>
      <c r="F31" s="66">
        <f>+'Sno-King Waste Stream Report'!H9</f>
        <v>253.0085546174983</v>
      </c>
      <c r="G31" s="66">
        <f aca="true" t="shared" si="11" ref="G31:G38">SUM(D31:F31)</f>
        <v>689.8032779186012</v>
      </c>
      <c r="I31" s="72">
        <f aca="true" t="shared" si="12" ref="I31:I39">+I11</f>
        <v>86.42</v>
      </c>
      <c r="J31" s="89">
        <f t="shared" si="7"/>
        <v>21080.964790914277</v>
      </c>
      <c r="L31" s="72">
        <f aca="true" t="shared" si="13" ref="L31:L39">+L11</f>
        <v>88.89</v>
      </c>
      <c r="M31" s="8">
        <f t="shared" si="8"/>
        <v>17143.195795424926</v>
      </c>
      <c r="O31" s="72">
        <f aca="true" t="shared" si="14" ref="O31:O39">+O11</f>
        <v>86.45</v>
      </c>
      <c r="P31" s="8">
        <f t="shared" si="9"/>
        <v>21872.589546682728</v>
      </c>
      <c r="R31" s="72">
        <f aca="true" t="shared" si="15" ref="R31:R39">+S31/G31</f>
        <v>87.1215780741963</v>
      </c>
      <c r="S31" s="8">
        <f>+P31+M31+J31</f>
        <v>60096.75013302194</v>
      </c>
    </row>
    <row r="32" spans="1:19" ht="12.75">
      <c r="A32" s="200" t="s">
        <v>0</v>
      </c>
      <c r="B32" s="3">
        <f t="shared" si="10"/>
        <v>0.008239889545784532</v>
      </c>
      <c r="D32" s="66">
        <f>+'Sno-King Waste Stream Report'!F10</f>
        <v>9.71849458277894</v>
      </c>
      <c r="E32" s="66">
        <f>+'Sno-King Waste Stream Report'!G10</f>
        <v>7.268451768525505</v>
      </c>
      <c r="F32" s="66">
        <f>+'Sno-King Waste Stream Report'!H10</f>
        <v>6.166648878977341</v>
      </c>
      <c r="G32" s="66">
        <f t="shared" si="11"/>
        <v>23.153595230281788</v>
      </c>
      <c r="I32" s="72">
        <f t="shared" si="12"/>
        <v>1210.7</v>
      </c>
      <c r="J32" s="89">
        <f t="shared" si="7"/>
        <v>11766.181391370463</v>
      </c>
      <c r="L32" s="72">
        <f t="shared" si="13"/>
        <v>1128.22</v>
      </c>
      <c r="M32" s="8">
        <f t="shared" si="8"/>
        <v>8200.412654285845</v>
      </c>
      <c r="O32" s="72">
        <f t="shared" si="14"/>
        <v>1034.97</v>
      </c>
      <c r="P32" s="8">
        <f t="shared" si="9"/>
        <v>6382.2965902751785</v>
      </c>
      <c r="R32" s="72">
        <f t="shared" si="15"/>
        <v>1138.0042871903834</v>
      </c>
      <c r="S32" s="8">
        <f>+P32+M32+J32</f>
        <v>26348.890635931486</v>
      </c>
    </row>
    <row r="33" spans="1:19" ht="12.75">
      <c r="A33" s="200" t="s">
        <v>3</v>
      </c>
      <c r="B33" s="3">
        <f t="shared" si="10"/>
        <v>0.016900527382620562</v>
      </c>
      <c r="D33" s="66">
        <f>+'Sno-King Waste Stream Report'!F11</f>
        <v>20.29276753468922</v>
      </c>
      <c r="E33" s="66">
        <f>+'Sno-King Waste Stream Report'!G11</f>
        <v>14.88015981891762</v>
      </c>
      <c r="F33" s="66">
        <f>+'Sno-King Waste Stream Report'!H11</f>
        <v>12.316540559913982</v>
      </c>
      <c r="G33" s="66">
        <f t="shared" si="11"/>
        <v>47.48946791352082</v>
      </c>
      <c r="I33" s="72">
        <f t="shared" si="12"/>
        <v>48.45</v>
      </c>
      <c r="J33" s="89">
        <f t="shared" si="7"/>
        <v>983.1845870556928</v>
      </c>
      <c r="L33" s="72">
        <f t="shared" si="13"/>
        <v>69.7</v>
      </c>
      <c r="M33" s="8">
        <f t="shared" si="8"/>
        <v>1037.1471393785582</v>
      </c>
      <c r="O33" s="72">
        <f t="shared" si="14"/>
        <v>59.74</v>
      </c>
      <c r="P33" s="8">
        <f t="shared" si="9"/>
        <v>735.7901330492613</v>
      </c>
      <c r="R33" s="72">
        <f t="shared" si="15"/>
        <v>58.03648641636626</v>
      </c>
      <c r="S33" s="8">
        <f>+P33+M33+J33</f>
        <v>2756.1218594835123</v>
      </c>
    </row>
    <row r="34" spans="1:19" ht="12.75">
      <c r="A34" s="200" t="s">
        <v>1</v>
      </c>
      <c r="B34" s="3">
        <f t="shared" si="10"/>
        <v>0.17923915928281942</v>
      </c>
      <c r="D34" s="66">
        <f>+'Sno-King Waste Stream Report'!F12</f>
        <v>187.31709750997908</v>
      </c>
      <c r="E34" s="66">
        <f>+'Sno-King Waste Stream Report'!G12</f>
        <v>137.20811726913138</v>
      </c>
      <c r="F34" s="66">
        <f>+'Sno-King Waste Stream Report'!H12</f>
        <v>179.1260684560551</v>
      </c>
      <c r="G34" s="66">
        <f t="shared" si="11"/>
        <v>503.6512832351656</v>
      </c>
      <c r="I34" s="72">
        <f t="shared" si="12"/>
        <v>-43.35</v>
      </c>
      <c r="J34" s="89">
        <f t="shared" si="7"/>
        <v>-8120.196177057594</v>
      </c>
      <c r="L34" s="72">
        <f t="shared" si="13"/>
        <v>-43.35</v>
      </c>
      <c r="M34" s="8">
        <f t="shared" si="8"/>
        <v>-5947.971883616846</v>
      </c>
      <c r="O34" s="72">
        <f t="shared" si="14"/>
        <v>-43.35</v>
      </c>
      <c r="P34" s="8">
        <f t="shared" si="9"/>
        <v>-7765.115067569988</v>
      </c>
      <c r="R34" s="72">
        <f t="shared" si="15"/>
        <v>-43.35</v>
      </c>
      <c r="S34" s="8">
        <f aca="true" t="shared" si="16" ref="S34:S39">+P34+M34+J34</f>
        <v>-21833.283128244428</v>
      </c>
    </row>
    <row r="35" spans="1:19" ht="12.75">
      <c r="A35" s="200" t="s">
        <v>6</v>
      </c>
      <c r="B35" s="3">
        <f t="shared" si="10"/>
        <v>0.009527986683791533</v>
      </c>
      <c r="D35" s="66">
        <f>+'Sno-King Waste Stream Report'!F13</f>
        <v>10.652965215738453</v>
      </c>
      <c r="E35" s="66">
        <f>+'Sno-King Waste Stream Report'!G13</f>
        <v>7.431498502412145</v>
      </c>
      <c r="F35" s="66">
        <f>+'Sno-King Waste Stream Report'!H13</f>
        <v>8.688607184102585</v>
      </c>
      <c r="G35" s="66">
        <f t="shared" si="11"/>
        <v>26.77307090225318</v>
      </c>
      <c r="I35" s="72">
        <f t="shared" si="12"/>
        <v>242.58</v>
      </c>
      <c r="J35" s="89">
        <f t="shared" si="7"/>
        <v>2584.196302033834</v>
      </c>
      <c r="L35" s="72">
        <f t="shared" si="13"/>
        <v>278.4</v>
      </c>
      <c r="M35" s="8">
        <f t="shared" si="8"/>
        <v>2068.929183071541</v>
      </c>
      <c r="O35" s="72">
        <f t="shared" si="14"/>
        <v>226.21</v>
      </c>
      <c r="P35" s="8">
        <f t="shared" si="9"/>
        <v>1965.4498311158459</v>
      </c>
      <c r="R35" s="72">
        <f t="shared" si="15"/>
        <v>247.2101665283459</v>
      </c>
      <c r="S35" s="8">
        <f t="shared" si="16"/>
        <v>6618.57531622122</v>
      </c>
    </row>
    <row r="36" spans="1:19" ht="12.75">
      <c r="A36" s="200" t="s">
        <v>101</v>
      </c>
      <c r="B36" s="3">
        <f t="shared" si="10"/>
        <v>0.007659449183757681</v>
      </c>
      <c r="D36" s="66">
        <f>+'Sno-King Waste Stream Report'!F14</f>
        <v>8.026610910473293</v>
      </c>
      <c r="E36" s="66">
        <f>+'Sno-King Waste Stream Report'!G14</f>
        <v>7.3628472460388235</v>
      </c>
      <c r="F36" s="66">
        <f>+'Sno-King Waste Stream Report'!H14</f>
        <v>6.133134482895942</v>
      </c>
      <c r="G36" s="66">
        <f t="shared" si="11"/>
        <v>21.52259263940806</v>
      </c>
      <c r="I36" s="72">
        <f t="shared" si="12"/>
        <v>83.92</v>
      </c>
      <c r="J36" s="89">
        <f t="shared" si="7"/>
        <v>673.5931876069187</v>
      </c>
      <c r="L36" s="72">
        <f t="shared" si="13"/>
        <v>37.16</v>
      </c>
      <c r="M36" s="8">
        <f t="shared" si="8"/>
        <v>273.60340366280263</v>
      </c>
      <c r="O36" s="72">
        <f t="shared" si="14"/>
        <v>312.08</v>
      </c>
      <c r="P36" s="8">
        <f t="shared" si="9"/>
        <v>1914.0286094221656</v>
      </c>
      <c r="R36" s="72">
        <f t="shared" si="15"/>
        <v>132.9405452507129</v>
      </c>
      <c r="S36" s="8">
        <f t="shared" si="16"/>
        <v>2861.225200691887</v>
      </c>
    </row>
    <row r="37" spans="1:19" ht="12.75">
      <c r="A37" s="200" t="s">
        <v>102</v>
      </c>
      <c r="B37" s="3">
        <f t="shared" si="10"/>
        <v>0.00628010116668163</v>
      </c>
      <c r="D37" s="66">
        <f>+'Sno-King Waste Stream Report'!F15</f>
        <v>6.265871507318</v>
      </c>
      <c r="E37" s="66">
        <f>+'Sno-King Waste Stream Report'!G15</f>
        <v>5.432030660539131</v>
      </c>
      <c r="F37" s="66">
        <f>+'Sno-King Waste Stream Report'!H15</f>
        <v>5.94880530444825</v>
      </c>
      <c r="G37" s="66">
        <f t="shared" si="11"/>
        <v>17.64670747230538</v>
      </c>
      <c r="I37" s="72">
        <f t="shared" si="12"/>
        <v>287.55</v>
      </c>
      <c r="J37" s="89">
        <f t="shared" si="7"/>
        <v>1801.7513519292909</v>
      </c>
      <c r="L37" s="72">
        <f t="shared" si="13"/>
        <v>307.09</v>
      </c>
      <c r="M37" s="8">
        <f t="shared" si="8"/>
        <v>1668.1222955449616</v>
      </c>
      <c r="O37" s="72">
        <f t="shared" si="14"/>
        <v>252.63</v>
      </c>
      <c r="P37" s="8">
        <f t="shared" si="9"/>
        <v>1502.8466840627614</v>
      </c>
      <c r="R37" s="72">
        <f t="shared" si="15"/>
        <v>281.7930959268842</v>
      </c>
      <c r="S37" s="8">
        <f t="shared" si="16"/>
        <v>4972.720331537013</v>
      </c>
    </row>
    <row r="38" spans="1:19" ht="12.75">
      <c r="A38" s="200" t="s">
        <v>103</v>
      </c>
      <c r="B38" s="3">
        <f t="shared" si="10"/>
        <v>0.003544321234333489</v>
      </c>
      <c r="D38" s="66">
        <f>+'Sno-King Waste Stream Report'!F16</f>
        <v>2.80341189887854</v>
      </c>
      <c r="E38" s="66">
        <f>+'Sno-King Waste Stream Report'!G16</f>
        <v>4.633959805199259</v>
      </c>
      <c r="F38" s="66">
        <f>+'Sno-King Waste Stream Report'!H16</f>
        <v>2.521958305125244</v>
      </c>
      <c r="G38" s="66">
        <f t="shared" si="11"/>
        <v>9.959330009203043</v>
      </c>
      <c r="I38" s="72">
        <f t="shared" si="12"/>
        <v>-3.16</v>
      </c>
      <c r="J38" s="89">
        <f t="shared" si="7"/>
        <v>-8.858781600456187</v>
      </c>
      <c r="L38" s="72">
        <f t="shared" si="13"/>
        <v>-2.18</v>
      </c>
      <c r="M38" s="8">
        <f t="shared" si="8"/>
        <v>-10.102032375334385</v>
      </c>
      <c r="O38" s="72">
        <f t="shared" si="14"/>
        <v>30.34</v>
      </c>
      <c r="P38" s="8">
        <f t="shared" si="9"/>
        <v>76.5162149774999</v>
      </c>
      <c r="R38" s="72">
        <f t="shared" si="15"/>
        <v>5.779043464623076</v>
      </c>
      <c r="S38" s="8">
        <f t="shared" si="16"/>
        <v>57.55540100170933</v>
      </c>
    </row>
    <row r="39" spans="1:19" ht="15">
      <c r="A39" s="2" t="s">
        <v>4</v>
      </c>
      <c r="B39" s="68">
        <f t="shared" si="10"/>
        <v>0.06502274069908966</v>
      </c>
      <c r="D39" s="67">
        <f>+'Sno-King Waste Stream Report'!F17</f>
        <v>70.43</v>
      </c>
      <c r="E39" s="67">
        <f>+'Sno-King Waste Stream Report'!G17</f>
        <v>50.88</v>
      </c>
      <c r="F39" s="67">
        <f>+'Sno-King Waste Stream Report'!H17</f>
        <v>61.4</v>
      </c>
      <c r="G39" s="67">
        <f>SUM(D39:F39)</f>
        <v>182.71</v>
      </c>
      <c r="I39" s="72">
        <f t="shared" si="12"/>
        <v>-82.5</v>
      </c>
      <c r="J39" s="139">
        <f t="shared" si="7"/>
        <v>-5810.475</v>
      </c>
      <c r="L39" s="72">
        <f t="shared" si="13"/>
        <v>-82.5</v>
      </c>
      <c r="M39" s="120">
        <f t="shared" si="8"/>
        <v>-4197.6</v>
      </c>
      <c r="O39" s="72">
        <f t="shared" si="14"/>
        <v>-82.5</v>
      </c>
      <c r="P39" s="120">
        <f t="shared" si="9"/>
        <v>-5065.5</v>
      </c>
      <c r="R39" s="72">
        <f t="shared" si="15"/>
        <v>-82.5</v>
      </c>
      <c r="S39" s="120">
        <f t="shared" si="16"/>
        <v>-15073.575</v>
      </c>
    </row>
    <row r="40" spans="2:19" ht="12.75">
      <c r="B40" s="69">
        <f>SUM(B30:B39)</f>
        <v>1</v>
      </c>
      <c r="C40" s="70"/>
      <c r="D40" s="71">
        <f>SUM(D30:D39)</f>
        <v>1105.43</v>
      </c>
      <c r="E40" s="71">
        <f>SUM(E30:E39)</f>
        <v>801.5300000000001</v>
      </c>
      <c r="F40" s="71">
        <f>SUM(F30:F39)</f>
        <v>902.9799999999999</v>
      </c>
      <c r="G40" s="71">
        <f>SUM(G30:G39)</f>
        <v>2809.94</v>
      </c>
      <c r="H40" s="71"/>
      <c r="I40" s="71"/>
      <c r="J40" s="140">
        <f>SUM(J30:J39)</f>
        <v>63524.294907337004</v>
      </c>
      <c r="L40" s="71"/>
      <c r="M40" s="140">
        <f>SUM(M30:M39)</f>
        <v>47954.95651319249</v>
      </c>
      <c r="O40" s="71"/>
      <c r="P40" s="140">
        <f>SUM(P30:P39)</f>
        <v>49293.399522036154</v>
      </c>
      <c r="R40" s="71"/>
      <c r="S40" s="140">
        <f>SUM(S30:S39)</f>
        <v>160772.65094256567</v>
      </c>
    </row>
  </sheetData>
  <mergeCells count="10">
    <mergeCell ref="R7:S7"/>
    <mergeCell ref="R27:S27"/>
    <mergeCell ref="D7:G7"/>
    <mergeCell ref="D27:G27"/>
    <mergeCell ref="I7:J7"/>
    <mergeCell ref="L7:M7"/>
    <mergeCell ref="O7:P7"/>
    <mergeCell ref="I27:J27"/>
    <mergeCell ref="L27:M27"/>
    <mergeCell ref="O27:P27"/>
  </mergeCells>
  <printOptions/>
  <pageMargins left="0.75" right="0" top="0.5" bottom="0" header="0.5" footer="0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13.00390625" style="0" customWidth="1"/>
    <col min="3" max="3" width="2.57421875" style="0" customWidth="1"/>
    <col min="8" max="8" width="2.8515625" style="0" customWidth="1"/>
    <col min="9" max="10" width="10.28125" style="0" bestFit="1" customWidth="1"/>
    <col min="11" max="11" width="3.00390625" style="0" customWidth="1"/>
    <col min="12" max="13" width="10.28125" style="0" bestFit="1" customWidth="1"/>
    <col min="14" max="14" width="2.421875" style="0" customWidth="1"/>
    <col min="15" max="16" width="10.28125" style="0" bestFit="1" customWidth="1"/>
    <col min="17" max="17" width="3.57421875" style="0" customWidth="1"/>
    <col min="18" max="18" width="10.28125" style="0" bestFit="1" customWidth="1"/>
  </cols>
  <sheetData>
    <row r="1" ht="20.25">
      <c r="A1" s="164" t="s">
        <v>92</v>
      </c>
    </row>
    <row r="5" ht="14.25">
      <c r="A5" s="119" t="s">
        <v>104</v>
      </c>
    </row>
    <row r="7" spans="1:19" ht="12.75">
      <c r="A7" s="4"/>
      <c r="B7" s="4" t="s">
        <v>41</v>
      </c>
      <c r="C7" s="4"/>
      <c r="D7" s="238" t="s">
        <v>45</v>
      </c>
      <c r="E7" s="238"/>
      <c r="F7" s="238"/>
      <c r="G7" s="238"/>
      <c r="H7" s="4"/>
      <c r="I7" s="238" t="s">
        <v>12</v>
      </c>
      <c r="J7" s="238"/>
      <c r="K7" s="4"/>
      <c r="L7" s="238" t="s">
        <v>16</v>
      </c>
      <c r="M7" s="238"/>
      <c r="N7" s="4"/>
      <c r="O7" s="238" t="s">
        <v>17</v>
      </c>
      <c r="P7" s="238"/>
      <c r="R7" s="238" t="s">
        <v>88</v>
      </c>
      <c r="S7" s="238"/>
    </row>
    <row r="8" spans="1:19" ht="12.75">
      <c r="A8" s="7" t="s">
        <v>94</v>
      </c>
      <c r="B8" s="7" t="s">
        <v>42</v>
      </c>
      <c r="C8" s="7"/>
      <c r="D8" s="7" t="s">
        <v>43</v>
      </c>
      <c r="E8" s="7" t="s">
        <v>13</v>
      </c>
      <c r="F8" s="7" t="s">
        <v>44</v>
      </c>
      <c r="G8" s="7" t="s">
        <v>14</v>
      </c>
      <c r="H8" s="7"/>
      <c r="I8" s="7" t="s">
        <v>46</v>
      </c>
      <c r="J8" s="7" t="s">
        <v>47</v>
      </c>
      <c r="K8" s="7"/>
      <c r="L8" s="7" t="s">
        <v>46</v>
      </c>
      <c r="M8" s="7" t="s">
        <v>47</v>
      </c>
      <c r="N8" s="7"/>
      <c r="O8" s="7" t="s">
        <v>46</v>
      </c>
      <c r="P8" s="7" t="s">
        <v>47</v>
      </c>
      <c r="R8" s="7" t="s">
        <v>46</v>
      </c>
      <c r="S8" s="7" t="s">
        <v>47</v>
      </c>
    </row>
    <row r="10" spans="1:19" ht="12.75">
      <c r="A10" s="200" t="s">
        <v>5</v>
      </c>
      <c r="B10" s="3">
        <f>+'Residential Commodity Revenue'!B10</f>
        <v>0.45580908571891365</v>
      </c>
      <c r="D10" s="66">
        <f aca="true" t="shared" si="0" ref="D10:F19">+$B10*D$20</f>
        <v>24.06216163510145</v>
      </c>
      <c r="E10" s="66">
        <f t="shared" si="0"/>
        <v>25.885397977977107</v>
      </c>
      <c r="F10" s="66">
        <f t="shared" si="0"/>
        <v>32.75899899061832</v>
      </c>
      <c r="G10" s="66">
        <f>SUM(D10:F10)</f>
        <v>82.70655860369688</v>
      </c>
      <c r="I10" s="72">
        <f>+'Residential Commodity Revenue'!I10</f>
        <v>70.65</v>
      </c>
      <c r="J10" s="138">
        <f aca="true" t="shared" si="1" ref="J10:J19">+I10*D10</f>
        <v>1699.9917195199175</v>
      </c>
      <c r="L10" s="72">
        <f>+'Residential Commodity Revenue'!L10</f>
        <v>74.2</v>
      </c>
      <c r="M10" s="138">
        <f aca="true" t="shared" si="2" ref="M10:M19">+L10*E10</f>
        <v>1920.6965299659014</v>
      </c>
      <c r="N10" s="72"/>
      <c r="O10" s="72">
        <f>+'Residential Commodity Revenue'!O10</f>
        <v>75.27</v>
      </c>
      <c r="P10" s="138">
        <f aca="true" t="shared" si="3" ref="P10:P19">+O10*F10</f>
        <v>2465.769854023841</v>
      </c>
      <c r="R10" s="72">
        <f>+S10/G10</f>
        <v>73.59099696886194</v>
      </c>
      <c r="S10" s="138">
        <f>+P10+M10+J10</f>
        <v>6086.45810350966</v>
      </c>
    </row>
    <row r="11" spans="1:19" ht="12.75">
      <c r="A11" s="200" t="s">
        <v>2</v>
      </c>
      <c r="B11" s="3">
        <f>+'Residential Commodity Revenue'!B11</f>
        <v>0.24710476933959377</v>
      </c>
      <c r="D11" s="66">
        <f t="shared" si="0"/>
        <v>13.044660773437155</v>
      </c>
      <c r="E11" s="66">
        <f t="shared" si="0"/>
        <v>14.03307985079553</v>
      </c>
      <c r="F11" s="66">
        <f t="shared" si="0"/>
        <v>17.759419772436605</v>
      </c>
      <c r="G11" s="66">
        <f aca="true" t="shared" si="4" ref="G11:G19">SUM(D11:F11)</f>
        <v>44.83716039666929</v>
      </c>
      <c r="I11" s="72">
        <f>+'Residential Commodity Revenue'!I11</f>
        <v>86.42</v>
      </c>
      <c r="J11" s="89">
        <f t="shared" si="1"/>
        <v>1127.319584040439</v>
      </c>
      <c r="L11" s="72">
        <f>+'Residential Commodity Revenue'!L11</f>
        <v>88.89</v>
      </c>
      <c r="M11" s="8">
        <f t="shared" si="2"/>
        <v>1247.4004679372147</v>
      </c>
      <c r="O11" s="72">
        <f>+'Residential Commodity Revenue'!O11</f>
        <v>86.45</v>
      </c>
      <c r="P11" s="8">
        <f t="shared" si="3"/>
        <v>1535.3018393271445</v>
      </c>
      <c r="R11" s="72">
        <f aca="true" t="shared" si="5" ref="R11:R20">+S11/G11</f>
        <v>87.20494020391293</v>
      </c>
      <c r="S11" s="8">
        <f aca="true" t="shared" si="6" ref="S11:S19">+P11+M11+J11</f>
        <v>3910.0218913047984</v>
      </c>
    </row>
    <row r="12" spans="1:19" ht="12.75">
      <c r="A12" s="200" t="s">
        <v>0</v>
      </c>
      <c r="B12" s="3">
        <f>+'Residential Commodity Revenue'!B12</f>
        <v>0.008196327540400587</v>
      </c>
      <c r="D12" s="66">
        <f t="shared" si="0"/>
        <v>0.432684130857747</v>
      </c>
      <c r="E12" s="66">
        <f t="shared" si="0"/>
        <v>0.46546944101934934</v>
      </c>
      <c r="F12" s="66">
        <f t="shared" si="0"/>
        <v>0.5890700603285902</v>
      </c>
      <c r="G12" s="66">
        <f t="shared" si="4"/>
        <v>1.4872236322056867</v>
      </c>
      <c r="I12" s="72">
        <f>+'Residential Commodity Revenue'!I12</f>
        <v>1210.7</v>
      </c>
      <c r="J12" s="89">
        <f t="shared" si="1"/>
        <v>523.8506772294743</v>
      </c>
      <c r="L12" s="72">
        <f>+'Residential Commodity Revenue'!L12</f>
        <v>1128.22</v>
      </c>
      <c r="M12" s="8">
        <f t="shared" si="2"/>
        <v>525.1519327468503</v>
      </c>
      <c r="O12" s="72">
        <f>+'Residential Commodity Revenue'!O12</f>
        <v>1034.97</v>
      </c>
      <c r="P12" s="8">
        <f t="shared" si="3"/>
        <v>609.669840338281</v>
      </c>
      <c r="R12" s="72">
        <f t="shared" si="5"/>
        <v>1115.2811281344723</v>
      </c>
      <c r="S12" s="8">
        <f t="shared" si="6"/>
        <v>1658.6724503146056</v>
      </c>
    </row>
    <row r="13" spans="1:19" ht="12.75">
      <c r="A13" s="200" t="s">
        <v>3</v>
      </c>
      <c r="B13" s="3">
        <f>+'Residential Commodity Revenue'!B13</f>
        <v>0.016793939506476268</v>
      </c>
      <c r="D13" s="66">
        <f t="shared" si="0"/>
        <v>0.8865520665468821</v>
      </c>
      <c r="E13" s="66">
        <f t="shared" si="0"/>
        <v>0.9537278245727873</v>
      </c>
      <c r="F13" s="66">
        <f t="shared" si="0"/>
        <v>1.2069804323304494</v>
      </c>
      <c r="G13" s="66">
        <f t="shared" si="4"/>
        <v>3.0472603234501188</v>
      </c>
      <c r="I13" s="72">
        <f>+'Residential Commodity Revenue'!I13</f>
        <v>48.45</v>
      </c>
      <c r="J13" s="89">
        <f t="shared" si="1"/>
        <v>42.95344762419644</v>
      </c>
      <c r="L13" s="72">
        <f>+'Residential Commodity Revenue'!L13</f>
        <v>69.7</v>
      </c>
      <c r="M13" s="8">
        <f t="shared" si="2"/>
        <v>66.47482937272328</v>
      </c>
      <c r="O13" s="72">
        <f>+'Residential Commodity Revenue'!O13</f>
        <v>59.74</v>
      </c>
      <c r="P13" s="8">
        <f t="shared" si="3"/>
        <v>72.10501102742104</v>
      </c>
      <c r="R13" s="72">
        <f t="shared" si="5"/>
        <v>59.57262220997521</v>
      </c>
      <c r="S13" s="8">
        <f t="shared" si="6"/>
        <v>181.53328802434078</v>
      </c>
    </row>
    <row r="14" spans="1:19" ht="12.75">
      <c r="A14" s="200" t="s">
        <v>1</v>
      </c>
      <c r="B14" s="3">
        <f>+'Residential Commodity Revenue'!B14</f>
        <v>0.1799634312736366</v>
      </c>
      <c r="D14" s="66">
        <f t="shared" si="0"/>
        <v>9.500269536935276</v>
      </c>
      <c r="E14" s="66">
        <f t="shared" si="0"/>
        <v>10.220123262029823</v>
      </c>
      <c r="F14" s="66">
        <f t="shared" si="0"/>
        <v>12.933971805636263</v>
      </c>
      <c r="G14" s="66">
        <f t="shared" si="4"/>
        <v>32.65436460460136</v>
      </c>
      <c r="I14" s="72">
        <f>+'Residential Commodity Revenue'!I14</f>
        <v>-43.35</v>
      </c>
      <c r="J14" s="89">
        <f t="shared" si="1"/>
        <v>-411.83668442614425</v>
      </c>
      <c r="L14" s="72">
        <f>+'Residential Commodity Revenue'!L14</f>
        <v>-43.35</v>
      </c>
      <c r="M14" s="8">
        <f t="shared" si="2"/>
        <v>-443.04234340899285</v>
      </c>
      <c r="O14" s="72">
        <f>+'Residential Commodity Revenue'!O14</f>
        <v>-43.35</v>
      </c>
      <c r="P14" s="8">
        <f t="shared" si="3"/>
        <v>-560.687677774332</v>
      </c>
      <c r="R14" s="72">
        <f t="shared" si="5"/>
        <v>-43.35</v>
      </c>
      <c r="S14" s="8">
        <f t="shared" si="6"/>
        <v>-1415.5667056094692</v>
      </c>
    </row>
    <row r="15" spans="1:19" ht="12.75">
      <c r="A15" s="200" t="s">
        <v>6</v>
      </c>
      <c r="B15" s="3">
        <f>+'Residential Commodity Revenue'!B15</f>
        <v>0.009524400048858902</v>
      </c>
      <c r="D15" s="66">
        <f t="shared" si="0"/>
        <v>0.5027930785792615</v>
      </c>
      <c r="E15" s="66">
        <f t="shared" si="0"/>
        <v>0.540890678774697</v>
      </c>
      <c r="F15" s="66">
        <f t="shared" si="0"/>
        <v>0.6845186315114893</v>
      </c>
      <c r="G15" s="66">
        <f t="shared" si="4"/>
        <v>1.7282023888654476</v>
      </c>
      <c r="I15" s="72">
        <f>+'Residential Commodity Revenue'!I15</f>
        <v>242.58</v>
      </c>
      <c r="J15" s="89">
        <f t="shared" si="1"/>
        <v>121.96754500175726</v>
      </c>
      <c r="L15" s="72">
        <f>+'Residential Commodity Revenue'!L15</f>
        <v>278.4</v>
      </c>
      <c r="M15" s="8">
        <f t="shared" si="2"/>
        <v>150.58396497087563</v>
      </c>
      <c r="O15" s="72">
        <f>+'Residential Commodity Revenue'!O15</f>
        <v>226.21</v>
      </c>
      <c r="P15" s="8">
        <f t="shared" si="3"/>
        <v>154.844959634214</v>
      </c>
      <c r="R15" s="72">
        <f t="shared" si="5"/>
        <v>247.30695453292918</v>
      </c>
      <c r="S15" s="8">
        <f t="shared" si="6"/>
        <v>427.39646960684684</v>
      </c>
    </row>
    <row r="16" spans="1:19" ht="12.75">
      <c r="A16" s="200" t="s">
        <v>101</v>
      </c>
      <c r="B16" s="3">
        <f>+'Residential Commodity Revenue'!B16</f>
        <v>0.007662908487333719</v>
      </c>
      <c r="D16" s="66">
        <f t="shared" si="0"/>
        <v>0.404524939046347</v>
      </c>
      <c r="E16" s="66">
        <f t="shared" si="0"/>
        <v>0.4351765729956819</v>
      </c>
      <c r="F16" s="66">
        <f t="shared" si="0"/>
        <v>0.5507332329846744</v>
      </c>
      <c r="G16" s="66">
        <f t="shared" si="4"/>
        <v>1.3904347450267034</v>
      </c>
      <c r="I16" s="72">
        <f>+'Residential Commodity Revenue'!I16</f>
        <v>83.92</v>
      </c>
      <c r="J16" s="89">
        <f t="shared" si="1"/>
        <v>33.947732884769444</v>
      </c>
      <c r="L16" s="72">
        <f>+'Residential Commodity Revenue'!L16</f>
        <v>37.16</v>
      </c>
      <c r="M16" s="8">
        <f t="shared" si="2"/>
        <v>16.171161452519538</v>
      </c>
      <c r="O16" s="72">
        <f>+'Residential Commodity Revenue'!O16</f>
        <v>312.08</v>
      </c>
      <c r="P16" s="8">
        <f t="shared" si="3"/>
        <v>171.87282734985718</v>
      </c>
      <c r="R16" s="72">
        <f t="shared" si="5"/>
        <v>159.65633948746208</v>
      </c>
      <c r="S16" s="8">
        <f t="shared" si="6"/>
        <v>221.99172168714614</v>
      </c>
    </row>
    <row r="17" spans="1:19" ht="12.75">
      <c r="A17" s="200" t="s">
        <v>102</v>
      </c>
      <c r="B17" s="3">
        <f>+'Residential Commodity Revenue'!B17</f>
        <v>0.006309896552203544</v>
      </c>
      <c r="D17" s="66">
        <f t="shared" si="0"/>
        <v>0.33309943899082506</v>
      </c>
      <c r="E17" s="66">
        <f t="shared" si="0"/>
        <v>0.3583390251996392</v>
      </c>
      <c r="F17" s="66">
        <f t="shared" si="0"/>
        <v>0.45349226520686875</v>
      </c>
      <c r="G17" s="66">
        <f t="shared" si="4"/>
        <v>1.144930729397333</v>
      </c>
      <c r="I17" s="72">
        <f>+'Residential Commodity Revenue'!I17</f>
        <v>287.55</v>
      </c>
      <c r="J17" s="89">
        <f t="shared" si="1"/>
        <v>95.78274368181175</v>
      </c>
      <c r="L17" s="72">
        <f>+'Residential Commodity Revenue'!L17</f>
        <v>307.09</v>
      </c>
      <c r="M17" s="8">
        <f t="shared" si="2"/>
        <v>110.0423312485572</v>
      </c>
      <c r="O17" s="72">
        <f>+'Residential Commodity Revenue'!O17</f>
        <v>252.63</v>
      </c>
      <c r="P17" s="8">
        <f t="shared" si="3"/>
        <v>114.56575095921124</v>
      </c>
      <c r="R17" s="72">
        <f t="shared" si="5"/>
        <v>279.83424469550846</v>
      </c>
      <c r="S17" s="8">
        <f t="shared" si="6"/>
        <v>320.39082588958024</v>
      </c>
    </row>
    <row r="18" spans="1:19" ht="12.75">
      <c r="A18" s="200" t="s">
        <v>103</v>
      </c>
      <c r="B18" s="3">
        <f>+'Residential Commodity Revenue'!B18</f>
        <v>0.0035811295182198856</v>
      </c>
      <c r="D18" s="66">
        <f t="shared" si="0"/>
        <v>0.18904782726682776</v>
      </c>
      <c r="E18" s="66">
        <f t="shared" si="0"/>
        <v>0.2033723453397073</v>
      </c>
      <c r="F18" s="66">
        <f t="shared" si="0"/>
        <v>0.2573757784744632</v>
      </c>
      <c r="G18" s="66">
        <f t="shared" si="4"/>
        <v>0.6497959510809983</v>
      </c>
      <c r="I18" s="72">
        <f>+'Residential Commodity Revenue'!I18</f>
        <v>-3.16</v>
      </c>
      <c r="J18" s="89">
        <f t="shared" si="1"/>
        <v>-0.5973911341631757</v>
      </c>
      <c r="L18" s="72">
        <f>+'Residential Commodity Revenue'!L18</f>
        <v>-2.18</v>
      </c>
      <c r="M18" s="8">
        <f t="shared" si="2"/>
        <v>-0.44335171284056196</v>
      </c>
      <c r="O18" s="72">
        <f>+'Residential Commodity Revenue'!O18</f>
        <v>30.34</v>
      </c>
      <c r="P18" s="8">
        <f t="shared" si="3"/>
        <v>7.808781118915213</v>
      </c>
      <c r="R18" s="72">
        <f t="shared" si="5"/>
        <v>10.415636263433454</v>
      </c>
      <c r="S18" s="8">
        <f t="shared" si="6"/>
        <v>6.768038271911476</v>
      </c>
    </row>
    <row r="19" spans="1:19" ht="15">
      <c r="A19" s="2" t="s">
        <v>4</v>
      </c>
      <c r="B19" s="68">
        <f>+'Residential Commodity Revenue'!B19</f>
        <v>0.0650541120143634</v>
      </c>
      <c r="D19" s="67">
        <f t="shared" si="0"/>
        <v>3.4342065732382436</v>
      </c>
      <c r="E19" s="67">
        <f t="shared" si="0"/>
        <v>3.694423021295697</v>
      </c>
      <c r="F19" s="67">
        <f t="shared" si="0"/>
        <v>4.6754390304722975</v>
      </c>
      <c r="G19" s="67">
        <f t="shared" si="4"/>
        <v>11.804068625006238</v>
      </c>
      <c r="I19" s="72">
        <f>+'Residential Commodity Revenue'!I19</f>
        <v>-82.5</v>
      </c>
      <c r="J19" s="139">
        <f t="shared" si="1"/>
        <v>-283.3220422921551</v>
      </c>
      <c r="L19" s="72">
        <f>+'Residential Commodity Revenue'!L19</f>
        <v>-82.5</v>
      </c>
      <c r="M19" s="120">
        <f t="shared" si="2"/>
        <v>-304.789899256895</v>
      </c>
      <c r="O19" s="72">
        <f>+'Residential Commodity Revenue'!O19</f>
        <v>-82.5</v>
      </c>
      <c r="P19" s="120">
        <f t="shared" si="3"/>
        <v>-385.72372001396457</v>
      </c>
      <c r="R19" s="141">
        <f t="shared" si="5"/>
        <v>-82.50000000000001</v>
      </c>
      <c r="S19" s="120">
        <f t="shared" si="6"/>
        <v>-973.8356615630148</v>
      </c>
    </row>
    <row r="20" spans="2:19" ht="12.75">
      <c r="B20" s="69">
        <f>SUM(B10:B19)</f>
        <v>1.0000000000000004</v>
      </c>
      <c r="C20" s="70"/>
      <c r="D20" s="71">
        <f>+'SKC Waste Stream Report'!F22</f>
        <v>52.79</v>
      </c>
      <c r="E20" s="71">
        <f>+'SKC Waste Stream Report'!G22</f>
        <v>56.79</v>
      </c>
      <c r="F20" s="71">
        <f>+'SKC Waste Stream Report'!H22</f>
        <v>71.87</v>
      </c>
      <c r="G20" s="71">
        <f>SUM(G10:G19)</f>
        <v>181.45000000000007</v>
      </c>
      <c r="H20" s="71"/>
      <c r="I20" s="71"/>
      <c r="J20" s="140">
        <f>SUM(J10:J19)</f>
        <v>2950.057332129903</v>
      </c>
      <c r="K20" s="118"/>
      <c r="L20" s="142"/>
      <c r="M20" s="140">
        <f>SUM(M10:M19)</f>
        <v>3288.245623315914</v>
      </c>
      <c r="N20" s="118"/>
      <c r="O20" s="142"/>
      <c r="P20" s="140">
        <f>SUM(P10:P19)</f>
        <v>4185.527465990589</v>
      </c>
      <c r="R20" s="73">
        <f t="shared" si="5"/>
        <v>57.447398299456594</v>
      </c>
      <c r="S20" s="140">
        <f>SUM(S10:S19)</f>
        <v>10423.830421436403</v>
      </c>
    </row>
    <row r="23" spans="1:19" ht="12.75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</row>
    <row r="25" ht="14.25">
      <c r="A25" s="117" t="s">
        <v>105</v>
      </c>
    </row>
    <row r="27" spans="1:19" ht="12.75">
      <c r="A27" s="4"/>
      <c r="B27" s="4" t="s">
        <v>41</v>
      </c>
      <c r="C27" s="4"/>
      <c r="D27" s="238" t="s">
        <v>45</v>
      </c>
      <c r="E27" s="238"/>
      <c r="F27" s="238"/>
      <c r="G27" s="238"/>
      <c r="H27" s="4"/>
      <c r="I27" s="238" t="s">
        <v>12</v>
      </c>
      <c r="J27" s="238"/>
      <c r="K27" s="4"/>
      <c r="L27" s="238" t="s">
        <v>16</v>
      </c>
      <c r="M27" s="238"/>
      <c r="N27" s="4"/>
      <c r="O27" s="238" t="s">
        <v>17</v>
      </c>
      <c r="P27" s="238"/>
      <c r="R27" s="238" t="s">
        <v>88</v>
      </c>
      <c r="S27" s="238"/>
    </row>
    <row r="28" spans="1:19" ht="12.75">
      <c r="A28" s="7" t="s">
        <v>94</v>
      </c>
      <c r="B28" s="7" t="s">
        <v>42</v>
      </c>
      <c r="C28" s="7"/>
      <c r="D28" s="7" t="s">
        <v>43</v>
      </c>
      <c r="E28" s="7" t="s">
        <v>13</v>
      </c>
      <c r="F28" s="7" t="s">
        <v>44</v>
      </c>
      <c r="G28" s="7" t="s">
        <v>14</v>
      </c>
      <c r="H28" s="7"/>
      <c r="I28" s="7" t="s">
        <v>46</v>
      </c>
      <c r="J28" s="7" t="s">
        <v>47</v>
      </c>
      <c r="K28" s="7"/>
      <c r="L28" s="7" t="s">
        <v>46</v>
      </c>
      <c r="M28" s="7" t="s">
        <v>47</v>
      </c>
      <c r="N28" s="7"/>
      <c r="O28" s="7" t="s">
        <v>46</v>
      </c>
      <c r="P28" s="7" t="s">
        <v>47</v>
      </c>
      <c r="R28" s="7" t="s">
        <v>46</v>
      </c>
      <c r="S28" s="7" t="s">
        <v>47</v>
      </c>
    </row>
    <row r="30" spans="1:19" ht="12.75">
      <c r="A30" s="200" t="s">
        <v>5</v>
      </c>
      <c r="B30" s="3">
        <f>+'Residential Commodity Revenue'!B30</f>
        <v>0.45809898954399764</v>
      </c>
      <c r="D30" s="66">
        <f aca="true" t="shared" si="7" ref="D30:F39">+$B30*D$40</f>
        <v>9.60633581073763</v>
      </c>
      <c r="E30" s="66">
        <f t="shared" si="7"/>
        <v>8.117514094719638</v>
      </c>
      <c r="F30" s="66">
        <f t="shared" si="7"/>
        <v>10.476723890871227</v>
      </c>
      <c r="G30" s="66">
        <f>SUM(D30:F30)</f>
        <v>28.200573796328495</v>
      </c>
      <c r="I30" s="72">
        <f>+'Residential Commodity Revenue'!I30</f>
        <v>70.65</v>
      </c>
      <c r="J30" s="138">
        <f aca="true" t="shared" si="8" ref="J30:J39">+I30*D30</f>
        <v>678.6876250286136</v>
      </c>
      <c r="K30" s="72"/>
      <c r="L30" s="72">
        <f>+'Residential Commodity Revenue'!L30</f>
        <v>74.2</v>
      </c>
      <c r="M30" s="138">
        <f aca="true" t="shared" si="9" ref="M30:M39">+L30*E30</f>
        <v>602.3195458281972</v>
      </c>
      <c r="N30" s="72"/>
      <c r="O30" s="72">
        <f>+'Residential Commodity Revenue'!O30</f>
        <v>75.27</v>
      </c>
      <c r="P30" s="138">
        <f aca="true" t="shared" si="10" ref="P30:P39">+O30*F30</f>
        <v>788.5830072658772</v>
      </c>
      <c r="R30" s="72">
        <f>+S30/G30</f>
        <v>73.3882293697206</v>
      </c>
      <c r="S30" s="138">
        <f>+P30+M30+J30</f>
        <v>2069.590178122688</v>
      </c>
    </row>
    <row r="31" spans="1:19" ht="12.75">
      <c r="A31" s="200" t="s">
        <v>2</v>
      </c>
      <c r="B31" s="3">
        <f>+'Residential Commodity Revenue'!B31</f>
        <v>0.24548683527712378</v>
      </c>
      <c r="D31" s="66">
        <f t="shared" si="7"/>
        <v>5.147858935761286</v>
      </c>
      <c r="E31" s="66">
        <f t="shared" si="7"/>
        <v>4.350026721110633</v>
      </c>
      <c r="F31" s="66">
        <f t="shared" si="7"/>
        <v>5.614283922787821</v>
      </c>
      <c r="G31" s="66">
        <f aca="true" t="shared" si="11" ref="G31:G39">SUM(D31:F31)</f>
        <v>15.112169579659739</v>
      </c>
      <c r="I31" s="72">
        <f>+'Residential Commodity Revenue'!I31</f>
        <v>86.42</v>
      </c>
      <c r="J31" s="89">
        <f t="shared" si="8"/>
        <v>444.8779692284903</v>
      </c>
      <c r="L31" s="72">
        <f>+'Residential Commodity Revenue'!L31</f>
        <v>88.89</v>
      </c>
      <c r="M31" s="8">
        <f t="shared" si="9"/>
        <v>386.6738752395242</v>
      </c>
      <c r="O31" s="72">
        <f>+'Residential Commodity Revenue'!O31</f>
        <v>86.45</v>
      </c>
      <c r="P31" s="8">
        <f t="shared" si="10"/>
        <v>485.3548451250071</v>
      </c>
      <c r="R31" s="72">
        <f aca="true" t="shared" si="12" ref="R31:R40">+S31/G31</f>
        <v>87.14213287849253</v>
      </c>
      <c r="S31" s="8">
        <f aca="true" t="shared" si="13" ref="S31:S39">+P31+M31+J31</f>
        <v>1316.9066895930216</v>
      </c>
    </row>
    <row r="32" spans="1:19" ht="12.75">
      <c r="A32" s="200" t="s">
        <v>0</v>
      </c>
      <c r="B32" s="3">
        <f>+'Residential Commodity Revenue'!B32</f>
        <v>0.008239889545784532</v>
      </c>
      <c r="D32" s="66">
        <f t="shared" si="7"/>
        <v>0.17279048377510164</v>
      </c>
      <c r="E32" s="66">
        <f t="shared" si="7"/>
        <v>0.1460108427513019</v>
      </c>
      <c r="F32" s="66">
        <f t="shared" si="7"/>
        <v>0.18844627391209226</v>
      </c>
      <c r="G32" s="66">
        <f t="shared" si="11"/>
        <v>0.5072476004384958</v>
      </c>
      <c r="I32" s="72">
        <f>+'Residential Commodity Revenue'!I32</f>
        <v>1210.7</v>
      </c>
      <c r="J32" s="89">
        <f t="shared" si="8"/>
        <v>209.19743870651556</v>
      </c>
      <c r="L32" s="72">
        <f>+'Residential Commodity Revenue'!L32</f>
        <v>1128.22</v>
      </c>
      <c r="M32" s="8">
        <f t="shared" si="9"/>
        <v>164.73235300887384</v>
      </c>
      <c r="O32" s="72">
        <f>+'Residential Commodity Revenue'!O32</f>
        <v>1034.97</v>
      </c>
      <c r="P32" s="8">
        <f t="shared" si="10"/>
        <v>195.03624011079813</v>
      </c>
      <c r="R32" s="72">
        <f t="shared" si="12"/>
        <v>1121.6731855100716</v>
      </c>
      <c r="S32" s="8">
        <f t="shared" si="13"/>
        <v>568.9660318261875</v>
      </c>
    </row>
    <row r="33" spans="1:19" ht="12.75">
      <c r="A33" s="200" t="s">
        <v>3</v>
      </c>
      <c r="B33" s="3">
        <f>+'Residential Commodity Revenue'!B33</f>
        <v>0.016900527382620562</v>
      </c>
      <c r="D33" s="66">
        <f t="shared" si="7"/>
        <v>0.35440405921355317</v>
      </c>
      <c r="E33" s="66">
        <f t="shared" si="7"/>
        <v>0.29947734522003633</v>
      </c>
      <c r="F33" s="66">
        <f t="shared" si="7"/>
        <v>0.38651506124053225</v>
      </c>
      <c r="G33" s="66">
        <f t="shared" si="11"/>
        <v>1.0403964656741218</v>
      </c>
      <c r="I33" s="72">
        <f>+'Residential Commodity Revenue'!I33</f>
        <v>48.45</v>
      </c>
      <c r="J33" s="89">
        <f t="shared" si="8"/>
        <v>17.170876668896653</v>
      </c>
      <c r="L33" s="72">
        <f>+'Residential Commodity Revenue'!L33</f>
        <v>69.7</v>
      </c>
      <c r="M33" s="8">
        <f t="shared" si="9"/>
        <v>20.87357096183653</v>
      </c>
      <c r="O33" s="72">
        <f>+'Residential Commodity Revenue'!O33</f>
        <v>59.74</v>
      </c>
      <c r="P33" s="8">
        <f t="shared" si="10"/>
        <v>23.0904097585094</v>
      </c>
      <c r="R33" s="72">
        <f>+S33/G33</f>
        <v>58.76111598440546</v>
      </c>
      <c r="S33" s="8">
        <f>+P33+M33+J33</f>
        <v>61.13485738924258</v>
      </c>
    </row>
    <row r="34" spans="1:19" ht="12.75">
      <c r="A34" s="200" t="s">
        <v>1</v>
      </c>
      <c r="B34" s="3">
        <f>+'Residential Commodity Revenue'!B34</f>
        <v>0.17923915928281942</v>
      </c>
      <c r="D34" s="66">
        <f t="shared" si="7"/>
        <v>3.758645170160723</v>
      </c>
      <c r="E34" s="66">
        <f t="shared" si="7"/>
        <v>3.17611790249156</v>
      </c>
      <c r="F34" s="66">
        <f t="shared" si="7"/>
        <v>4.099199572798081</v>
      </c>
      <c r="G34" s="66">
        <f t="shared" si="11"/>
        <v>11.033962645450362</v>
      </c>
      <c r="I34" s="72">
        <f>+'Residential Commodity Revenue'!I34</f>
        <v>-43.35</v>
      </c>
      <c r="J34" s="89">
        <f t="shared" si="8"/>
        <v>-162.93726812646733</v>
      </c>
      <c r="L34" s="72">
        <f>+'Residential Commodity Revenue'!L34</f>
        <v>-43.35</v>
      </c>
      <c r="M34" s="8">
        <f t="shared" si="9"/>
        <v>-137.6847110730091</v>
      </c>
      <c r="O34" s="72">
        <f>+'Residential Commodity Revenue'!O34</f>
        <v>-43.35</v>
      </c>
      <c r="P34" s="8">
        <f t="shared" si="10"/>
        <v>-177.7003014807968</v>
      </c>
      <c r="R34" s="72">
        <f>+S34/G34</f>
        <v>-43.35</v>
      </c>
      <c r="S34" s="8">
        <f>+P34+M34+J34</f>
        <v>-478.32228068027325</v>
      </c>
    </row>
    <row r="35" spans="1:19" ht="12.75">
      <c r="A35" s="200" t="s">
        <v>6</v>
      </c>
      <c r="B35" s="3">
        <f>+'Residential Commodity Revenue'!B35</f>
        <v>0.009527986683791533</v>
      </c>
      <c r="D35" s="66">
        <f t="shared" si="7"/>
        <v>0.19980188075910843</v>
      </c>
      <c r="E35" s="66">
        <f t="shared" si="7"/>
        <v>0.16883592403678593</v>
      </c>
      <c r="F35" s="66">
        <f t="shared" si="7"/>
        <v>0.21790505545831235</v>
      </c>
      <c r="G35" s="66">
        <f t="shared" si="11"/>
        <v>0.5865428602542067</v>
      </c>
      <c r="I35" s="72">
        <f>+'Residential Commodity Revenue'!I35</f>
        <v>242.58</v>
      </c>
      <c r="J35" s="89">
        <f t="shared" si="8"/>
        <v>48.46794023454453</v>
      </c>
      <c r="L35" s="72">
        <f>+'Residential Commodity Revenue'!L35</f>
        <v>278.4</v>
      </c>
      <c r="M35" s="8">
        <f t="shared" si="9"/>
        <v>47.0039212518412</v>
      </c>
      <c r="O35" s="72">
        <f>+'Residential Commodity Revenue'!O35</f>
        <v>226.21</v>
      </c>
      <c r="P35" s="8">
        <f t="shared" si="10"/>
        <v>49.29230259522484</v>
      </c>
      <c r="R35" s="72">
        <f>+S35/G35</f>
        <v>246.8091829109812</v>
      </c>
      <c r="S35" s="8">
        <f>+P35+M35+J35</f>
        <v>144.76416408161057</v>
      </c>
    </row>
    <row r="36" spans="1:19" ht="12.75">
      <c r="A36" s="200" t="s">
        <v>101</v>
      </c>
      <c r="B36" s="3">
        <f>+'Residential Commodity Revenue'!B36</f>
        <v>0.007659449183757681</v>
      </c>
      <c r="D36" s="66">
        <f t="shared" si="7"/>
        <v>0.16061864938339857</v>
      </c>
      <c r="E36" s="66">
        <f t="shared" si="7"/>
        <v>0.1357254395361861</v>
      </c>
      <c r="F36" s="66">
        <f t="shared" si="7"/>
        <v>0.1751716028325382</v>
      </c>
      <c r="G36" s="66">
        <f t="shared" si="11"/>
        <v>0.4715156917521228</v>
      </c>
      <c r="I36" s="72">
        <f>+'Residential Commodity Revenue'!I36</f>
        <v>83.92</v>
      </c>
      <c r="J36" s="89">
        <f t="shared" si="8"/>
        <v>13.479117056254807</v>
      </c>
      <c r="L36" s="72">
        <f>+'Residential Commodity Revenue'!L36</f>
        <v>37.16</v>
      </c>
      <c r="M36" s="8">
        <f t="shared" si="9"/>
        <v>5.043557333164675</v>
      </c>
      <c r="O36" s="72">
        <f>+'Residential Commodity Revenue'!O36</f>
        <v>312.08</v>
      </c>
      <c r="P36" s="8">
        <f t="shared" si="10"/>
        <v>54.667553811978514</v>
      </c>
      <c r="R36" s="72">
        <f>+S36/G36</f>
        <v>155.22331384015595</v>
      </c>
      <c r="S36" s="8">
        <f>+P36+M36+J36</f>
        <v>73.190228201398</v>
      </c>
    </row>
    <row r="37" spans="1:19" ht="12.75">
      <c r="A37" s="200" t="s">
        <v>102</v>
      </c>
      <c r="B37" s="3">
        <f>+'Residential Commodity Revenue'!B37</f>
        <v>0.00628010116668163</v>
      </c>
      <c r="D37" s="66">
        <f t="shared" si="7"/>
        <v>0.13169372146531377</v>
      </c>
      <c r="E37" s="66">
        <f t="shared" si="7"/>
        <v>0.11128339267359848</v>
      </c>
      <c r="F37" s="66">
        <f t="shared" si="7"/>
        <v>0.1436259136820089</v>
      </c>
      <c r="G37" s="66">
        <f t="shared" si="11"/>
        <v>0.38660302782092115</v>
      </c>
      <c r="I37" s="72">
        <f>+'Residential Commodity Revenue'!I37</f>
        <v>287.55</v>
      </c>
      <c r="J37" s="89">
        <f t="shared" si="8"/>
        <v>37.86852960735098</v>
      </c>
      <c r="L37" s="72">
        <f>+'Residential Commodity Revenue'!L37</f>
        <v>307.09</v>
      </c>
      <c r="M37" s="8">
        <f t="shared" si="9"/>
        <v>34.174017056135355</v>
      </c>
      <c r="O37" s="72">
        <f>+'Residential Commodity Revenue'!O37</f>
        <v>252.63</v>
      </c>
      <c r="P37" s="8">
        <f t="shared" si="10"/>
        <v>36.284214573485905</v>
      </c>
      <c r="R37" s="72">
        <f t="shared" si="12"/>
        <v>280.20153346328783</v>
      </c>
      <c r="S37" s="8">
        <f t="shared" si="13"/>
        <v>108.32676123697223</v>
      </c>
    </row>
    <row r="38" spans="1:19" ht="12.75">
      <c r="A38" s="200" t="s">
        <v>103</v>
      </c>
      <c r="B38" s="3">
        <f>+'Residential Commodity Revenue'!B38</f>
        <v>0.003544321234333489</v>
      </c>
      <c r="D38" s="66">
        <f t="shared" si="7"/>
        <v>0.07432441628397325</v>
      </c>
      <c r="E38" s="66">
        <f t="shared" si="7"/>
        <v>0.06280537227238941</v>
      </c>
      <c r="F38" s="66">
        <f t="shared" si="7"/>
        <v>0.08105862662920689</v>
      </c>
      <c r="G38" s="66">
        <f t="shared" si="11"/>
        <v>0.21818841518556953</v>
      </c>
      <c r="I38" s="72">
        <f>+'Residential Commodity Revenue'!I38</f>
        <v>-3.16</v>
      </c>
      <c r="J38" s="89">
        <f t="shared" si="8"/>
        <v>-0.23486515545735548</v>
      </c>
      <c r="L38" s="72">
        <f>+'Residential Commodity Revenue'!L38</f>
        <v>-2.18</v>
      </c>
      <c r="M38" s="8">
        <f t="shared" si="9"/>
        <v>-0.13691571155380894</v>
      </c>
      <c r="O38" s="72">
        <f>+'Residential Commodity Revenue'!O38</f>
        <v>30.34</v>
      </c>
      <c r="P38" s="8">
        <f t="shared" si="10"/>
        <v>2.459318731930137</v>
      </c>
      <c r="R38" s="72">
        <f t="shared" si="12"/>
        <v>9.567592592592595</v>
      </c>
      <c r="S38" s="8">
        <f t="shared" si="13"/>
        <v>2.0875378649189726</v>
      </c>
    </row>
    <row r="39" spans="1:19" ht="15">
      <c r="A39" s="2" t="s">
        <v>4</v>
      </c>
      <c r="B39" s="68">
        <f>+'Residential Commodity Revenue'!B39</f>
        <v>0.06502274069908966</v>
      </c>
      <c r="D39" s="67">
        <f t="shared" si="7"/>
        <v>1.36352687245991</v>
      </c>
      <c r="E39" s="67">
        <f t="shared" si="7"/>
        <v>1.1522029651878687</v>
      </c>
      <c r="F39" s="67">
        <f t="shared" si="7"/>
        <v>1.4870700797881806</v>
      </c>
      <c r="G39" s="67">
        <f t="shared" si="11"/>
        <v>4.00279991743596</v>
      </c>
      <c r="I39" s="72">
        <f>+'Residential Commodity Revenue'!I39</f>
        <v>-82.5</v>
      </c>
      <c r="J39" s="139">
        <f t="shared" si="8"/>
        <v>-112.49096697794259</v>
      </c>
      <c r="L39" s="72">
        <f>+'Residential Commodity Revenue'!L39</f>
        <v>-82.5</v>
      </c>
      <c r="M39" s="120">
        <f t="shared" si="9"/>
        <v>-95.05674462799917</v>
      </c>
      <c r="O39" s="72">
        <f>+'Residential Commodity Revenue'!O39</f>
        <v>-82.5</v>
      </c>
      <c r="P39" s="120">
        <f t="shared" si="10"/>
        <v>-122.6832815825249</v>
      </c>
      <c r="R39" s="141">
        <f t="shared" si="12"/>
        <v>-82.49999999999999</v>
      </c>
      <c r="S39" s="120">
        <f t="shared" si="13"/>
        <v>-330.23099318846664</v>
      </c>
    </row>
    <row r="40" spans="2:19" ht="12.75">
      <c r="B40" s="69">
        <f>SUM(B30:B39)</f>
        <v>1</v>
      </c>
      <c r="C40" s="70"/>
      <c r="D40" s="71">
        <f>+'Sno-King Waste Stream Report'!F22</f>
        <v>20.97</v>
      </c>
      <c r="E40" s="71">
        <f>+'Sno-King Waste Stream Report'!G22</f>
        <v>17.72</v>
      </c>
      <c r="F40" s="71">
        <f>+'Sno-King Waste Stream Report'!H22</f>
        <v>22.87</v>
      </c>
      <c r="G40" s="71">
        <f>SUM(G30:G39)</f>
        <v>61.559999999999995</v>
      </c>
      <c r="H40" s="71"/>
      <c r="I40" s="71"/>
      <c r="J40" s="140">
        <f>SUM(J30:J39)</f>
        <v>1174.0863962707992</v>
      </c>
      <c r="K40" s="118"/>
      <c r="L40" s="142"/>
      <c r="M40" s="140">
        <f>SUM(M30:M39)</f>
        <v>1027.9424692670107</v>
      </c>
      <c r="N40" s="118"/>
      <c r="O40" s="142"/>
      <c r="P40" s="140">
        <f>SUM(P30:P39)</f>
        <v>1334.3843089094896</v>
      </c>
      <c r="R40" s="73">
        <f t="shared" si="12"/>
        <v>57.4466077720484</v>
      </c>
      <c r="S40" s="140">
        <f>SUM(S30:S39)</f>
        <v>3536.4131744472993</v>
      </c>
    </row>
  </sheetData>
  <mergeCells count="10">
    <mergeCell ref="D27:G27"/>
    <mergeCell ref="I7:J7"/>
    <mergeCell ref="L7:M7"/>
    <mergeCell ref="O7:P7"/>
    <mergeCell ref="D7:G7"/>
    <mergeCell ref="R7:S7"/>
    <mergeCell ref="R27:S27"/>
    <mergeCell ref="I27:J27"/>
    <mergeCell ref="L27:M27"/>
    <mergeCell ref="O27:P27"/>
  </mergeCells>
  <printOptions/>
  <pageMargins left="0.75" right="0" top="0.5" bottom="0.25" header="0.5" footer="0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Cly Lewis</dc:creator>
  <cp:keywords/>
  <dc:description/>
  <cp:lastModifiedBy>mweinst</cp:lastModifiedBy>
  <cp:lastPrinted>2004-02-05T22:55:45Z</cp:lastPrinted>
  <dcterms:created xsi:type="dcterms:W3CDTF">2003-10-21T02:01:02Z</dcterms:created>
  <dcterms:modified xsi:type="dcterms:W3CDTF">2004-06-02T18:33:33Z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-863041903</vt:i4>
  </property>
  <property fmtid="{D5CDD505-2E9C-101B-9397-08002B2CF9AE}" pid="4" name="_EmailSubje">
    <vt:lpwstr>1st Quarter King County Recycling Report</vt:lpwstr>
  </property>
  <property fmtid="{D5CDD505-2E9C-101B-9397-08002B2CF9AE}" pid="5" name="_AuthorEma">
    <vt:lpwstr>mweinst@wm.com</vt:lpwstr>
  </property>
  <property fmtid="{D5CDD505-2E9C-101B-9397-08002B2CF9AE}" pid="6" name="_AuthorEmailDisplayNa">
    <vt:lpwstr>Weinstein, Mike</vt:lpwstr>
  </property>
  <property fmtid="{D5CDD505-2E9C-101B-9397-08002B2CF9AE}" pid="7" name="DocumentSetTy">
    <vt:lpwstr>Compliance</vt:lpwstr>
  </property>
  <property fmtid="{D5CDD505-2E9C-101B-9397-08002B2CF9AE}" pid="8" name="IsHighlyConfidenti">
    <vt:lpwstr>0</vt:lpwstr>
  </property>
  <property fmtid="{D5CDD505-2E9C-101B-9397-08002B2CF9AE}" pid="9" name="DocketNumb">
    <vt:lpwstr>030713</vt:lpwstr>
  </property>
  <property fmtid="{D5CDD505-2E9C-101B-9397-08002B2CF9AE}" pid="10" name="IsConfidenti">
    <vt:lpwstr>0</vt:lpwstr>
  </property>
  <property fmtid="{D5CDD505-2E9C-101B-9397-08002B2CF9AE}" pid="11" name="Dat">
    <vt:lpwstr>2004-06-02T00:00:00Z</vt:lpwstr>
  </property>
  <property fmtid="{D5CDD505-2E9C-101B-9397-08002B2CF9AE}" pid="12" name="CaseTy">
    <vt:lpwstr>Tariff Revision</vt:lpwstr>
  </property>
  <property fmtid="{D5CDD505-2E9C-101B-9397-08002B2CF9AE}" pid="13" name="OpenedDa">
    <vt:lpwstr>2003-05-16T00:00:00Z</vt:lpwstr>
  </property>
  <property fmtid="{D5CDD505-2E9C-101B-9397-08002B2CF9AE}" pid="14" name="Pref">
    <vt:lpwstr>TG</vt:lpwstr>
  </property>
  <property fmtid="{D5CDD505-2E9C-101B-9397-08002B2CF9AE}" pid="15" name="CaseCompanyNam">
    <vt:lpwstr>Waste Management of Washington, Inc.</vt:lpwstr>
  </property>
  <property fmtid="{D5CDD505-2E9C-101B-9397-08002B2CF9AE}" pid="16" name="IndustryCo">
    <vt:lpwstr>227</vt:lpwstr>
  </property>
  <property fmtid="{D5CDD505-2E9C-101B-9397-08002B2CF9AE}" pid="17" name="CaseStat">
    <vt:lpwstr>Closed</vt:lpwstr>
  </property>
  <property fmtid="{D5CDD505-2E9C-101B-9397-08002B2CF9AE}" pid="18" name="_docset_NoMedatataSyncRequir">
    <vt:lpwstr>False</vt:lpwstr>
  </property>
  <property fmtid="{D5CDD505-2E9C-101B-9397-08002B2CF9AE}" pid="19" name="Nickna">
    <vt:lpwstr/>
  </property>
  <property fmtid="{D5CDD505-2E9C-101B-9397-08002B2CF9AE}" pid="20" name="Proce">
    <vt:lpwstr/>
  </property>
  <property fmtid="{D5CDD505-2E9C-101B-9397-08002B2CF9AE}" pid="21" name="Visibili">
    <vt:lpwstr/>
  </property>
  <property fmtid="{D5CDD505-2E9C-101B-9397-08002B2CF9AE}" pid="22" name="DocumentGro">
    <vt:lpwstr/>
  </property>
</Properties>
</file>